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255" windowWidth="11385" windowHeight="9375"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7" r:id="rId45"/>
    <sheet name="Sheet1"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14" i="1" l="1"/>
  <c r="O22" i="1"/>
  <c r="I41" i="40"/>
  <c r="G41" i="40"/>
  <c r="E41" i="40"/>
  <c r="I34" i="40"/>
  <c r="G34" i="40"/>
  <c r="E34" i="40"/>
  <c r="I7" i="40"/>
  <c r="G7" i="40"/>
  <c r="E7" i="40"/>
  <c r="I5" i="40"/>
  <c r="G5" i="40"/>
  <c r="E5" i="40"/>
  <c r="P51" i="77"/>
  <c r="P50" i="77"/>
  <c r="P49" i="77"/>
  <c r="P48" i="77"/>
  <c r="P47" i="77"/>
  <c r="P46" i="77"/>
  <c r="P45" i="77"/>
  <c r="P44" i="77"/>
  <c r="P43" i="77"/>
  <c r="P42" i="77"/>
  <c r="P41" i="77"/>
  <c r="P40" i="77"/>
  <c r="P39" i="77"/>
  <c r="P38" i="77"/>
  <c r="P37" i="77"/>
  <c r="P36" i="77"/>
  <c r="P35" i="77"/>
  <c r="P34" i="77"/>
  <c r="P33" i="77"/>
  <c r="P32" i="77"/>
  <c r="P31" i="77"/>
  <c r="P30" i="77"/>
  <c r="P29" i="77"/>
  <c r="P28" i="77"/>
  <c r="P27" i="77"/>
  <c r="P26" i="77"/>
  <c r="P25" i="77"/>
  <c r="P24" i="77"/>
  <c r="P23" i="77"/>
  <c r="P22" i="77"/>
  <c r="P21" i="77"/>
  <c r="P20" i="77"/>
  <c r="P19" i="77"/>
  <c r="P18" i="77"/>
  <c r="P17" i="77"/>
  <c r="P16" i="77"/>
  <c r="P15" i="77"/>
  <c r="P14" i="77"/>
  <c r="P13" i="77"/>
  <c r="P12" i="77"/>
  <c r="P11" i="77"/>
  <c r="P10" i="77"/>
  <c r="P9" i="77"/>
  <c r="P8" i="77"/>
  <c r="P7" i="77"/>
  <c r="P6" i="77"/>
  <c r="P5" i="77"/>
  <c r="P4" i="77"/>
  <c r="P3" i="77"/>
  <c r="P2" i="77"/>
  <c r="D3" i="4"/>
  <c r="E109" i="40" l="1"/>
  <c r="F109" i="40" s="1"/>
  <c r="G109" i="40" s="1"/>
  <c r="H109" i="40" s="1"/>
  <c r="I109" i="40" s="1"/>
  <c r="D109" i="40"/>
  <c r="P22" i="1" l="1"/>
  <c r="P21" i="1"/>
  <c r="P20" i="1"/>
  <c r="R22" i="1"/>
  <c r="O21" i="1"/>
  <c r="R21" i="1" s="1"/>
  <c r="O20" i="1"/>
  <c r="R20" i="1" s="1"/>
  <c r="C1" i="73"/>
  <c r="B22" i="1"/>
  <c r="E1" i="73"/>
  <c r="D76" i="40"/>
  <c r="E76" i="40" s="1"/>
  <c r="I5" i="3"/>
  <c r="F19" i="6" s="1"/>
  <c r="E19" i="6" s="1"/>
  <c r="BB13" i="3"/>
  <c r="BB14" i="3"/>
  <c r="BA14" i="3" s="1"/>
  <c r="BB15" i="3"/>
  <c r="BB16" i="3"/>
  <c r="BB17" i="3"/>
  <c r="BQ14" i="3"/>
  <c r="BQ15" i="3"/>
  <c r="BQ16" i="3"/>
  <c r="BQ17" i="3"/>
  <c r="BS14" i="3"/>
  <c r="BS15" i="3"/>
  <c r="BS16" i="3"/>
  <c r="BS17" i="3"/>
  <c r="BS5" i="3" s="1"/>
  <c r="BM14" i="3"/>
  <c r="BM15" i="3"/>
  <c r="BM16" i="3"/>
  <c r="BM17" i="3"/>
  <c r="BM5" i="3" s="1"/>
  <c r="BO14" i="3"/>
  <c r="BO15" i="3"/>
  <c r="BO16" i="3"/>
  <c r="BO17" i="3"/>
  <c r="BO5" i="3" s="1"/>
  <c r="BA13" i="3"/>
  <c r="BC14" i="3"/>
  <c r="BD14" i="3"/>
  <c r="BE14" i="3"/>
  <c r="BF14" i="3"/>
  <c r="BG14" i="3"/>
  <c r="BH14" i="3"/>
  <c r="BI14" i="3"/>
  <c r="BJ14" i="3"/>
  <c r="BK14" i="3"/>
  <c r="BN14" i="3"/>
  <c r="BP14" i="3"/>
  <c r="BR14" i="3"/>
  <c r="BT14" i="3"/>
  <c r="BL14" i="3"/>
  <c r="BC15" i="3"/>
  <c r="BD15" i="3"/>
  <c r="BE15" i="3"/>
  <c r="BF15" i="3"/>
  <c r="BG15" i="3"/>
  <c r="BH15" i="3"/>
  <c r="BI15" i="3"/>
  <c r="BJ15" i="3"/>
  <c r="BK15" i="3"/>
  <c r="BA15" i="3"/>
  <c r="BN15" i="3"/>
  <c r="BP15" i="3"/>
  <c r="BR15" i="3"/>
  <c r="BT15" i="3"/>
  <c r="BL15" i="3"/>
  <c r="AZ15" i="3"/>
  <c r="BC16" i="3"/>
  <c r="BD16" i="3"/>
  <c r="BE16" i="3"/>
  <c r="BF16" i="3"/>
  <c r="BG16" i="3"/>
  <c r="BH16" i="3"/>
  <c r="BI16" i="3"/>
  <c r="BJ16" i="3"/>
  <c r="BK16" i="3"/>
  <c r="BN16" i="3"/>
  <c r="BP16" i="3"/>
  <c r="BR16" i="3"/>
  <c r="BT16" i="3"/>
  <c r="BC17" i="3"/>
  <c r="BD17" i="3"/>
  <c r="BE17" i="3"/>
  <c r="BF17" i="3"/>
  <c r="BG17" i="3"/>
  <c r="BH17" i="3"/>
  <c r="BI17" i="3"/>
  <c r="BJ17" i="3"/>
  <c r="BK17" i="3"/>
  <c r="BN17" i="3"/>
  <c r="BP17" i="3"/>
  <c r="BR17" i="3"/>
  <c r="BT17" i="3"/>
  <c r="BT5" i="3" s="1"/>
  <c r="H13" i="3"/>
  <c r="H14" i="3"/>
  <c r="G14" i="3" s="1"/>
  <c r="H15" i="3"/>
  <c r="G15" i="3" s="1"/>
  <c r="H16" i="3"/>
  <c r="G16" i="3" s="1"/>
  <c r="H17" i="3"/>
  <c r="BP5" i="3"/>
  <c r="B23" i="1"/>
  <c r="F21" i="68"/>
  <c r="C40" i="68" s="1"/>
  <c r="F34" i="68"/>
  <c r="K7" i="1"/>
  <c r="M7" i="1" s="1"/>
  <c r="K8" i="1"/>
  <c r="M8" i="1" s="1"/>
  <c r="O8" i="1" s="1"/>
  <c r="K9" i="1"/>
  <c r="M9" i="1" s="1"/>
  <c r="K10" i="1"/>
  <c r="M10" i="1" s="1"/>
  <c r="O10" i="1" s="1"/>
  <c r="K11" i="1"/>
  <c r="M11" i="1" s="1"/>
  <c r="O11" i="1" s="1"/>
  <c r="K12" i="1"/>
  <c r="M12" i="1" s="1"/>
  <c r="K13" i="1"/>
  <c r="M13" i="1" s="1"/>
  <c r="O13" i="1" s="1"/>
  <c r="B2" i="1"/>
  <c r="C42" i="1" s="1"/>
  <c r="E5" i="6"/>
  <c r="D9" i="68" s="1"/>
  <c r="F20" i="68"/>
  <c r="L19" i="6"/>
  <c r="F20" i="15"/>
  <c r="F21" i="15"/>
  <c r="I15" i="4"/>
  <c r="F6" i="1" s="1"/>
  <c r="G6" i="1" s="1"/>
  <c r="J51" i="15"/>
  <c r="E66" i="40"/>
  <c r="F66" i="40"/>
  <c r="G66" i="40"/>
  <c r="H66" i="40"/>
  <c r="I66" i="40"/>
  <c r="J66" i="40"/>
  <c r="K66" i="40"/>
  <c r="L66" i="40"/>
  <c r="M66" i="40"/>
  <c r="N66" i="40"/>
  <c r="O66" i="40"/>
  <c r="D66" i="40"/>
  <c r="C11" i="4"/>
  <c r="B7" i="4"/>
  <c r="AB5" i="71" s="1"/>
  <c r="AH5" i="71"/>
  <c r="AG5" i="71"/>
  <c r="AE5" i="71"/>
  <c r="AF5" i="71"/>
  <c r="AD5" i="71"/>
  <c r="Q5" i="71"/>
  <c r="Q6" i="71"/>
  <c r="Q7" i="71"/>
  <c r="P5" i="71"/>
  <c r="P6" i="71"/>
  <c r="P7" i="71"/>
  <c r="O5" i="71"/>
  <c r="O6" i="71"/>
  <c r="O7" i="71"/>
  <c r="N5" i="71"/>
  <c r="N6" i="71"/>
  <c r="N7" i="71"/>
  <c r="X5" i="71"/>
  <c r="F7" i="71"/>
  <c r="F6" i="71"/>
  <c r="F5" i="71"/>
  <c r="E7" i="71"/>
  <c r="E6" i="71"/>
  <c r="E5" i="71"/>
  <c r="C7" i="71"/>
  <c r="C6" i="71"/>
  <c r="C5" i="71"/>
  <c r="D5" i="71"/>
  <c r="B7" i="71"/>
  <c r="B6" i="71"/>
  <c r="B5" i="71"/>
  <c r="A6" i="1"/>
  <c r="G1" i="67"/>
  <c r="F7" i="1"/>
  <c r="J51" i="67"/>
  <c r="B24" i="1"/>
  <c r="G1" i="15"/>
  <c r="J50" i="15"/>
  <c r="M47" i="15"/>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BC13" i="3"/>
  <c r="BD13" i="3"/>
  <c r="BE13" i="3"/>
  <c r="BF13" i="3"/>
  <c r="BG13" i="3"/>
  <c r="BH13" i="3"/>
  <c r="BI13" i="3"/>
  <c r="BJ13" i="3"/>
  <c r="BK13" i="3"/>
  <c r="BM13" i="3"/>
  <c r="BN13" i="3"/>
  <c r="BO13" i="3"/>
  <c r="BP13" i="3"/>
  <c r="BQ13" i="3"/>
  <c r="BR13" i="3"/>
  <c r="BS13" i="3"/>
  <c r="BT13" i="3"/>
  <c r="BL13" i="3"/>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Q14" i="71"/>
  <c r="P14" i="71"/>
  <c r="O14" i="71"/>
  <c r="N14"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s="1"/>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F94" i="40"/>
  <c r="H25" i="40"/>
  <c r="AB25" i="40" s="1"/>
  <c r="G94" i="40"/>
  <c r="J25" i="40"/>
  <c r="AC25" i="40" s="1"/>
  <c r="F103" i="39"/>
  <c r="H29" i="39"/>
  <c r="G103" i="39"/>
  <c r="J29" i="39"/>
  <c r="G66" i="36"/>
  <c r="J18" i="36"/>
  <c r="F68" i="35"/>
  <c r="H18" i="35"/>
  <c r="S18" i="35"/>
  <c r="G68" i="35"/>
  <c r="J18" i="35"/>
  <c r="F77" i="37"/>
  <c r="H21" i="37"/>
  <c r="F21" i="37"/>
  <c r="F84" i="34"/>
  <c r="H21" i="34"/>
  <c r="F83" i="33"/>
  <c r="H21" i="33"/>
  <c r="F21" i="33"/>
  <c r="E83" i="21"/>
  <c r="S21" i="21"/>
  <c r="H1" i="69"/>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E10" i="68"/>
  <c r="E9" i="68"/>
  <c r="W21" i="21"/>
  <c r="AC21" i="21"/>
  <c r="Q72" i="67"/>
  <c r="Q59" i="67"/>
  <c r="Q58" i="67"/>
  <c r="Q51" i="67"/>
  <c r="J50" i="67"/>
  <c r="M47" i="67"/>
  <c r="D46" i="67"/>
  <c r="F33" i="67"/>
  <c r="F61" i="67" s="1"/>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s="1"/>
  <c r="A4" i="62"/>
  <c r="B70" i="72"/>
  <c r="F33" i="9"/>
  <c r="B37" i="48"/>
  <c r="B2" i="72" s="1"/>
  <c r="B13" i="53"/>
  <c r="B29" i="72"/>
  <c r="R35" i="4"/>
  <c r="Q35" i="4"/>
  <c r="P35" i="4"/>
  <c r="O35" i="4"/>
  <c r="N35" i="4"/>
  <c r="M35" i="4"/>
  <c r="L35" i="4"/>
  <c r="K34" i="4"/>
  <c r="T34" i="4"/>
  <c r="G13" i="1"/>
  <c r="G11" i="1"/>
  <c r="H15" i="4"/>
  <c r="G15" i="4"/>
  <c r="E15" i="4"/>
  <c r="D15" i="4"/>
  <c r="G7" i="1"/>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43" i="1"/>
  <c r="D78" i="9"/>
  <c r="E20" i="6"/>
  <c r="E21" i="6"/>
  <c r="F23" i="15"/>
  <c r="D24" i="15" s="1"/>
  <c r="P8" i="1"/>
  <c r="E22" i="6"/>
  <c r="E23" i="6"/>
  <c r="E24" i="6"/>
  <c r="E25" i="6"/>
  <c r="E26" i="6"/>
  <c r="BC10" i="3"/>
  <c r="BD10" i="3"/>
  <c r="BB10" i="3"/>
  <c r="AC13" i="3"/>
  <c r="AC14" i="3"/>
  <c r="AC15" i="3"/>
  <c r="AC16" i="3"/>
  <c r="AC17" i="3"/>
  <c r="AT5" i="3"/>
  <c r="AD5" i="3"/>
  <c r="AH5" i="3"/>
  <c r="AL5" i="3"/>
  <c r="AP5" i="3"/>
  <c r="F35" i="11"/>
  <c r="F36" i="11"/>
  <c r="F38" i="11"/>
  <c r="E37" i="11"/>
  <c r="F20" i="11"/>
  <c r="F21" i="11"/>
  <c r="C21" i="11" s="1"/>
  <c r="F7" i="11"/>
  <c r="C7" i="1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E98" i="40"/>
  <c r="F98" i="40"/>
  <c r="G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s="1"/>
  <c r="F88" i="40"/>
  <c r="G88" i="40"/>
  <c r="F19" i="40"/>
  <c r="S19" i="40" s="1"/>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AZ350" i="3"/>
  <c r="AZ352" i="3"/>
  <c r="AZ356" i="3"/>
  <c r="AZ360" i="3"/>
  <c r="AZ364" i="3"/>
  <c r="AZ368" i="3"/>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O9" i="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R10" i="1"/>
  <c r="B10" i="1"/>
  <c r="E10" i="1"/>
  <c r="D1" i="66"/>
  <c r="E10" i="66"/>
  <c r="AZ80" i="3"/>
  <c r="AZ84" i="3"/>
  <c r="AZ88" i="3"/>
  <c r="AZ107" i="3"/>
  <c r="AZ111" i="3"/>
  <c r="O12" i="1"/>
  <c r="S13" i="1"/>
  <c r="R13" i="1"/>
  <c r="S11" i="1"/>
  <c r="AQ11" i="1" s="1"/>
  <c r="R11" i="1"/>
  <c r="S9" i="1"/>
  <c r="AR9" i="1" s="1"/>
  <c r="R9" i="1"/>
  <c r="B41" i="1"/>
  <c r="F31" i="12"/>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s="1"/>
  <c r="M20" i="67"/>
  <c r="F34" i="15"/>
  <c r="F62" i="15" s="1"/>
  <c r="J56" i="9"/>
  <c r="J57" i="9"/>
  <c r="J59" i="9" s="1"/>
  <c r="J61" i="9" s="1"/>
  <c r="A24" i="51"/>
  <c r="B18" i="72"/>
  <c r="U29" i="34"/>
  <c r="D9" i="11"/>
  <c r="C9" i="11" s="1"/>
  <c r="E32" i="6"/>
  <c r="G1" i="68"/>
  <c r="K1" i="12"/>
  <c r="AR12" i="1"/>
  <c r="T12" i="1"/>
  <c r="T10" i="1"/>
  <c r="E19" i="69"/>
  <c r="E19" i="68"/>
  <c r="E19" i="11"/>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H85" i="43"/>
  <c r="H81" i="43"/>
  <c r="H84" i="43"/>
  <c r="H88" i="43"/>
  <c r="H53" i="43"/>
  <c r="H78" i="43"/>
  <c r="H71" i="43"/>
  <c r="C17" i="43"/>
  <c r="F33" i="43"/>
  <c r="K17" i="43"/>
  <c r="F34" i="43"/>
  <c r="N6" i="43"/>
  <c r="C6" i="43"/>
  <c r="N3" i="43"/>
  <c r="F38" i="43"/>
  <c r="F37" i="43"/>
  <c r="M9" i="43"/>
  <c r="N5" i="43"/>
  <c r="M12" i="43"/>
  <c r="B19" i="53"/>
  <c r="B37" i="72"/>
  <c r="C7" i="39"/>
  <c r="C68" i="39" s="1"/>
  <c r="C7" i="35"/>
  <c r="C7" i="33"/>
  <c r="C58" i="33" s="1"/>
  <c r="D58" i="33" s="1"/>
  <c r="C7" i="21"/>
  <c r="C58" i="21" s="1"/>
  <c r="D58" i="21" s="1"/>
  <c r="E58" i="21" s="1"/>
  <c r="F58" i="21" s="1"/>
  <c r="C7" i="40"/>
  <c r="C63" i="40" s="1"/>
  <c r="M47" i="9"/>
  <c r="G19" i="43"/>
  <c r="O19" i="43" s="1"/>
  <c r="C19" i="43" s="1"/>
  <c r="T35" i="4"/>
  <c r="A19" i="51"/>
  <c r="B14" i="72"/>
  <c r="C46" i="36"/>
  <c r="D46" i="36" s="1"/>
  <c r="E46" i="36" s="1"/>
  <c r="F46" i="36" s="1"/>
  <c r="G46" i="36" s="1"/>
  <c r="C59" i="34"/>
  <c r="D59" i="34" s="1"/>
  <c r="E59" i="34" s="1"/>
  <c r="F59" i="34" s="1"/>
  <c r="G59" i="34" s="1"/>
  <c r="H59" i="34" s="1"/>
  <c r="I59" i="34" s="1"/>
  <c r="J59" i="34" s="1"/>
  <c r="K59" i="34" s="1"/>
  <c r="C52" i="37"/>
  <c r="D52" i="37" s="1"/>
  <c r="E52" i="37" s="1"/>
  <c r="A4" i="51"/>
  <c r="B6" i="72"/>
  <c r="C48" i="35"/>
  <c r="D48" i="35" s="1"/>
  <c r="E48" i="35" s="1"/>
  <c r="C4" i="12"/>
  <c r="H66" i="43"/>
  <c r="H65" i="43"/>
  <c r="H64" i="43"/>
  <c r="H63" i="43"/>
  <c r="H55" i="43"/>
  <c r="H56" i="43"/>
  <c r="H72" i="43"/>
  <c r="L20" i="6"/>
  <c r="L27" i="6" s="1"/>
  <c r="B6" i="1"/>
  <c r="E6" i="1"/>
  <c r="S8" i="1"/>
  <c r="AQ8" i="1" s="1"/>
  <c r="P11" i="1"/>
  <c r="AP6" i="1"/>
  <c r="B9" i="1"/>
  <c r="E9" i="1"/>
  <c r="G1" i="69"/>
  <c r="W23" i="40"/>
  <c r="U32" i="40"/>
  <c r="AB31" i="40"/>
  <c r="S37" i="40"/>
  <c r="AB28" i="40"/>
  <c r="W28" i="40"/>
  <c r="W19" i="40"/>
  <c r="W27" i="40"/>
  <c r="S36" i="40"/>
  <c r="W37" i="40"/>
  <c r="AC14" i="40"/>
  <c r="S13" i="40"/>
  <c r="S33" i="40"/>
  <c r="S31" i="40"/>
  <c r="AB13"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F30" i="68"/>
  <c r="F30" i="11"/>
  <c r="C48" i="11" s="1"/>
  <c r="F28" i="67"/>
  <c r="F52" i="9"/>
  <c r="M18" i="67"/>
  <c r="F32" i="67"/>
  <c r="F60" i="67"/>
  <c r="F30" i="69"/>
  <c r="F32" i="15"/>
  <c r="F60" i="15" s="1"/>
  <c r="M18" i="15"/>
  <c r="F28" i="15"/>
  <c r="T11" i="1"/>
  <c r="D9" i="69"/>
  <c r="C9" i="69" s="1"/>
  <c r="D19" i="12"/>
  <c r="C19" i="12" s="1"/>
  <c r="AQ9" i="1"/>
  <c r="AR11" i="1"/>
  <c r="T9" i="1"/>
  <c r="S7" i="1"/>
  <c r="AR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R22" i="31"/>
  <c r="B21" i="31"/>
  <c r="AP7" i="1"/>
  <c r="O7" i="1"/>
  <c r="P7" i="1" s="1"/>
  <c r="AB45" i="21"/>
  <c r="AC33" i="21"/>
  <c r="W33" i="21"/>
  <c r="S33" i="21"/>
  <c r="AA33" i="21"/>
  <c r="W32" i="21"/>
  <c r="AC32" i="21"/>
  <c r="AB9" i="21"/>
  <c r="U9" i="21"/>
  <c r="AA32" i="21"/>
  <c r="S32" i="21"/>
  <c r="W9" i="21"/>
  <c r="AC9" i="21"/>
  <c r="AB32" i="21"/>
  <c r="U32" i="21"/>
  <c r="AA10" i="21"/>
  <c r="S10" i="21"/>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R8" i="1"/>
  <c r="AE7" i="1"/>
  <c r="AE8" i="1"/>
  <c r="AG6" i="1"/>
  <c r="H109" i="9"/>
  <c r="H110" i="9"/>
  <c r="D18" i="53" s="1"/>
  <c r="B35" i="72" s="1"/>
  <c r="D124" i="9"/>
  <c r="D16" i="53"/>
  <c r="B34" i="72"/>
  <c r="D10" i="52"/>
  <c r="H14" i="74"/>
  <c r="D17" i="53"/>
  <c r="B36" i="72"/>
  <c r="D125" i="9"/>
  <c r="D11" i="52"/>
  <c r="B7" i="74"/>
  <c r="H112" i="9"/>
  <c r="D21" i="53"/>
  <c r="B39" i="72"/>
  <c r="H111" i="9"/>
  <c r="D126" i="9"/>
  <c r="D19" i="53"/>
  <c r="D59" i="9"/>
  <c r="M55" i="9"/>
  <c r="B38" i="72"/>
  <c r="D20" i="53"/>
  <c r="B40" i="72"/>
  <c r="I14" i="74"/>
  <c r="B8" i="74"/>
  <c r="D127" i="9"/>
  <c r="D13" i="52"/>
  <c r="D12" i="52"/>
  <c r="AD3" i="7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10" i="71"/>
  <c r="D10" i="71"/>
  <c r="D11" i="71"/>
  <c r="D12" i="71"/>
  <c r="U12" i="71"/>
  <c r="S12" i="71"/>
  <c r="T12" i="71"/>
  <c r="AB10" i="71"/>
  <c r="X8" i="71"/>
  <c r="X7" i="71"/>
  <c r="AA8" i="71"/>
  <c r="AA7" i="71"/>
  <c r="X11" i="71"/>
  <c r="Z6" i="71"/>
  <c r="Y7" i="71"/>
  <c r="Z7" i="71"/>
  <c r="AB8" i="71"/>
  <c r="AB7" i="71"/>
  <c r="S8" i="71"/>
  <c r="F9" i="71"/>
  <c r="F8" i="71"/>
  <c r="Y8" i="71"/>
  <c r="Z8" i="71"/>
  <c r="AB3" i="71"/>
  <c r="X3" i="71"/>
  <c r="C9" i="71"/>
  <c r="E9" i="71"/>
  <c r="E8" i="71"/>
  <c r="AF3" i="71"/>
  <c r="P24" i="43"/>
  <c r="B66" i="40" s="1"/>
  <c r="P21" i="43"/>
  <c r="P22" i="43"/>
  <c r="C19" i="68"/>
  <c r="F31" i="15"/>
  <c r="M17" i="67"/>
  <c r="F59" i="67"/>
  <c r="F59" i="15"/>
  <c r="M17" i="15"/>
  <c r="F31" i="67"/>
  <c r="G20" i="43"/>
  <c r="G17" i="43"/>
  <c r="C16" i="43"/>
  <c r="D5" i="43"/>
  <c r="C5" i="43"/>
  <c r="V8" i="71"/>
  <c r="P23" i="43"/>
  <c r="B71" i="39" s="1"/>
  <c r="C8" i="71"/>
  <c r="D9" i="71"/>
  <c r="P25" i="43"/>
  <c r="E41" i="43"/>
  <c r="C41" i="43" s="1"/>
  <c r="C20" i="43"/>
  <c r="D6" i="71"/>
  <c r="T8" i="71"/>
  <c r="D7" i="71"/>
  <c r="D8" i="71"/>
  <c r="M20" i="43"/>
  <c r="U8" i="71"/>
  <c r="M23" i="15"/>
  <c r="M27" i="15"/>
  <c r="B11" i="76"/>
  <c r="E7" i="76"/>
  <c r="E13" i="76"/>
  <c r="L48" i="15"/>
  <c r="AO11" i="1"/>
  <c r="D2" i="33"/>
  <c r="F41" i="67"/>
  <c r="F37" i="67"/>
  <c r="M8" i="67"/>
  <c r="AO8" i="1"/>
  <c r="F9" i="15"/>
  <c r="L47" i="15"/>
  <c r="F20" i="31"/>
  <c r="D2" i="21"/>
  <c r="F26" i="15"/>
  <c r="E2" i="69"/>
  <c r="F42" i="67"/>
  <c r="B10" i="76"/>
  <c r="F35" i="67"/>
  <c r="M28" i="67"/>
  <c r="AO13" i="1"/>
  <c r="F42" i="15"/>
  <c r="F16" i="67"/>
  <c r="B9" i="76"/>
  <c r="E9" i="76"/>
  <c r="F6" i="15"/>
  <c r="E8" i="76"/>
  <c r="M24" i="15"/>
  <c r="F40" i="67"/>
  <c r="F9" i="67"/>
  <c r="F8" i="15"/>
  <c r="AO9" i="1"/>
  <c r="B7" i="76"/>
  <c r="L48" i="67"/>
  <c r="F38" i="15"/>
  <c r="D2" i="36"/>
  <c r="M21" i="67"/>
  <c r="F16" i="15"/>
  <c r="M24" i="67"/>
  <c r="AO7" i="1"/>
  <c r="F38" i="67"/>
  <c r="D2" i="37"/>
  <c r="F13" i="67"/>
  <c r="M28" i="15"/>
  <c r="M9" i="15"/>
  <c r="F40" i="15"/>
  <c r="F26" i="67"/>
  <c r="M6" i="15"/>
  <c r="F37" i="15"/>
  <c r="M27" i="67"/>
  <c r="AO12" i="1"/>
  <c r="E2" i="68"/>
  <c r="F6" i="67"/>
  <c r="B8" i="76"/>
  <c r="B12" i="76"/>
  <c r="M26" i="67"/>
  <c r="E10" i="76"/>
  <c r="E12" i="76"/>
  <c r="M29" i="67"/>
  <c r="C76" i="15"/>
  <c r="J15" i="67"/>
  <c r="J15" i="15"/>
  <c r="M6" i="67"/>
  <c r="L47" i="67"/>
  <c r="C76" i="67"/>
  <c r="F8" i="67"/>
  <c r="E11" i="76"/>
  <c r="M22" i="15"/>
  <c r="F7" i="67"/>
  <c r="M8" i="15"/>
  <c r="M23" i="67"/>
  <c r="F36" i="15"/>
  <c r="M22" i="67"/>
  <c r="M9" i="67"/>
  <c r="F36" i="67"/>
  <c r="D2" i="35"/>
  <c r="M26" i="15"/>
  <c r="AO10" i="1"/>
  <c r="B13" i="76"/>
  <c r="F43" i="67"/>
  <c r="D2" i="34"/>
  <c r="C92" i="9" l="1"/>
  <c r="C94" i="9"/>
  <c r="D23" i="67"/>
  <c r="C30" i="11"/>
  <c r="C5" i="11"/>
  <c r="C9" i="68"/>
  <c r="AR8" i="1"/>
  <c r="G13" i="3"/>
  <c r="BQ5" i="3"/>
  <c r="F28" i="6" s="1"/>
  <c r="AZ13" i="3"/>
  <c r="G17" i="3"/>
  <c r="W25" i="40"/>
  <c r="S25" i="40"/>
  <c r="C38" i="43"/>
  <c r="T8" i="43"/>
  <c r="V8" i="43" s="1"/>
  <c r="T13" i="43"/>
  <c r="V13" i="43" s="1"/>
  <c r="T16" i="43"/>
  <c r="V16" i="43" s="1"/>
  <c r="C33" i="43"/>
  <c r="T12" i="43"/>
  <c r="V12" i="43" s="1"/>
  <c r="T11" i="43"/>
  <c r="V11" i="43" s="1"/>
  <c r="T14" i="43"/>
  <c r="V14" i="43" s="1"/>
  <c r="C39" i="43"/>
  <c r="E39" i="43" s="1"/>
  <c r="C36" i="43"/>
  <c r="E36" i="43" s="1"/>
  <c r="C35" i="43"/>
  <c r="E35" i="43" s="1"/>
  <c r="C37" i="43"/>
  <c r="T15" i="43"/>
  <c r="V15" i="43" s="1"/>
  <c r="T9" i="43"/>
  <c r="V9" i="43" s="1"/>
  <c r="T10" i="43"/>
  <c r="V10" i="43" s="1"/>
  <c r="C34" i="43"/>
  <c r="E34" i="43" s="1"/>
  <c r="D63" i="40"/>
  <c r="C65" i="40"/>
  <c r="C31" i="12"/>
  <c r="C28" i="15"/>
  <c r="C48" i="68"/>
  <c r="C30" i="69"/>
  <c r="C24" i="12"/>
  <c r="C48" i="69"/>
  <c r="C30" i="68"/>
  <c r="C13" i="12"/>
  <c r="C77" i="9"/>
  <c r="C74" i="9" s="1"/>
  <c r="C28" i="67"/>
  <c r="C36" i="11"/>
  <c r="U15" i="40"/>
  <c r="AA15" i="40"/>
  <c r="BL17" i="3"/>
  <c r="BA17" i="3"/>
  <c r="AZ17" i="3" s="1"/>
  <c r="F29" i="6"/>
  <c r="T8" i="1"/>
  <c r="BR5" i="3"/>
  <c r="G28" i="6" s="1"/>
  <c r="BN5" i="3"/>
  <c r="G29" i="6" s="1"/>
  <c r="BL16" i="3"/>
  <c r="BL5" i="3" s="1"/>
  <c r="C36" i="69"/>
  <c r="E29" i="6"/>
  <c r="K15" i="1" s="1"/>
  <c r="BA16" i="3"/>
  <c r="AZ16" i="3" s="1"/>
  <c r="I4" i="6"/>
  <c r="G3" i="43" s="1"/>
  <c r="H101" i="43" s="1"/>
  <c r="BA5" i="3"/>
  <c r="AZ14" i="3"/>
  <c r="AZ5" i="3"/>
  <c r="BB5" i="3"/>
  <c r="E15" i="6" s="1"/>
  <c r="R23" i="1"/>
  <c r="G5" i="3"/>
  <c r="B3" i="3" s="1"/>
  <c r="D3" i="40" s="1"/>
  <c r="AQ7" i="1"/>
  <c r="T7" i="1"/>
  <c r="AR13" i="1"/>
  <c r="AQ13" i="1"/>
  <c r="T13" i="1"/>
  <c r="AQ10" i="1"/>
  <c r="AR10" i="1"/>
  <c r="P13" i="1"/>
  <c r="P12" i="1"/>
  <c r="P10" i="1"/>
  <c r="E3" i="6"/>
  <c r="E8" i="6"/>
  <c r="AF11" i="43"/>
  <c r="AF13" i="43" s="1"/>
  <c r="Z7" i="43"/>
  <c r="AC11" i="43"/>
  <c r="AC13" i="43" s="1"/>
  <c r="P9" i="1"/>
  <c r="K6" i="1"/>
  <c r="E27" i="6"/>
  <c r="F22" i="43"/>
  <c r="F101" i="43"/>
  <c r="E22" i="43"/>
  <c r="G101" i="43"/>
  <c r="J101" i="43"/>
  <c r="N104" i="46"/>
  <c r="H22" i="43"/>
  <c r="D101" i="43"/>
  <c r="M101" i="43"/>
  <c r="I101" i="43"/>
  <c r="E101" i="43"/>
  <c r="E13" i="49"/>
  <c r="G34" i="43"/>
  <c r="I34" i="43" s="1"/>
  <c r="G39" i="43"/>
  <c r="I39" i="43" s="1"/>
  <c r="G35" i="43"/>
  <c r="I35" i="43" s="1"/>
  <c r="G36" i="43"/>
  <c r="I36" i="43" s="1"/>
  <c r="Y5" i="71"/>
  <c r="Z5" i="71" s="1"/>
  <c r="AA5" i="71"/>
  <c r="L59" i="34"/>
  <c r="M59" i="34" s="1"/>
  <c r="N59" i="34" s="1"/>
  <c r="O59" i="34" s="1"/>
  <c r="J7" i="34"/>
  <c r="H7" i="34"/>
  <c r="F7" i="34"/>
  <c r="F48" i="35"/>
  <c r="G48" i="35" s="1"/>
  <c r="H48" i="35" s="1"/>
  <c r="I48" i="35" s="1"/>
  <c r="J48" i="35" s="1"/>
  <c r="K48" i="35" s="1"/>
  <c r="L48" i="35" s="1"/>
  <c r="M48" i="35" s="1"/>
  <c r="N48" i="35" s="1"/>
  <c r="O48" i="35" s="1"/>
  <c r="J7" i="35"/>
  <c r="F7" i="35"/>
  <c r="H7" i="35"/>
  <c r="F52" i="37"/>
  <c r="G52" i="37" s="1"/>
  <c r="H52" i="37" s="1"/>
  <c r="I52" i="37" s="1"/>
  <c r="J52" i="37" s="1"/>
  <c r="K52" i="37" s="1"/>
  <c r="L52" i="37" s="1"/>
  <c r="M52" i="37" s="1"/>
  <c r="N52" i="37" s="1"/>
  <c r="O52" i="37" s="1"/>
  <c r="J7" i="37"/>
  <c r="D68" i="39"/>
  <c r="C70" i="39"/>
  <c r="G58" i="21"/>
  <c r="H58" i="21" s="1"/>
  <c r="I58" i="21" s="1"/>
  <c r="J58" i="21" s="1"/>
  <c r="K58" i="21" s="1"/>
  <c r="L58" i="21" s="1"/>
  <c r="M58" i="21" s="1"/>
  <c r="N58" i="21" s="1"/>
  <c r="O58" i="21" s="1"/>
  <c r="H7" i="21"/>
  <c r="J7" i="21"/>
  <c r="H46" i="36"/>
  <c r="I46" i="36" s="1"/>
  <c r="J46" i="36" s="1"/>
  <c r="K46" i="36" s="1"/>
  <c r="L46" i="36" s="1"/>
  <c r="M46" i="36" s="1"/>
  <c r="N46" i="36" s="1"/>
  <c r="O46" i="36" s="1"/>
  <c r="E58" i="33"/>
  <c r="F58" i="33" s="1"/>
  <c r="G58" i="33" s="1"/>
  <c r="H58" i="33" s="1"/>
  <c r="I58" i="33" s="1"/>
  <c r="J58" i="33" s="1"/>
  <c r="K58" i="33" s="1"/>
  <c r="L58" i="33" s="1"/>
  <c r="M58" i="33" s="1"/>
  <c r="N58" i="33" s="1"/>
  <c r="O58" i="33" s="1"/>
  <c r="F7" i="33"/>
  <c r="H7" i="33"/>
  <c r="J1" i="73"/>
  <c r="L1" i="73"/>
  <c r="F7" i="21"/>
  <c r="C36" i="68"/>
  <c r="C10" i="40"/>
  <c r="E8" i="49"/>
  <c r="E22" i="49"/>
  <c r="E21" i="49"/>
  <c r="E9" i="49"/>
  <c r="B14" i="49"/>
  <c r="B8" i="49"/>
  <c r="B10" i="49"/>
  <c r="E11" i="49"/>
  <c r="B4" i="49"/>
  <c r="B6" i="49"/>
  <c r="E7" i="49"/>
  <c r="B13" i="49"/>
  <c r="E4" i="4" s="1"/>
  <c r="B5" i="62" s="1"/>
  <c r="B73" i="72" s="1"/>
  <c r="F76" i="40"/>
  <c r="G76" i="40" s="1"/>
  <c r="H76" i="40" s="1"/>
  <c r="I76" i="40" s="1"/>
  <c r="J76" i="40" s="1"/>
  <c r="K76" i="40" s="1"/>
  <c r="L76" i="40" s="1"/>
  <c r="M76" i="40" s="1"/>
  <c r="C40" i="69"/>
  <c r="C40" i="11"/>
  <c r="C21" i="68"/>
  <c r="B22" i="49"/>
  <c r="E15" i="49"/>
  <c r="B16" i="49"/>
  <c r="E4" i="49"/>
  <c r="B5" i="49"/>
  <c r="E5" i="49"/>
  <c r="E6" i="49"/>
  <c r="E16" i="49"/>
  <c r="B9" i="49"/>
  <c r="E14" i="49"/>
  <c r="E10" i="49"/>
  <c r="B15" i="49"/>
  <c r="B7" i="49"/>
  <c r="B11" i="49"/>
  <c r="C4" i="4" s="1"/>
  <c r="Q71" i="67"/>
  <c r="B13" i="70"/>
  <c r="B9" i="70"/>
  <c r="F63" i="67"/>
  <c r="C62" i="67" s="1"/>
  <c r="C34" i="67"/>
  <c r="F68" i="67"/>
  <c r="C6" i="67"/>
  <c r="B12" i="70"/>
  <c r="F64" i="67"/>
  <c r="Q71" i="15"/>
  <c r="B20" i="31"/>
  <c r="F69" i="67"/>
  <c r="F51" i="67"/>
  <c r="F71" i="67"/>
  <c r="F68" i="15"/>
  <c r="F64" i="15"/>
  <c r="F51" i="15"/>
  <c r="B11" i="70"/>
  <c r="F66" i="67"/>
  <c r="F65" i="67"/>
  <c r="F50" i="67"/>
  <c r="M7" i="67"/>
  <c r="J6" i="67" s="1"/>
  <c r="J20" i="67"/>
  <c r="F70" i="67"/>
  <c r="B10" i="70"/>
  <c r="L59" i="15"/>
  <c r="L58" i="15"/>
  <c r="M59" i="15"/>
  <c r="N59" i="15"/>
  <c r="L59" i="67"/>
  <c r="N59" i="67"/>
  <c r="M59" i="67"/>
  <c r="L58" i="67"/>
  <c r="B7" i="70"/>
  <c r="B8" i="70"/>
  <c r="C27" i="67"/>
  <c r="J53" i="67"/>
  <c r="J57" i="67"/>
  <c r="J55" i="67" s="1"/>
  <c r="J58" i="67" s="1"/>
  <c r="Q50" i="67" s="1"/>
  <c r="L56" i="67"/>
  <c r="I54" i="67"/>
  <c r="J53" i="15"/>
  <c r="J59" i="15"/>
  <c r="J57" i="15"/>
  <c r="J55" i="15" s="1"/>
  <c r="J58" i="15" s="1"/>
  <c r="Q50" i="15" s="1"/>
  <c r="J60" i="15"/>
  <c r="Q48" i="15" s="1"/>
  <c r="L57" i="15"/>
  <c r="L60" i="15"/>
  <c r="I54" i="15"/>
  <c r="L56" i="15"/>
  <c r="F66" i="15"/>
  <c r="F65" i="15"/>
  <c r="C27" i="15"/>
  <c r="C17" i="67"/>
  <c r="C14" i="67"/>
  <c r="M29" i="15"/>
  <c r="D7" i="73"/>
  <c r="F6" i="73"/>
  <c r="F5" i="73"/>
  <c r="D4" i="73"/>
  <c r="F7" i="73"/>
  <c r="F43" i="15"/>
  <c r="F3" i="73"/>
  <c r="F7" i="15"/>
  <c r="D6" i="73"/>
  <c r="D5" i="73"/>
  <c r="F4" i="73"/>
  <c r="C16" i="67"/>
  <c r="D3" i="73"/>
  <c r="F7" i="36" l="1"/>
  <c r="E260" i="3"/>
  <c r="Y11" i="43"/>
  <c r="Y13" i="43" s="1"/>
  <c r="AG11" i="43"/>
  <c r="AG13" i="43" s="1"/>
  <c r="AB11" i="43"/>
  <c r="AB13" i="43" s="1"/>
  <c r="AJ11" i="43"/>
  <c r="AJ13" i="43" s="1"/>
  <c r="E415" i="3"/>
  <c r="H103" i="43"/>
  <c r="H105" i="43"/>
  <c r="H104" i="43"/>
  <c r="H106" i="43"/>
  <c r="E28" i="6"/>
  <c r="F30" i="6"/>
  <c r="C101" i="43"/>
  <c r="B113" i="43"/>
  <c r="N101" i="43"/>
  <c r="K101" i="43"/>
  <c r="E550" i="3"/>
  <c r="E395" i="3"/>
  <c r="E114" i="3"/>
  <c r="J22" i="43"/>
  <c r="AA11" i="43"/>
  <c r="AA13" i="43" s="1"/>
  <c r="AE11" i="43"/>
  <c r="AE13" i="43" s="1"/>
  <c r="AI11" i="43"/>
  <c r="AI13" i="43" s="1"/>
  <c r="Z11" i="43"/>
  <c r="Z13" i="43" s="1"/>
  <c r="AD11" i="43"/>
  <c r="AD13" i="43" s="1"/>
  <c r="AH11" i="43"/>
  <c r="AH13" i="43" s="1"/>
  <c r="E37" i="43"/>
  <c r="G37" i="43"/>
  <c r="I37" i="43" s="1"/>
  <c r="J7" i="33"/>
  <c r="H7" i="36"/>
  <c r="D65" i="40"/>
  <c r="E63" i="40"/>
  <c r="E33" i="43"/>
  <c r="G33" i="43"/>
  <c r="I33" i="43" s="1"/>
  <c r="G38" i="43"/>
  <c r="I38" i="43" s="1"/>
  <c r="E38" i="43"/>
  <c r="E535" i="3"/>
  <c r="E445" i="3"/>
  <c r="E172" i="3"/>
  <c r="E563" i="3"/>
  <c r="E278" i="3"/>
  <c r="E69" i="3"/>
  <c r="E302" i="3"/>
  <c r="E503" i="3"/>
  <c r="E17" i="3"/>
  <c r="E361" i="3"/>
  <c r="E213" i="3"/>
  <c r="E183" i="3"/>
  <c r="E565" i="3"/>
  <c r="E528" i="3"/>
  <c r="E304" i="3"/>
  <c r="E261" i="3"/>
  <c r="E237" i="3"/>
  <c r="E14" i="6"/>
  <c r="G30" i="6"/>
  <c r="G31" i="6" s="1"/>
  <c r="E13" i="6"/>
  <c r="E11" i="6"/>
  <c r="AY6" i="3"/>
  <c r="E30" i="6"/>
  <c r="K14" i="1"/>
  <c r="M14" i="1" s="1"/>
  <c r="O14" i="1" s="1"/>
  <c r="P14" i="1" s="1"/>
  <c r="L101" i="43"/>
  <c r="G22" i="43"/>
  <c r="E53" i="3"/>
  <c r="E175" i="3"/>
  <c r="E319" i="3"/>
  <c r="E530" i="3"/>
  <c r="E501" i="3"/>
  <c r="E343" i="3"/>
  <c r="E153" i="3"/>
  <c r="E305" i="3"/>
  <c r="E426" i="3"/>
  <c r="E508"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125" i="3"/>
  <c r="E366" i="3"/>
  <c r="E553" i="3"/>
  <c r="E282" i="3"/>
  <c r="N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134" i="3"/>
  <c r="E254" i="3"/>
  <c r="E91" i="3"/>
  <c r="E221" i="3"/>
  <c r="E180"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217" i="3"/>
  <c r="E526" i="3"/>
  <c r="E268" i="3"/>
  <c r="E322" i="3"/>
  <c r="AJ6"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61" i="3"/>
  <c r="E135" i="3"/>
  <c r="E290" i="3"/>
  <c r="E161"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398" i="3"/>
  <c r="E430" i="3"/>
  <c r="E416" i="3"/>
  <c r="E449" i="3"/>
  <c r="E459"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414" i="3"/>
  <c r="E400" i="3"/>
  <c r="E432" i="3"/>
  <c r="E443"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2" i="6"/>
  <c r="E10" i="6"/>
  <c r="F71" i="15"/>
  <c r="F50" i="15"/>
  <c r="C49" i="15" s="1"/>
  <c r="M7" i="15"/>
  <c r="J6" i="15" s="1"/>
  <c r="C6" i="15"/>
  <c r="C33" i="15" s="1"/>
  <c r="M6" i="1"/>
  <c r="K16" i="1"/>
  <c r="Q16" i="1"/>
  <c r="H16" i="1"/>
  <c r="G16" i="1"/>
  <c r="H102" i="43"/>
  <c r="H109" i="43"/>
  <c r="H107" i="43"/>
  <c r="E59" i="40"/>
  <c r="E64" i="39"/>
  <c r="E58" i="40"/>
  <c r="E63" i="39"/>
  <c r="F27" i="6"/>
  <c r="F31" i="6" s="1"/>
  <c r="E51" i="40"/>
  <c r="E56" i="39"/>
  <c r="D3"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50" i="3"/>
  <c r="AY161" i="3"/>
  <c r="AY130" i="3"/>
  <c r="AY121" i="3"/>
  <c r="AY279" i="3"/>
  <c r="AY275" i="3"/>
  <c r="AY243"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54" i="3"/>
  <c r="AY211" i="3"/>
  <c r="AY365" i="3"/>
  <c r="AY57" i="3"/>
  <c r="AY177" i="3"/>
  <c r="AY114" i="3"/>
  <c r="AY274" i="3"/>
  <c r="AY242" i="3"/>
  <c r="AY388" i="3"/>
  <c r="AY353" i="3"/>
  <c r="AY317" i="3"/>
  <c r="AY332" i="3"/>
  <c r="AY316" i="3"/>
  <c r="AY475" i="3"/>
  <c r="AY472" i="3"/>
  <c r="AY462" i="3"/>
  <c r="AY430" i="3"/>
  <c r="AY398" i="3"/>
  <c r="AY427" i="3"/>
  <c r="AY581" i="3"/>
  <c r="AY585" i="3"/>
  <c r="AY534" i="3"/>
  <c r="AY571" i="3"/>
  <c r="AY546" i="3"/>
  <c r="AY510" i="3"/>
  <c r="AY501" i="3"/>
  <c r="AY494" i="3"/>
  <c r="AY519" i="3"/>
  <c r="AY101" i="3"/>
  <c r="AY65" i="3"/>
  <c r="AY48" i="3"/>
  <c r="AY194" i="3"/>
  <c r="AY158" i="3"/>
  <c r="AY137" i="3"/>
  <c r="AY287" i="3"/>
  <c r="AY251" i="3"/>
  <c r="AY234" i="3"/>
  <c r="AY369" i="3"/>
  <c r="AY364" i="3"/>
  <c r="AY329" i="3"/>
  <c r="AY344" i="3"/>
  <c r="AY312" i="3"/>
  <c r="AY484" i="3"/>
  <c r="AY453" i="3"/>
  <c r="AY458" i="3"/>
  <c r="AY426" i="3"/>
  <c r="AY439" i="3"/>
  <c r="AY579" i="3"/>
  <c r="AY499" i="3"/>
  <c r="AY522" i="3"/>
  <c r="AY515" i="3"/>
  <c r="AY551" i="3"/>
  <c r="AY545" i="3"/>
  <c r="BP6" i="3"/>
  <c r="AY493" i="3"/>
  <c r="AY79" i="3"/>
  <c r="AY62" i="3"/>
  <c r="AY19" i="3"/>
  <c r="AY140" i="3"/>
  <c r="AY151" i="3"/>
  <c r="AY301" i="3"/>
  <c r="AY265" i="3"/>
  <c r="AY248" i="3"/>
  <c r="AY383" i="3"/>
  <c r="AY347" i="3"/>
  <c r="AY330" i="3"/>
  <c r="AY482" i="3"/>
  <c r="AY440" i="3"/>
  <c r="AY421" i="3"/>
  <c r="AY13" i="3"/>
  <c r="AY528" i="3"/>
  <c r="AY107" i="3"/>
  <c r="AY71" i="3"/>
  <c r="AY54" i="3"/>
  <c r="AY200" i="3"/>
  <c r="AY164" i="3"/>
  <c r="AY143" i="3"/>
  <c r="AY293" i="3"/>
  <c r="AY257" i="3"/>
  <c r="AY240" i="3"/>
  <c r="AY386" i="3"/>
  <c r="AY351" i="3"/>
  <c r="AY307" i="3"/>
  <c r="AY477" i="3"/>
  <c r="AY474" i="3"/>
  <c r="AY432" i="3"/>
  <c r="AY413" i="3"/>
  <c r="AY15" i="3"/>
  <c r="AY583" i="3"/>
  <c r="AY567"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66" i="3"/>
  <c r="AY145" i="3"/>
  <c r="AY295" i="3"/>
  <c r="AY259"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71" i="3"/>
  <c r="BI6" i="3"/>
  <c r="AY186" i="3"/>
  <c r="AY290" i="3"/>
  <c r="AY210" i="3"/>
  <c r="AY377" i="3"/>
  <c r="AY349" i="3"/>
  <c r="AY333" i="3"/>
  <c r="AY348" i="3"/>
  <c r="AY491" i="3"/>
  <c r="AY488" i="3"/>
  <c r="AY457" i="3"/>
  <c r="AY446" i="3"/>
  <c r="AY414" i="3"/>
  <c r="AY411" i="3"/>
  <c r="BQ6" i="3"/>
  <c r="BM6" i="3"/>
  <c r="AY561" i="3"/>
  <c r="BF6" i="3"/>
  <c r="AY495" i="3"/>
  <c r="BG6" i="3"/>
  <c r="AY16" i="3"/>
  <c r="AY584" i="3"/>
  <c r="AY514" i="3"/>
  <c r="AY582" i="3"/>
  <c r="AY96" i="3"/>
  <c r="AY80" i="3"/>
  <c r="AY37" i="3"/>
  <c r="AY189" i="3"/>
  <c r="AY169" i="3"/>
  <c r="AY129" i="3"/>
  <c r="AY282" i="3"/>
  <c r="AY266" i="3"/>
  <c r="AY223" i="3"/>
  <c r="AY380" i="3"/>
  <c r="AY345" i="3"/>
  <c r="AY313" i="3"/>
  <c r="AY328" i="3"/>
  <c r="AY487" i="3"/>
  <c r="AY471" i="3"/>
  <c r="AY468" i="3"/>
  <c r="AY442" i="3"/>
  <c r="AY410" i="3"/>
  <c r="AY423" i="3"/>
  <c r="AY407" i="3"/>
  <c r="AY506" i="3"/>
  <c r="AY14" i="3"/>
  <c r="AY575" i="3"/>
  <c r="AY537" i="3"/>
  <c r="AY530" i="3"/>
  <c r="AY548" i="3"/>
  <c r="AY563" i="3"/>
  <c r="AY110" i="3"/>
  <c r="AY47" i="3"/>
  <c r="AY30" i="3"/>
  <c r="AY203" i="3"/>
  <c r="AY172" i="3"/>
  <c r="AY120" i="3"/>
  <c r="AY296" i="3"/>
  <c r="AY233" i="3"/>
  <c r="AY216" i="3"/>
  <c r="AY394" i="3"/>
  <c r="AY359" i="3"/>
  <c r="AY315" i="3"/>
  <c r="AY485" i="3"/>
  <c r="AY451" i="3"/>
  <c r="AY408" i="3"/>
  <c r="AY500" i="3"/>
  <c r="AY547" i="3"/>
  <c r="AY568" i="3"/>
  <c r="AY576" i="3"/>
  <c r="AY102" i="3"/>
  <c r="AY39" i="3"/>
  <c r="AY22" i="3"/>
  <c r="AY195" i="3"/>
  <c r="AY175" i="3"/>
  <c r="AY136" i="3"/>
  <c r="AY288" i="3"/>
  <c r="AY272" i="3"/>
  <c r="AY208" i="3"/>
  <c r="AY375" i="3"/>
  <c r="AY339" i="3"/>
  <c r="AY322" i="3"/>
  <c r="AY443" i="3"/>
  <c r="AY400" i="3"/>
  <c r="AY521" i="3"/>
  <c r="AY566" i="3"/>
  <c r="BT6" i="3"/>
  <c r="K20" i="6"/>
  <c r="M20" i="6" s="1"/>
  <c r="I20" i="6" s="1"/>
  <c r="S20" i="6" s="1"/>
  <c r="E31" i="6"/>
  <c r="K21" i="6"/>
  <c r="M21" i="6" s="1"/>
  <c r="I21" i="6" s="1"/>
  <c r="S21" i="6" s="1"/>
  <c r="K22" i="6"/>
  <c r="M22" i="6" s="1"/>
  <c r="I22" i="6" s="1"/>
  <c r="S22" i="6" s="1"/>
  <c r="K25" i="6"/>
  <c r="M25" i="6" s="1"/>
  <c r="I25" i="6" s="1"/>
  <c r="S25" i="6" s="1"/>
  <c r="K23" i="6"/>
  <c r="M23" i="6" s="1"/>
  <c r="I23" i="6" s="1"/>
  <c r="S23" i="6" s="1"/>
  <c r="K24" i="6"/>
  <c r="M24" i="6" s="1"/>
  <c r="I24" i="6" s="1"/>
  <c r="S24" i="6" s="1"/>
  <c r="K26" i="6"/>
  <c r="M26" i="6" s="1"/>
  <c r="I26" i="6" s="1"/>
  <c r="S26" i="6" s="1"/>
  <c r="K19" i="6"/>
  <c r="E56" i="40"/>
  <c r="E61" i="39"/>
  <c r="E65" i="39"/>
  <c r="E60" i="40"/>
  <c r="E6" i="6"/>
  <c r="M18" i="9"/>
  <c r="B118" i="9" s="1"/>
  <c r="B14" i="74" s="1"/>
  <c r="B1" i="74" s="1"/>
  <c r="D3" i="34"/>
  <c r="D3" i="33"/>
  <c r="D19" i="11"/>
  <c r="C19" i="11" s="1"/>
  <c r="C20" i="11" s="1"/>
  <c r="C17" i="4"/>
  <c r="B4" i="52" s="1"/>
  <c r="B43" i="72" s="1"/>
  <c r="L18" i="9"/>
  <c r="D3" i="37"/>
  <c r="D3" i="21"/>
  <c r="D37" i="11"/>
  <c r="C37" i="11" s="1"/>
  <c r="D14" i="12"/>
  <c r="I102" i="43"/>
  <c r="I109" i="43"/>
  <c r="I103" i="43"/>
  <c r="I106" i="43"/>
  <c r="I104" i="43"/>
  <c r="I105" i="43"/>
  <c r="I107" i="43"/>
  <c r="D104" i="43"/>
  <c r="D106" i="43"/>
  <c r="D109" i="43"/>
  <c r="D103" i="43"/>
  <c r="D107" i="43"/>
  <c r="D102" i="43"/>
  <c r="D105" i="43"/>
  <c r="C104" i="43"/>
  <c r="C105" i="43"/>
  <c r="C102" i="43"/>
  <c r="C103" i="43"/>
  <c r="C109" i="43"/>
  <c r="C106" i="43"/>
  <c r="C107"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B116" i="43"/>
  <c r="C116" i="43" s="1"/>
  <c r="I117" i="43"/>
  <c r="J117" i="43" s="1"/>
  <c r="K117" i="43" s="1"/>
  <c r="L117" i="43" s="1"/>
  <c r="M117" i="43" s="1"/>
  <c r="B117" i="43"/>
  <c r="C117" i="43" s="1"/>
  <c r="N102" i="43"/>
  <c r="N103" i="43"/>
  <c r="N106" i="43"/>
  <c r="N104" i="43"/>
  <c r="N107" i="43"/>
  <c r="N105" i="43"/>
  <c r="N109" i="43"/>
  <c r="K103" i="43"/>
  <c r="K107" i="43"/>
  <c r="K104" i="43"/>
  <c r="K106" i="43"/>
  <c r="K105" i="43"/>
  <c r="K102" i="43"/>
  <c r="K109" i="43"/>
  <c r="E102" i="43"/>
  <c r="E103" i="43"/>
  <c r="E105" i="43"/>
  <c r="E104" i="43"/>
  <c r="E106" i="43"/>
  <c r="E107" i="43"/>
  <c r="E109" i="43"/>
  <c r="M102" i="43"/>
  <c r="M106" i="43"/>
  <c r="M104" i="43"/>
  <c r="M105" i="43"/>
  <c r="M109" i="43"/>
  <c r="M103" i="43"/>
  <c r="M107" i="43"/>
  <c r="J104" i="43"/>
  <c r="J105" i="43"/>
  <c r="J103" i="43"/>
  <c r="J106" i="43"/>
  <c r="J107" i="43"/>
  <c r="J102" i="43"/>
  <c r="J109" i="43"/>
  <c r="G105" i="43"/>
  <c r="G102" i="43"/>
  <c r="G103" i="43"/>
  <c r="G107" i="43"/>
  <c r="G109" i="43"/>
  <c r="G104" i="43"/>
  <c r="G106" i="43"/>
  <c r="D22" i="43"/>
  <c r="F104" i="43"/>
  <c r="F107" i="43"/>
  <c r="F106" i="43"/>
  <c r="F102" i="43"/>
  <c r="F105" i="43"/>
  <c r="F103" i="43"/>
  <c r="F109" i="43"/>
  <c r="I1" i="73"/>
  <c r="B39" i="1" s="1"/>
  <c r="M11" i="15" s="1"/>
  <c r="K1" i="73"/>
  <c r="E20" i="43"/>
  <c r="N28" i="43" s="1"/>
  <c r="S7" i="36"/>
  <c r="AA7" i="36"/>
  <c r="R36" i="36" s="1"/>
  <c r="AB7" i="33"/>
  <c r="T48" i="33" s="1"/>
  <c r="G48" i="33" s="1"/>
  <c r="U7" i="33"/>
  <c r="W7" i="33"/>
  <c r="AC7" i="33"/>
  <c r="V48" i="33" s="1"/>
  <c r="I48" i="33" s="1"/>
  <c r="AB7" i="36"/>
  <c r="T36" i="36" s="1"/>
  <c r="G36" i="36" s="1"/>
  <c r="U7" i="36"/>
  <c r="AB7" i="21"/>
  <c r="T48" i="21" s="1"/>
  <c r="G48" i="21" s="1"/>
  <c r="U7" i="21"/>
  <c r="AC7" i="37"/>
  <c r="V42" i="37" s="1"/>
  <c r="I42" i="37" s="1"/>
  <c r="W7" i="37"/>
  <c r="U7" i="35"/>
  <c r="AB7" i="35"/>
  <c r="T38" i="35" s="1"/>
  <c r="G38" i="35" s="1"/>
  <c r="W7" i="35"/>
  <c r="AC7" i="35"/>
  <c r="V38" i="35" s="1"/>
  <c r="I38" i="35" s="1"/>
  <c r="S7" i="34"/>
  <c r="AA7" i="34"/>
  <c r="R49" i="34" s="1"/>
  <c r="W7" i="34"/>
  <c r="AC7" i="34"/>
  <c r="V49" i="34" s="1"/>
  <c r="I49" i="34" s="1"/>
  <c r="S7" i="21"/>
  <c r="AA7" i="21"/>
  <c r="R48" i="21" s="1"/>
  <c r="S7" i="33"/>
  <c r="AA7" i="33"/>
  <c r="R48" i="33" s="1"/>
  <c r="J7" i="36"/>
  <c r="W7" i="21"/>
  <c r="AC7" i="21"/>
  <c r="V48" i="21" s="1"/>
  <c r="I48" i="21" s="1"/>
  <c r="D70" i="39"/>
  <c r="E68" i="39"/>
  <c r="F7" i="37"/>
  <c r="H7" i="37"/>
  <c r="AA7" i="35"/>
  <c r="R38" i="35" s="1"/>
  <c r="S7" i="35"/>
  <c r="U7" i="34"/>
  <c r="AB7" i="34"/>
  <c r="T49" i="34" s="1"/>
  <c r="G49" i="34" s="1"/>
  <c r="K4" i="4"/>
  <c r="B46" i="48" s="1"/>
  <c r="B4" i="72" s="1"/>
  <c r="B4" i="62"/>
  <c r="B71" i="72" s="1"/>
  <c r="C15" i="67"/>
  <c r="C18" i="67"/>
  <c r="O28" i="43"/>
  <c r="Q66" i="15"/>
  <c r="Q57" i="15"/>
  <c r="Q60" i="67"/>
  <c r="Q73" i="67"/>
  <c r="Q60" i="15"/>
  <c r="Q73" i="15"/>
  <c r="J18" i="15"/>
  <c r="J18" i="67"/>
  <c r="C32" i="67"/>
  <c r="C32" i="15"/>
  <c r="L46" i="15"/>
  <c r="Q52" i="15"/>
  <c r="F1" i="15"/>
  <c r="F1" i="67"/>
  <c r="Q52" i="67"/>
  <c r="Q61" i="67"/>
  <c r="Q74" i="67"/>
  <c r="Q74" i="15"/>
  <c r="Q61" i="15"/>
  <c r="C49" i="67"/>
  <c r="C16" i="15"/>
  <c r="AE6" i="1"/>
  <c r="G1" i="73"/>
  <c r="Q23" i="1" l="1"/>
  <c r="P23" i="1"/>
  <c r="E65" i="40"/>
  <c r="F63" i="40"/>
  <c r="J10" i="15"/>
  <c r="J5" i="15" s="1"/>
  <c r="J26" i="15" s="1"/>
  <c r="C34" i="69"/>
  <c r="C38" i="69" s="1"/>
  <c r="F11" i="67"/>
  <c r="C53" i="67" s="1"/>
  <c r="C48" i="67" s="1"/>
  <c r="E16" i="6"/>
  <c r="L107" i="43"/>
  <c r="L109" i="43"/>
  <c r="L104" i="43"/>
  <c r="L106" i="43"/>
  <c r="L102" i="43"/>
  <c r="L103" i="43"/>
  <c r="L105" i="43"/>
  <c r="F11" i="15"/>
  <c r="C53" i="15" s="1"/>
  <c r="C48" i="15" s="1"/>
  <c r="C66" i="15" s="1"/>
  <c r="E62" i="39"/>
  <c r="E57" i="40"/>
  <c r="AC6" i="3"/>
  <c r="H6" i="3"/>
  <c r="M28" i="43"/>
  <c r="D17" i="12"/>
  <c r="C17" i="12" s="1"/>
  <c r="C14" i="12"/>
  <c r="D10" i="68"/>
  <c r="D10" i="69"/>
  <c r="D10" i="11"/>
  <c r="C10" i="11" s="1"/>
  <c r="D20" i="12"/>
  <c r="C20" i="12" s="1"/>
  <c r="E66" i="39"/>
  <c r="B29" i="1"/>
  <c r="C8" i="68" s="1"/>
  <c r="Y6" i="1"/>
  <c r="C8" i="74"/>
  <c r="C7" i="74"/>
  <c r="M19" i="6"/>
  <c r="S6" i="1"/>
  <c r="K27" i="6"/>
  <c r="D8" i="6"/>
  <c r="H20" i="6"/>
  <c r="D15" i="6"/>
  <c r="D14" i="6"/>
  <c r="D5" i="6"/>
  <c r="D12" i="6"/>
  <c r="D11" i="6"/>
  <c r="D13" i="6"/>
  <c r="H25" i="6"/>
  <c r="H23" i="6"/>
  <c r="H26" i="6"/>
  <c r="D6" i="6"/>
  <c r="D9" i="6"/>
  <c r="D10" i="6"/>
  <c r="L19" i="9"/>
  <c r="H22" i="6"/>
  <c r="H21" i="6"/>
  <c r="H24" i="6"/>
  <c r="D20" i="6"/>
  <c r="D24" i="6"/>
  <c r="R24" i="6" s="1"/>
  <c r="D28" i="6"/>
  <c r="C18" i="4"/>
  <c r="D21" i="6"/>
  <c r="R21" i="6" s="1"/>
  <c r="D25" i="6"/>
  <c r="D22" i="6"/>
  <c r="D26" i="6"/>
  <c r="E61" i="40"/>
  <c r="D19" i="6"/>
  <c r="D23" i="6"/>
  <c r="D29" i="6"/>
  <c r="M19" i="9"/>
  <c r="C118" i="9" s="1"/>
  <c r="C14" i="74" s="1"/>
  <c r="B2" i="74" s="1"/>
  <c r="F10" i="40"/>
  <c r="J10" i="39"/>
  <c r="J10" i="40"/>
  <c r="F10" i="39"/>
  <c r="H10" i="39"/>
  <c r="H10" i="40"/>
  <c r="F27" i="11"/>
  <c r="F28" i="12"/>
  <c r="C29" i="12" s="1"/>
  <c r="D28" i="12" s="1"/>
  <c r="F27" i="68"/>
  <c r="F27" i="69"/>
  <c r="M16" i="1"/>
  <c r="O6" i="1"/>
  <c r="O16" i="1" s="1"/>
  <c r="C115" i="43"/>
  <c r="D113" i="43" s="1"/>
  <c r="M11" i="67"/>
  <c r="J10" i="67" s="1"/>
  <c r="J5" i="67" s="1"/>
  <c r="J26" i="67" s="1"/>
  <c r="J29" i="67" s="1"/>
  <c r="P28" i="43"/>
  <c r="B40" i="1"/>
  <c r="F22" i="68" s="1"/>
  <c r="G53" i="34"/>
  <c r="H53" i="34" s="1"/>
  <c r="G54" i="34"/>
  <c r="H54" i="34" s="1"/>
  <c r="AB7" i="37"/>
  <c r="T42" i="37" s="1"/>
  <c r="G42" i="37" s="1"/>
  <c r="U7" i="37"/>
  <c r="E70" i="39"/>
  <c r="F68" i="39"/>
  <c r="I52" i="21"/>
  <c r="J52" i="21" s="1"/>
  <c r="AC7" i="36"/>
  <c r="V36" i="36" s="1"/>
  <c r="I36" i="36" s="1"/>
  <c r="W7" i="36"/>
  <c r="I53" i="34"/>
  <c r="J53" i="34" s="1"/>
  <c r="R50" i="34"/>
  <c r="E49" i="34"/>
  <c r="I42" i="35"/>
  <c r="J42" i="35" s="1"/>
  <c r="G42" i="35"/>
  <c r="H42" i="35" s="1"/>
  <c r="G43" i="35"/>
  <c r="H43" i="35" s="1"/>
  <c r="G52" i="21"/>
  <c r="H52" i="21" s="1"/>
  <c r="G53" i="21"/>
  <c r="H53" i="21" s="1"/>
  <c r="G40" i="36"/>
  <c r="H40" i="36" s="1"/>
  <c r="G53" i="33"/>
  <c r="H53" i="33" s="1"/>
  <c r="G52" i="33"/>
  <c r="H52" i="33" s="1"/>
  <c r="E38" i="35"/>
  <c r="R39" i="35"/>
  <c r="AA7" i="37"/>
  <c r="R42" i="37" s="1"/>
  <c r="S7" i="37"/>
  <c r="R49" i="33"/>
  <c r="E48" i="33"/>
  <c r="I53" i="33" s="1"/>
  <c r="J53" i="33" s="1"/>
  <c r="E48" i="21"/>
  <c r="R49" i="21"/>
  <c r="I46" i="37"/>
  <c r="J46" i="37" s="1"/>
  <c r="I52" i="33"/>
  <c r="J52" i="33" s="1"/>
  <c r="R37" i="36"/>
  <c r="E36" i="36"/>
  <c r="C19" i="67"/>
  <c r="C20" i="67" s="1"/>
  <c r="C26" i="67" s="1"/>
  <c r="F13" i="15"/>
  <c r="F41" i="15"/>
  <c r="C17" i="15"/>
  <c r="J24" i="15" l="1"/>
  <c r="G63" i="40"/>
  <c r="F65" i="40"/>
  <c r="C10" i="15"/>
  <c r="C5" i="15" s="1"/>
  <c r="C38" i="15" s="1"/>
  <c r="C10" i="67"/>
  <c r="C5" i="67" s="1"/>
  <c r="C38" i="67" s="1"/>
  <c r="C35" i="69"/>
  <c r="F24" i="15"/>
  <c r="C24" i="15" s="1"/>
  <c r="S3" i="43"/>
  <c r="T3" i="43" s="1"/>
  <c r="V3" i="43" s="1"/>
  <c r="S6" i="43"/>
  <c r="T6" i="43" s="1"/>
  <c r="V6" i="43" s="1"/>
  <c r="R23" i="6"/>
  <c r="R22" i="6"/>
  <c r="R20" i="6"/>
  <c r="S5" i="43"/>
  <c r="T5" i="43" s="1"/>
  <c r="V5" i="43" s="1"/>
  <c r="S2" i="43"/>
  <c r="T2" i="43" s="1"/>
  <c r="V2" i="43" s="1"/>
  <c r="S7" i="43"/>
  <c r="T7" i="43" s="1"/>
  <c r="V7" i="43" s="1"/>
  <c r="C23" i="43"/>
  <c r="C21" i="43" s="1"/>
  <c r="S4" i="43"/>
  <c r="T4" i="43" s="1"/>
  <c r="V4" i="43" s="1"/>
  <c r="E6" i="3"/>
  <c r="J24" i="67"/>
  <c r="R26" i="6"/>
  <c r="F22" i="69"/>
  <c r="C26" i="69" s="1"/>
  <c r="D22" i="69" s="1"/>
  <c r="C34" i="68"/>
  <c r="N16" i="1"/>
  <c r="C34" i="11"/>
  <c r="L16" i="1"/>
  <c r="C47" i="68"/>
  <c r="D45" i="68" s="1"/>
  <c r="C29" i="68"/>
  <c r="D27" i="68" s="1"/>
  <c r="C29" i="11"/>
  <c r="D27" i="11" s="1"/>
  <c r="C47" i="11"/>
  <c r="D45" i="11" s="1"/>
  <c r="AB10" i="39"/>
  <c r="U10" i="39"/>
  <c r="AC10" i="40"/>
  <c r="W10" i="40"/>
  <c r="S10" i="40"/>
  <c r="AA10" i="40"/>
  <c r="D27" i="6"/>
  <c r="D30" i="6"/>
  <c r="D16" i="6"/>
  <c r="T6" i="1"/>
  <c r="AR6" i="1"/>
  <c r="AQ6" i="1"/>
  <c r="S16" i="1"/>
  <c r="E6" i="70"/>
  <c r="E2" i="70" s="1"/>
  <c r="C18" i="12"/>
  <c r="C10" i="69"/>
  <c r="C8" i="69" s="1"/>
  <c r="C5" i="69" s="1"/>
  <c r="C23" i="69" s="1"/>
  <c r="D19" i="69"/>
  <c r="C28" i="11"/>
  <c r="C27" i="11" s="1"/>
  <c r="P6" i="1"/>
  <c r="P16" i="1" s="1"/>
  <c r="C11" i="12" s="1"/>
  <c r="C29" i="69"/>
  <c r="D27" i="69" s="1"/>
  <c r="C47" i="69"/>
  <c r="D45" i="69" s="1"/>
  <c r="AB10" i="40"/>
  <c r="U10" i="40"/>
  <c r="AA10" i="39"/>
  <c r="S10" i="39"/>
  <c r="W10" i="39"/>
  <c r="AC10" i="39"/>
  <c r="D7" i="74"/>
  <c r="D8" i="74"/>
  <c r="R25" i="6"/>
  <c r="C34" i="40"/>
  <c r="C4" i="52"/>
  <c r="B45" i="72" s="1"/>
  <c r="A7" i="51"/>
  <c r="B7" i="72" s="1"/>
  <c r="A10" i="51"/>
  <c r="B9" i="72" s="1"/>
  <c r="I19" i="6"/>
  <c r="M27" i="6"/>
  <c r="C10" i="68"/>
  <c r="D19" i="68"/>
  <c r="D37" i="68" s="1"/>
  <c r="C37" i="68" s="1"/>
  <c r="F24" i="67"/>
  <c r="C24" i="67" s="1"/>
  <c r="F22" i="11"/>
  <c r="C23" i="11" s="1"/>
  <c r="F25" i="12"/>
  <c r="C26" i="12" s="1"/>
  <c r="D25" i="12" s="1"/>
  <c r="E40" i="36"/>
  <c r="F40" i="36" s="1"/>
  <c r="E41" i="36"/>
  <c r="F41" i="36" s="1"/>
  <c r="I40" i="36"/>
  <c r="J40" i="36" s="1"/>
  <c r="I41" i="36"/>
  <c r="J41" i="36" s="1"/>
  <c r="G46" i="37"/>
  <c r="H46" i="37" s="1"/>
  <c r="G47" i="37"/>
  <c r="H47" i="37" s="1"/>
  <c r="E52" i="21"/>
  <c r="F52" i="21" s="1"/>
  <c r="E53" i="21"/>
  <c r="F53" i="21" s="1"/>
  <c r="C48" i="33"/>
  <c r="C49" i="33"/>
  <c r="B2" i="33" s="1"/>
  <c r="B3" i="33" s="1"/>
  <c r="R43" i="37"/>
  <c r="E42" i="37"/>
  <c r="E43" i="35"/>
  <c r="F43" i="35" s="1"/>
  <c r="E42" i="35"/>
  <c r="F42" i="35" s="1"/>
  <c r="I43" i="35"/>
  <c r="J43" i="35" s="1"/>
  <c r="E54" i="34"/>
  <c r="F54" i="34" s="1"/>
  <c r="E53" i="34"/>
  <c r="F53" i="34" s="1"/>
  <c r="I54" i="34"/>
  <c r="J54" i="34" s="1"/>
  <c r="C37" i="36"/>
  <c r="B2" i="36" s="1"/>
  <c r="B3" i="36" s="1"/>
  <c r="C36" i="36"/>
  <c r="C48" i="21"/>
  <c r="C49" i="21"/>
  <c r="B2" i="21" s="1"/>
  <c r="B3" i="21" s="1"/>
  <c r="E53" i="33"/>
  <c r="F53" i="33" s="1"/>
  <c r="E52" i="33"/>
  <c r="F52" i="33" s="1"/>
  <c r="C38" i="35"/>
  <c r="C39" i="35"/>
  <c r="B2" i="35" s="1"/>
  <c r="B3" i="35" s="1"/>
  <c r="G41" i="36"/>
  <c r="H41" i="36" s="1"/>
  <c r="C50" i="34"/>
  <c r="B2" i="34" s="1"/>
  <c r="B3" i="34" s="1"/>
  <c r="C49" i="34"/>
  <c r="I53" i="21"/>
  <c r="J53" i="21" s="1"/>
  <c r="F70" i="39"/>
  <c r="G68" i="39"/>
  <c r="C60" i="15"/>
  <c r="F69" i="15"/>
  <c r="J29" i="15"/>
  <c r="C60" i="67"/>
  <c r="C66" i="67"/>
  <c r="C26" i="68"/>
  <c r="D22" i="68" s="1"/>
  <c r="C44" i="68"/>
  <c r="D41" i="68" s="1"/>
  <c r="C24" i="68"/>
  <c r="C44" i="69"/>
  <c r="D41" i="69" s="1"/>
  <c r="C14" i="15"/>
  <c r="H63" i="40" l="1"/>
  <c r="G65" i="40"/>
  <c r="C29" i="43"/>
  <c r="C15" i="15"/>
  <c r="C18" i="15"/>
  <c r="T16" i="1"/>
  <c r="C38" i="11"/>
  <c r="C35" i="11"/>
  <c r="C38" i="68"/>
  <c r="C35" i="68"/>
  <c r="C44" i="11"/>
  <c r="D41" i="11" s="1"/>
  <c r="S19" i="6"/>
  <c r="S27" i="6" s="1"/>
  <c r="I27" i="6"/>
  <c r="H19" i="6"/>
  <c r="H34" i="40"/>
  <c r="J34" i="40"/>
  <c r="F34" i="40"/>
  <c r="C15" i="12"/>
  <c r="C12" i="12"/>
  <c r="C19" i="69"/>
  <c r="C24" i="69" s="1"/>
  <c r="D37" i="69"/>
  <c r="C37" i="69" s="1"/>
  <c r="C33" i="69" s="1"/>
  <c r="D31" i="6"/>
  <c r="F50" i="11"/>
  <c r="F50" i="68"/>
  <c r="F50" i="69"/>
  <c r="C26" i="11"/>
  <c r="D22" i="11" s="1"/>
  <c r="C25" i="11"/>
  <c r="C23" i="67"/>
  <c r="C29" i="67" s="1"/>
  <c r="J14" i="67" s="1"/>
  <c r="J22" i="67" s="1"/>
  <c r="C24" i="11"/>
  <c r="E47" i="37"/>
  <c r="F47" i="37" s="1"/>
  <c r="E46" i="37"/>
  <c r="F46" i="37" s="1"/>
  <c r="I47" i="37"/>
  <c r="J47" i="37" s="1"/>
  <c r="H68" i="39"/>
  <c r="G70" i="39"/>
  <c r="C43" i="37"/>
  <c r="B2" i="37" s="1"/>
  <c r="B3" i="37" s="1"/>
  <c r="C42" i="37"/>
  <c r="C33" i="11" l="1"/>
  <c r="C39" i="11" s="1"/>
  <c r="I63" i="40"/>
  <c r="H65" i="40"/>
  <c r="C33" i="68"/>
  <c r="C42" i="68" s="1"/>
  <c r="J13" i="67"/>
  <c r="J23" i="67" s="1"/>
  <c r="C13" i="67"/>
  <c r="C75" i="67" s="1"/>
  <c r="C36" i="67"/>
  <c r="C33" i="67"/>
  <c r="C31" i="67" s="1"/>
  <c r="Q49" i="67"/>
  <c r="C57" i="67"/>
  <c r="C64" i="67" s="1"/>
  <c r="J59" i="67"/>
  <c r="J60" i="67" s="1"/>
  <c r="Q48" i="67" s="1"/>
  <c r="C16" i="12"/>
  <c r="C21" i="12" s="1"/>
  <c r="C22" i="12" s="1"/>
  <c r="C30" i="12" s="1"/>
  <c r="C28" i="12" s="1"/>
  <c r="C19" i="15"/>
  <c r="C20" i="15" s="1"/>
  <c r="C26" i="15" s="1"/>
  <c r="C30" i="43"/>
  <c r="E30" i="43" s="1"/>
  <c r="C27" i="43" s="1"/>
  <c r="E29" i="43"/>
  <c r="C26" i="43" s="1"/>
  <c r="J19" i="67"/>
  <c r="J17" i="67" s="1"/>
  <c r="C22" i="11"/>
  <c r="C31" i="11" s="1"/>
  <c r="C39" i="69"/>
  <c r="C43" i="69" s="1"/>
  <c r="C42" i="69"/>
  <c r="AC34" i="40"/>
  <c r="W34" i="40"/>
  <c r="H27" i="6"/>
  <c r="R19" i="6"/>
  <c r="C20" i="69"/>
  <c r="I5" i="6"/>
  <c r="I6" i="6"/>
  <c r="C11" i="40" s="1"/>
  <c r="AA34" i="40"/>
  <c r="S34" i="40"/>
  <c r="U34" i="40"/>
  <c r="AB34" i="40"/>
  <c r="I68" i="39"/>
  <c r="H70" i="39"/>
  <c r="E6" i="76"/>
  <c r="C39" i="68" l="1"/>
  <c r="C43" i="68" s="1"/>
  <c r="C41" i="68" s="1"/>
  <c r="C42" i="11"/>
  <c r="J16" i="67"/>
  <c r="J25" i="67" s="1"/>
  <c r="C37" i="67"/>
  <c r="L46" i="67"/>
  <c r="J63" i="40"/>
  <c r="I65" i="40"/>
  <c r="C30" i="67"/>
  <c r="C39" i="67" s="1"/>
  <c r="C56" i="67"/>
  <c r="C65" i="67" s="1"/>
  <c r="C61" i="67"/>
  <c r="C59" i="67" s="1"/>
  <c r="Q70" i="67"/>
  <c r="C40" i="67"/>
  <c r="Q65" i="67" s="1"/>
  <c r="C41" i="69"/>
  <c r="C27" i="12"/>
  <c r="C25" i="12" s="1"/>
  <c r="C32" i="12" s="1"/>
  <c r="B2" i="12" s="1"/>
  <c r="B3" i="12" s="1"/>
  <c r="E2" i="76"/>
  <c r="B2" i="43"/>
  <c r="C23" i="15"/>
  <c r="C29" i="15" s="1"/>
  <c r="C36" i="15" s="1"/>
  <c r="R6" i="1"/>
  <c r="R27" i="6"/>
  <c r="H11" i="40"/>
  <c r="J11" i="40"/>
  <c r="F11" i="40"/>
  <c r="C28" i="69"/>
  <c r="C27" i="69" s="1"/>
  <c r="C25" i="69"/>
  <c r="C22" i="69" s="1"/>
  <c r="C46" i="69"/>
  <c r="C45" i="69" s="1"/>
  <c r="C46" i="11"/>
  <c r="C45" i="11" s="1"/>
  <c r="C43" i="11"/>
  <c r="C41" i="11" s="1"/>
  <c r="I70" i="39"/>
  <c r="J68" i="39"/>
  <c r="C80" i="67"/>
  <c r="C79" i="67" s="1"/>
  <c r="B6" i="76"/>
  <c r="L51" i="67"/>
  <c r="M21" i="15"/>
  <c r="F35" i="15"/>
  <c r="C46" i="68" l="1"/>
  <c r="C45" i="68" s="1"/>
  <c r="C43" i="67"/>
  <c r="C49" i="68"/>
  <c r="C51" i="68" s="1"/>
  <c r="J14" i="15"/>
  <c r="J13" i="15" s="1"/>
  <c r="J23" i="15" s="1"/>
  <c r="C49" i="11"/>
  <c r="C51" i="11" s="1"/>
  <c r="C52" i="11" s="1"/>
  <c r="B2" i="11" s="1"/>
  <c r="B3" i="11" s="1"/>
  <c r="K63" i="40"/>
  <c r="J65" i="40"/>
  <c r="C58" i="67"/>
  <c r="C67" i="67" s="1"/>
  <c r="C68" i="67" s="1"/>
  <c r="C71" i="67" s="1"/>
  <c r="Q47" i="67"/>
  <c r="Q53" i="67" s="1"/>
  <c r="L57" i="67"/>
  <c r="L60" i="67" s="1"/>
  <c r="Q57" i="67" s="1"/>
  <c r="Q67" i="67"/>
  <c r="Q69" i="67"/>
  <c r="Q68" i="67" s="1"/>
  <c r="C49" i="69"/>
  <c r="C51" i="69" s="1"/>
  <c r="D2" i="67"/>
  <c r="B2" i="67" s="1"/>
  <c r="C83" i="67"/>
  <c r="C82" i="67" s="1"/>
  <c r="Q56" i="67"/>
  <c r="Q49" i="15"/>
  <c r="C57" i="15"/>
  <c r="C64" i="15" s="1"/>
  <c r="B2" i="76"/>
  <c r="B3" i="76" s="1"/>
  <c r="C13" i="15"/>
  <c r="C37" i="15" s="1"/>
  <c r="J19" i="15"/>
  <c r="B3" i="43"/>
  <c r="F63" i="15"/>
  <c r="C62" i="15" s="1"/>
  <c r="C34" i="15"/>
  <c r="C31" i="15" s="1"/>
  <c r="J20" i="15"/>
  <c r="C31" i="69"/>
  <c r="S11" i="40"/>
  <c r="AA11" i="40"/>
  <c r="U11" i="40"/>
  <c r="AB11" i="40"/>
  <c r="W11" i="40"/>
  <c r="AC11" i="40"/>
  <c r="R16" i="1"/>
  <c r="K68" i="39"/>
  <c r="J70" i="39"/>
  <c r="C45" i="67" l="1"/>
  <c r="C46" i="67" s="1"/>
  <c r="Q66" i="67"/>
  <c r="Q75" i="67" s="1"/>
  <c r="J22" i="15"/>
  <c r="B3" i="67"/>
  <c r="C52" i="69"/>
  <c r="B2" i="69" s="1"/>
  <c r="B3" i="69" s="1"/>
  <c r="K65" i="40"/>
  <c r="L63" i="40"/>
  <c r="Q62" i="67"/>
  <c r="C61" i="15"/>
  <c r="C59" i="15" s="1"/>
  <c r="Q70" i="15"/>
  <c r="C56" i="15"/>
  <c r="C65" i="15" s="1"/>
  <c r="J17" i="15"/>
  <c r="C75" i="15"/>
  <c r="C30" i="15"/>
  <c r="C39" i="15" s="1"/>
  <c r="C56" i="11"/>
  <c r="C57" i="11" s="1"/>
  <c r="L68" i="39"/>
  <c r="K70" i="39"/>
  <c r="L51" i="15"/>
  <c r="C57" i="69" l="1"/>
  <c r="C56" i="69" s="1"/>
  <c r="J16" i="15"/>
  <c r="J25" i="15" s="1"/>
  <c r="C58" i="15"/>
  <c r="C67" i="15" s="1"/>
  <c r="C68" i="15" s="1"/>
  <c r="C71" i="15" s="1"/>
  <c r="C80" i="15"/>
  <c r="C79" i="15" s="1"/>
  <c r="L65" i="40"/>
  <c r="M63" i="40"/>
  <c r="C40" i="15"/>
  <c r="Q69" i="15"/>
  <c r="Q68" i="15" s="1"/>
  <c r="Q67" i="15"/>
  <c r="M68" i="39"/>
  <c r="L70" i="39"/>
  <c r="C46" i="15" l="1"/>
  <c r="N63" i="40"/>
  <c r="M65" i="40"/>
  <c r="B2" i="15"/>
  <c r="B3" i="15" s="1"/>
  <c r="Q47" i="15"/>
  <c r="Q53" i="15" s="1"/>
  <c r="Q65" i="15"/>
  <c r="Q75" i="15" s="1"/>
  <c r="C43" i="15"/>
  <c r="C83" i="15"/>
  <c r="C82" i="15" s="1"/>
  <c r="Q56" i="15"/>
  <c r="Q62" i="15" s="1"/>
  <c r="N68" i="39"/>
  <c r="M70" i="39"/>
  <c r="D20" i="9"/>
  <c r="AO6" i="1"/>
  <c r="D19" i="9"/>
  <c r="N65" i="40" l="1"/>
  <c r="O63" i="40"/>
  <c r="O65" i="40" s="1"/>
  <c r="F7" i="40" s="1"/>
  <c r="B6" i="70"/>
  <c r="B2" i="70" s="1"/>
  <c r="B3" i="70" s="1"/>
  <c r="D21" i="9"/>
  <c r="D102" i="9"/>
  <c r="D103" i="9"/>
  <c r="O68" i="39"/>
  <c r="O70" i="39" s="1"/>
  <c r="N70" i="39"/>
  <c r="AA7" i="40" l="1"/>
  <c r="R42" i="40" s="1"/>
  <c r="S7" i="40"/>
  <c r="J7" i="40"/>
  <c r="H7" i="40"/>
  <c r="H7" i="39"/>
  <c r="J7" i="39"/>
  <c r="F7" i="39"/>
  <c r="U7" i="40" l="1"/>
  <c r="AB7" i="40"/>
  <c r="T42" i="40" s="1"/>
  <c r="G42" i="40" s="1"/>
  <c r="AC7" i="40"/>
  <c r="V42" i="40" s="1"/>
  <c r="I42" i="40" s="1"/>
  <c r="I46" i="40" s="1"/>
  <c r="J46" i="40" s="1"/>
  <c r="W7" i="40"/>
  <c r="E42" i="40"/>
  <c r="W7" i="39"/>
  <c r="AC7" i="39"/>
  <c r="V47" i="39" s="1"/>
  <c r="I47" i="39" s="1"/>
  <c r="AA7" i="39"/>
  <c r="R47" i="39" s="1"/>
  <c r="S7" i="39"/>
  <c r="U7" i="39"/>
  <c r="AB7" i="39"/>
  <c r="T47" i="39" s="1"/>
  <c r="G47" i="39" s="1"/>
  <c r="R43" i="40" l="1"/>
  <c r="C42" i="40" s="1"/>
  <c r="G46" i="40"/>
  <c r="H46" i="40" s="1"/>
  <c r="G47" i="40"/>
  <c r="H47" i="40" s="1"/>
  <c r="I47" i="40"/>
  <c r="J47" i="40" s="1"/>
  <c r="E47" i="40"/>
  <c r="F47" i="40" s="1"/>
  <c r="E46" i="40"/>
  <c r="F46" i="40" s="1"/>
  <c r="G51" i="39"/>
  <c r="H51" i="39" s="1"/>
  <c r="G52" i="39"/>
  <c r="H52" i="39" s="1"/>
  <c r="I51" i="39"/>
  <c r="J51" i="39" s="1"/>
  <c r="E47" i="39"/>
  <c r="I52" i="39" s="1"/>
  <c r="J52" i="39" s="1"/>
  <c r="R48" i="39"/>
  <c r="C43" i="40" l="1"/>
  <c r="B60" i="40" s="1"/>
  <c r="F60" i="40" s="1"/>
  <c r="C47" i="39"/>
  <c r="C48" i="39"/>
  <c r="E52" i="39"/>
  <c r="F52" i="39" s="1"/>
  <c r="E51" i="39"/>
  <c r="F51" i="39" s="1"/>
  <c r="B53" i="40" l="1"/>
  <c r="F53" i="40" s="1"/>
  <c r="B54" i="40"/>
  <c r="F54" i="40" s="1"/>
  <c r="B55" i="40"/>
  <c r="F55" i="40" s="1"/>
  <c r="B51" i="40"/>
  <c r="F51" i="40" s="1"/>
  <c r="B52" i="40"/>
  <c r="F52" i="40" s="1"/>
  <c r="B59" i="40"/>
  <c r="F59" i="40" s="1"/>
  <c r="B58" i="40"/>
  <c r="F58" i="40" s="1"/>
  <c r="B57" i="40"/>
  <c r="F57" i="40" s="1"/>
  <c r="B56" i="40"/>
  <c r="F56" i="40" s="1"/>
  <c r="B59" i="39"/>
  <c r="F59" i="39" s="1"/>
  <c r="B65" i="39"/>
  <c r="F65" i="39" s="1"/>
  <c r="B63" i="39"/>
  <c r="F63" i="39" s="1"/>
  <c r="B60" i="39"/>
  <c r="F60" i="39" s="1"/>
  <c r="B58" i="39"/>
  <c r="F58" i="39" s="1"/>
  <c r="B64" i="39"/>
  <c r="F64" i="39" s="1"/>
  <c r="B57" i="39"/>
  <c r="F57" i="39" s="1"/>
  <c r="B62" i="39"/>
  <c r="F62" i="39" s="1"/>
  <c r="B61" i="39"/>
  <c r="F61" i="39" s="1"/>
  <c r="B56" i="39"/>
  <c r="F56" i="39" s="1"/>
  <c r="F66" i="39" s="1"/>
  <c r="B2" i="39" s="1"/>
  <c r="B3" i="39" s="1"/>
  <c r="F61" i="40" l="1"/>
  <c r="B2" i="40" s="1"/>
  <c r="C6" i="68" s="1"/>
  <c r="C7" i="68" s="1"/>
  <c r="C5" i="68" s="1"/>
  <c r="C23" i="68" s="1"/>
  <c r="C20" i="68" l="1"/>
  <c r="C25" i="68" s="1"/>
  <c r="C22" i="68" s="1"/>
  <c r="B3" i="40"/>
  <c r="C28" i="68" l="1"/>
  <c r="C27" i="68" s="1"/>
  <c r="C31" i="68" s="1"/>
  <c r="C52" i="68" s="1"/>
  <c r="B2" i="68" l="1"/>
  <c r="B3" i="68" s="1"/>
  <c r="C57" i="68"/>
  <c r="C56" i="68" s="1"/>
  <c r="C19" i="9"/>
  <c r="C20" i="9"/>
  <c r="D34" i="9"/>
  <c r="D35" i="9"/>
  <c r="C102" i="9" l="1"/>
  <c r="G19" i="9"/>
  <c r="C32" i="9" s="1"/>
  <c r="D22" i="9"/>
  <c r="C21" i="9"/>
  <c r="C103" i="9"/>
  <c r="G20" i="9"/>
  <c r="G21" i="9" l="1"/>
  <c r="C35" i="9"/>
  <c r="F118" i="9" s="1"/>
  <c r="H118" i="9"/>
  <c r="C34" i="9" l="1"/>
  <c r="D118" i="9" s="1"/>
  <c r="D4" i="52" s="1"/>
  <c r="B47" i="72" s="1"/>
  <c r="C104" i="9"/>
  <c r="H119" i="9"/>
  <c r="H5" i="52" s="1"/>
  <c r="H101" i="9"/>
  <c r="I118" i="9"/>
  <c r="H4" i="52"/>
  <c r="D14" i="74"/>
  <c r="F119" i="9"/>
  <c r="F5" i="52" s="1"/>
  <c r="B53" i="72" s="1"/>
  <c r="G118" i="9"/>
  <c r="G4" i="52" s="1"/>
  <c r="B52" i="72" s="1"/>
  <c r="F4" i="52"/>
  <c r="B51" i="72" s="1"/>
  <c r="D119" i="9" l="1"/>
  <c r="D5" i="52" s="1"/>
  <c r="B49" i="72" s="1"/>
  <c r="B5" i="74"/>
  <c r="E14" i="74"/>
  <c r="F14" i="74"/>
  <c r="I4" i="52"/>
  <c r="H102" i="9"/>
  <c r="D7" i="53" s="1"/>
  <c r="B21" i="72" s="1"/>
  <c r="C105" i="9"/>
  <c r="E118" i="9"/>
  <c r="E4" i="52" s="1"/>
  <c r="B48" i="72" s="1"/>
  <c r="M48" i="9"/>
  <c r="H107" i="9"/>
  <c r="D5" i="53"/>
  <c r="D45" i="9"/>
  <c r="D6" i="53" l="1"/>
  <c r="B22" i="72" s="1"/>
  <c r="B20" i="72"/>
  <c r="C78" i="9"/>
  <c r="C73" i="9" s="1"/>
  <c r="D55" i="9"/>
  <c r="M53" i="9" s="1"/>
  <c r="C64" i="9"/>
  <c r="C63" i="9" s="1"/>
  <c r="C67" i="9" s="1"/>
  <c r="C68" i="9" s="1"/>
  <c r="D54" i="9" s="1"/>
  <c r="D53" i="9"/>
  <c r="C72" i="9"/>
  <c r="C79" i="9" s="1"/>
  <c r="C93" i="9"/>
  <c r="C86" i="9" s="1"/>
  <c r="D52" i="9"/>
  <c r="C85" i="9"/>
  <c r="D122" i="9"/>
  <c r="M49" i="9"/>
  <c r="H108" i="9"/>
  <c r="D15" i="53" s="1"/>
  <c r="B31" i="72" s="1"/>
  <c r="D13" i="53"/>
  <c r="D5" i="74"/>
  <c r="C5" i="74"/>
  <c r="C95" i="9" l="1"/>
  <c r="C96" i="9" s="1"/>
  <c r="E96" i="9" s="1"/>
  <c r="E97" i="9" s="1"/>
  <c r="B30" i="72"/>
  <c r="D14" i="53"/>
  <c r="B32" i="72" s="1"/>
  <c r="L63" i="9"/>
  <c r="M63" i="9" s="1"/>
  <c r="L66" i="9"/>
  <c r="M66" i="9" s="1"/>
  <c r="L64" i="9"/>
  <c r="M64" i="9" s="1"/>
  <c r="L67" i="9"/>
  <c r="M67" i="9" s="1"/>
  <c r="L65" i="9"/>
  <c r="M65" i="9" s="1"/>
  <c r="L68" i="9"/>
  <c r="M68" i="9" s="1"/>
  <c r="G14" i="74"/>
  <c r="B6" i="74" s="1"/>
  <c r="D8" i="52"/>
  <c r="D123" i="9"/>
  <c r="D9" i="52" s="1"/>
  <c r="C80" i="9"/>
  <c r="E80" i="9" s="1"/>
  <c r="E81" i="9" s="1"/>
  <c r="C97" i="9" l="1"/>
  <c r="D58" i="9" s="1"/>
  <c r="D56" i="9" s="1"/>
  <c r="M54" i="9" s="1"/>
  <c r="N57" i="9" s="1"/>
  <c r="P57" i="9" s="1"/>
  <c r="C81" i="9"/>
  <c r="D6" i="74"/>
  <c r="C6" i="74"/>
  <c r="M69" i="9"/>
  <c r="N69" i="9" s="1"/>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<sst xmlns="http://schemas.openxmlformats.org/spreadsheetml/2006/main" count="7847" uniqueCount="3288">
  <si>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</si>
  <si>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</si>
  <si>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</si>
  <si>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</si>
  <si>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</si>
  <si>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</si>
  <si>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</si>
  <si>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</si>
  <si>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</si>
  <si>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</si>
  <si>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</si>
  <si>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</si>
  <si>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</si>
  <si>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</si>
  <si>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</si>
  <si>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</si>
  <si>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</si>
  <si>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</si>
  <si>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</si>
  <si>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</si>
  <si>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</si>
  <si>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</si>
  <si>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</si>
  <si>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</si>
  <si>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</si>
  <si>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</si>
  <si>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</si>
  <si>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</si>
  <si>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</si>
  <si>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</si>
  <si>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</si>
  <si>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</si>
  <si>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</si>
  <si>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</si>
  <si>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</si>
  <si>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</si>
  <si>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</si>
  <si>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</si>
  <si>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</si>
  <si>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</si>
  <si>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</si>
  <si>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</si>
  <si>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</si>
  <si>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</si>
  <si>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</si>
  <si>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</si>
  <si>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</si>
  <si>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</si>
  <si>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</si>
  <si>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</si>
  <si>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</si>
  <si>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</si>
  <si>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</si>
  <si>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</si>
  <si>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</si>
  <si>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</si>
  <si>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</si>
  <si>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</si>
  <si>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</si>
  <si>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</si>
  <si>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</si>
  <si>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</si>
  <si>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</si>
  <si>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</si>
  <si>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</si>
  <si>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</si>
  <si>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</si>
  <si>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</si>
  <si>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</si>
  <si>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</si>
  <si>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</si>
  <si>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</si>
  <si>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</si>
  <si>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</si>
  <si>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</si>
  <si>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</si>
  <si>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</si>
  <si>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</si>
  <si>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</si>
  <si>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</si>
  <si>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</si>
  <si>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</si>
  <si>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</si>
  <si>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</si>
  <si>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</si>
  <si>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</si>
  <si>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</si>
  <si>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</si>
  <si>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</si>
  <si>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</si>
  <si>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</si>
  <si>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</si>
  <si>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</si>
  <si>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</si>
  <si>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</si>
  <si>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</si>
  <si>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</si>
  <si>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</si>
  <si>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</si>
  <si>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</si>
  <si>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</si>
  <si>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</si>
  <si>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</si>
  <si>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</si>
  <si>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</si>
  <si>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</si>
  <si>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</si>
  <si>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</si>
  <si>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</si>
  <si>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</si>
  <si>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</si>
  <si>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</si>
  <si>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</si>
  <si>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</si>
  <si>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</si>
  <si>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</si>
  <si>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</si>
  <si>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</si>
  <si>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</si>
  <si>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</si>
  <si>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</si>
  <si>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</si>
  <si>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</si>
  <si>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</si>
  <si>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</si>
  <si>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</si>
  <si>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</si>
  <si>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</si>
  <si>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</si>
  <si>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</si>
  <si>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</si>
  <si>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</si>
  <si>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</si>
  <si>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</si>
  <si>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</si>
  <si>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</si>
  <si>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</si>
  <si>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</si>
  <si>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</si>
  <si>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</si>
  <si>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</si>
  <si>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</si>
  <si>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</si>
  <si>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</si>
  <si>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</si>
  <si>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</si>
  <si>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</si>
  <si>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</si>
  <si>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</si>
  <si>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</si>
  <si>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</si>
  <si>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</si>
  <si>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</si>
  <si>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</si>
  <si>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</si>
  <si>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</si>
  <si>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</si>
  <si>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</si>
  <si>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</si>
  <si>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</si>
  <si>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</si>
  <si>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</si>
  <si>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</si>
  <si>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</si>
  <si>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</si>
  <si>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</si>
  <si>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</si>
  <si>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</si>
  <si>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</si>
  <si>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</si>
  <si>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</si>
  <si>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</si>
  <si>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</si>
  <si>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</si>
  <si>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</si>
  <si>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</si>
  <si>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</si>
  <si>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</si>
  <si>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</si>
  <si>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</si>
  <si>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</si>
  <si>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</si>
  <si>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</si>
  <si>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</si>
  <si>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</si>
  <si>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</si>
  <si>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</si>
  <si>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</si>
  <si>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</si>
  <si>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</si>
  <si>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</si>
  <si>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</si>
  <si>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</si>
  <si>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</si>
  <si>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</si>
  <si>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</si>
  <si>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</si>
  <si>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</si>
  <si>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</si>
  <si>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</si>
  <si>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</si>
  <si>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</si>
  <si>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</si>
  <si>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</si>
  <si>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</si>
  <si>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</si>
  <si>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</si>
  <si>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</si>
  <si>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</si>
  <si>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</si>
  <si>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</si>
  <si>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</si>
  <si>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</si>
  <si>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</si>
  <si>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</si>
  <si>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</si>
  <si>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</si>
  <si>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</si>
  <si>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</si>
  <si>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</si>
  <si>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</si>
  <si>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</si>
  <si>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</si>
  <si>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</si>
  <si>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</si>
  <si>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</si>
  <si>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</si>
  <si>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</si>
  <si>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</si>
  <si>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</si>
  <si>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</si>
  <si>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</si>
  <si>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</si>
  <si>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</si>
  <si>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</si>
  <si>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</si>
  <si>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</si>
  <si>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</si>
  <si>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</si>
  <si>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</si>
  <si>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</si>
  <si>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</si>
  <si>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</si>
  <si>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</si>
  <si>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</si>
  <si>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</si>
  <si>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</si>
  <si>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</si>
  <si>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</si>
  <si>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</si>
  <si>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</si>
  <si>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</si>
  <si>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</si>
  <si>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</si>
  <si>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</si>
  <si>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</si>
  <si>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</si>
  <si>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</si>
  <si>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</si>
  <si>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</si>
  <si>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</si>
  <si>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</si>
  <si>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</si>
  <si>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</si>
  <si>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</si>
  <si>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</si>
  <si>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</si>
  <si>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</si>
  <si>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</si>
  <si>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</si>
  <si>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</si>
  <si>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</si>
  <si>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</si>
  <si>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</si>
  <si>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</si>
  <si>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</si>
  <si>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</si>
  <si>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</si>
  <si>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</si>
  <si>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</si>
  <si>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</si>
  <si>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</si>
  <si>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</si>
  <si>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</si>
  <si>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</si>
  <si>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</si>
  <si>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</si>
  <si>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</si>
  <si>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</si>
  <si>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</si>
  <si>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</si>
  <si>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</si>
  <si>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</si>
  <si>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</si>
  <si>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</si>
  <si>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</si>
  <si>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</si>
  <si>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</si>
  <si>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</si>
  <si>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</si>
  <si>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</si>
  <si>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</si>
  <si>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</si>
  <si>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</si>
  <si>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</si>
  <si>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</si>
  <si>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</si>
  <si>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</si>
  <si>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</si>
  <si>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</si>
  <si>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</si>
  <si>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</si>
  <si>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</si>
  <si>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</si>
  <si>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</si>
  <si>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</si>
  <si>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</si>
  <si>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</si>
  <si>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</si>
  <si>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</si>
  <si>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</si>
  <si>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</si>
  <si>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</si>
  <si>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</si>
  <si>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</si>
  <si>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</si>
  <si>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</si>
  <si>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</si>
  <si>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</si>
  <si>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</si>
  <si>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</si>
  <si>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</si>
  <si>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</si>
  <si>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</si>
  <si>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</si>
  <si>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</si>
  <si>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</si>
  <si>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</si>
  <si>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</si>
  <si>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</si>
  <si>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</si>
  <si>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</si>
  <si>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</si>
  <si>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</si>
  <si>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</si>
  <si>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</si>
  <si>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</si>
  <si>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</si>
  <si>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</si>
  <si>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</si>
  <si>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</si>
  <si>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</si>
  <si>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</si>
  <si>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</si>
  <si>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</si>
  <si>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</si>
  <si>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</si>
  <si>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</si>
  <si>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</si>
  <si>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</si>
  <si>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</si>
  <si>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</si>
  <si>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</si>
  <si>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</si>
  <si>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</si>
  <si>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</si>
  <si>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</si>
  <si>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</si>
  <si>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</si>
  <si>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</si>
  <si>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</si>
  <si>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</si>
  <si>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</si>
  <si>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</si>
  <si>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</si>
  <si>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</si>
  <si>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</si>
  <si>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</si>
  <si>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</si>
  <si>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</si>
  <si>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</si>
  <si>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</si>
  <si>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</si>
  <si>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</si>
  <si>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</si>
  <si>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</si>
  <si>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</si>
  <si>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</si>
  <si>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</si>
  <si>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</si>
  <si>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</si>
  <si>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</si>
  <si>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</si>
  <si>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</si>
  <si>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</si>
  <si>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</si>
  <si>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</si>
  <si>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</si>
  <si>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</si>
  <si>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</si>
  <si>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</si>
  <si>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</si>
  <si>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</si>
  <si>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</si>
  <si>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</si>
  <si>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</si>
  <si>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</si>
  <si>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</si>
  <si>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</si>
  <si>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</si>
  <si>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</si>
  <si>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</si>
  <si>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</si>
  <si>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</si>
  <si>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</si>
  <si>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</si>
  <si>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</si>
  <si>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</si>
  <si>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</si>
  <si>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</si>
  <si>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</si>
  <si>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</si>
  <si>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</si>
  <si>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</si>
  <si>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</si>
  <si>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</si>
  <si>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</si>
  <si>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</si>
  <si>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</si>
  <si>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</si>
  <si>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</si>
  <si>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</si>
  <si>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</si>
  <si>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</si>
  <si>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</si>
  <si>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</si>
  <si>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</si>
  <si>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</si>
  <si>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</si>
  <si>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</si>
  <si>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</si>
  <si>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</si>
  <si>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</si>
  <si>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</si>
  <si>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</si>
  <si>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</si>
  <si>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</si>
  <si>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</si>
  <si>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</si>
  <si>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</si>
  <si>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</si>
  <si>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</si>
  <si>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</si>
  <si>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</si>
  <si>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</si>
  <si>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</si>
  <si>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</si>
  <si>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</si>
  <si>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</si>
  <si>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</si>
  <si>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</si>
  <si>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</si>
  <si>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</si>
  <si>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</si>
  <si>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</si>
  <si>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</si>
  <si>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</si>
  <si>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</si>
  <si>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</si>
  <si>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</si>
  <si>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</si>
  <si>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</si>
  <si>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</si>
  <si>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</si>
  <si>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</si>
  <si>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</si>
  <si>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</si>
  <si>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</si>
  <si>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</si>
  <si>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</si>
  <si>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</si>
  <si>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</si>
  <si>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</si>
  <si>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</si>
  <si>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</si>
  <si>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</si>
  <si>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</si>
  <si>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</si>
  <si>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</si>
  <si>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</si>
  <si>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</si>
  <si>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</si>
  <si>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</si>
  <si>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</si>
  <si>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</si>
  <si>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</si>
  <si>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</si>
  <si>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</si>
  <si>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</si>
  <si>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</si>
  <si>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</si>
  <si>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</si>
  <si>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</si>
  <si>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</si>
  <si>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</si>
  <si>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</si>
  <si>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</si>
  <si>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</si>
  <si>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</si>
  <si>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</si>
  <si>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</si>
  <si>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</si>
  <si>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</si>
  <si>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</si>
  <si>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</si>
  <si>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</si>
  <si>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</si>
  <si>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</si>
  <si>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</si>
  <si>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</si>
  <si>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</si>
  <si>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</si>
  <si>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</si>
  <si>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</si>
  <si>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</si>
  <si>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</si>
  <si>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</si>
  <si>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</si>
  <si>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</si>
  <si>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</si>
  <si>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</si>
  <si>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</si>
  <si>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</si>
  <si>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</si>
  <si>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</si>
  <si>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</si>
  <si>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</si>
  <si>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</si>
  <si>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</si>
  <si>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</si>
  <si>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</si>
  <si>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</si>
  <si>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</si>
  <si>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</si>
  <si>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</si>
  <si>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</si>
  <si>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</si>
  <si>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</si>
  <si>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</si>
  <si>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</si>
  <si>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</si>
  <si>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</si>
  <si>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</si>
  <si>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</si>
  <si>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</si>
  <si>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</si>
  <si>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</si>
  <si>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</si>
  <si>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</si>
  <si>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</si>
  <si>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</si>
  <si>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</si>
  <si>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</si>
  <si>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</si>
  <si>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</si>
  <si>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</si>
  <si>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</si>
  <si>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</si>
  <si>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</si>
  <si>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</si>
  <si>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</si>
  <si>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</si>
  <si>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</si>
  <si>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</si>
  <si>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</si>
  <si>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</si>
  <si>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</si>
  <si>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</si>
  <si>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</si>
  <si>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</si>
  <si>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</si>
  <si>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</si>
  <si>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</si>
  <si>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</si>
  <si>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</si>
  <si>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</si>
  <si>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</si>
  <si>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</si>
  <si>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</si>
  <si>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</si>
  <si>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</si>
  <si>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</si>
  <si>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</si>
  <si>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</si>
  <si>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</si>
  <si>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</si>
  <si>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</si>
  <si>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</si>
  <si>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</si>
  <si>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</si>
  <si>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</si>
  <si>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</si>
  <si>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</si>
  <si>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</si>
  <si>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</si>
  <si>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</si>
  <si>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</si>
  <si>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</si>
  <si>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</si>
  <si>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</si>
  <si>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</si>
  <si>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</si>
  <si>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</si>
  <si>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</si>
  <si>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</si>
  <si>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</si>
  <si>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</si>
  <si>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</si>
  <si>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</si>
  <si>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</si>
  <si>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</si>
  <si>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</si>
  <si>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</si>
  <si>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</si>
  <si>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</si>
  <si>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</si>
  <si>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</si>
  <si>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</si>
  <si>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</si>
  <si>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</si>
  <si>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</si>
  <si>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</si>
  <si>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</si>
  <si>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</si>
  <si>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</si>
  <si>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</si>
  <si>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</si>
  <si>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</si>
  <si>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</si>
  <si>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</si>
  <si>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</si>
  <si>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</si>
  <si>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</si>
  <si>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</si>
  <si>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</si>
  <si>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</si>
  <si>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</si>
  <si>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</si>
  <si>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</si>
  <si>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</si>
  <si>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</si>
  <si>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</si>
  <si>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</si>
  <si>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</si>
  <si>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</si>
  <si>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</si>
  <si>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</si>
  <si>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</si>
  <si>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</si>
  <si>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</si>
  <si>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</si>
  <si>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</si>
  <si>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</si>
  <si>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</si>
  <si>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</si>
  <si>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</si>
  <si>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</si>
  <si>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</si>
  <si>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</si>
  <si>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</si>
  <si>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</si>
  <si>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</si>
  <si>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</si>
  <si>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</si>
  <si>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</si>
  <si>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</si>
  <si>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</si>
  <si>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</si>
  <si>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</si>
  <si>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</si>
  <si>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</si>
  <si>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</si>
  <si>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</si>
  <si>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</si>
  <si>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</si>
  <si>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</si>
  <si>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</si>
  <si>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</si>
  <si>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</si>
  <si>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</si>
  <si>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</si>
  <si>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</si>
  <si>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</si>
  <si>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</si>
  <si>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</si>
  <si>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</si>
  <si>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</si>
  <si>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</si>
  <si>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</si>
  <si>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</si>
  <si>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</si>
  <si>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</si>
  <si>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</si>
  <si>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</si>
  <si>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</si>
  <si>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</si>
  <si>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</si>
  <si>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</si>
  <si>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</si>
  <si>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</si>
  <si>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</si>
  <si>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</si>
  <si>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</si>
  <si>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</si>
  <si>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</si>
  <si>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</si>
  <si>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</si>
  <si>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</si>
  <si>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</si>
  <si>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</si>
  <si>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</si>
  <si>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</si>
  <si>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</si>
  <si>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</si>
  <si>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</si>
  <si>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</si>
  <si>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</si>
  <si>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</si>
  <si>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</si>
  <si>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</si>
  <si>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</si>
  <si>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</si>
  <si>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</si>
  <si>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</si>
  <si>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</si>
  <si>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</si>
  <si>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</si>
  <si>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</si>
  <si>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</si>
  <si>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</si>
  <si>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</si>
  <si>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</si>
  <si>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</si>
  <si>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</si>
  <si>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</si>
  <si>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</si>
  <si>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</si>
  <si>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</si>
  <si>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</si>
  <si>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</si>
  <si>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</si>
  <si>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</si>
  <si>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</si>
  <si>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</si>
  <si>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</si>
  <si>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</si>
  <si>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</si>
  <si>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</si>
  <si>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</si>
  <si>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</si>
  <si>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</si>
  <si>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</si>
  <si>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</si>
  <si>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</si>
  <si>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</si>
  <si>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</si>
  <si>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</si>
  <si>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</si>
  <si>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</si>
  <si>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</si>
  <si>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</si>
  <si>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</si>
  <si>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</si>
  <si>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</si>
  <si>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</si>
  <si>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</si>
  <si>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</si>
  <si>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</si>
  <si>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</si>
  <si>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</si>
  <si>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</si>
  <si>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</si>
  <si>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</si>
  <si>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</si>
  <si>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</si>
  <si>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</si>
  <si>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</si>
  <si>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</si>
  <si>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</si>
  <si>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</si>
  <si>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</si>
  <si>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</si>
  <si>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</si>
  <si>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</si>
  <si>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</si>
  <si>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</si>
  <si>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</si>
  <si>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</si>
  <si>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</si>
  <si>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</si>
  <si>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</si>
  <si>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</si>
  <si>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</si>
  <si>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</si>
  <si>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</si>
  <si>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</si>
  <si>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</si>
  <si>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</si>
  <si>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</si>
  <si>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</si>
  <si>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</si>
  <si>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</si>
  <si>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</si>
  <si>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</si>
  <si>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</si>
  <si>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</si>
  <si>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</si>
  <si>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</si>
  <si>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</si>
  <si>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</si>
  <si>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</si>
  <si>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</si>
  <si>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</si>
  <si>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</si>
  <si>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</si>
  <si>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</si>
  <si>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</si>
  <si>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</si>
  <si>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</si>
  <si>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</si>
  <si>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</si>
  <si>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</si>
  <si>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</si>
  <si>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</si>
  <si>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</si>
  <si>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</si>
  <si>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</si>
  <si>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</si>
  <si>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</si>
  <si>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</si>
  <si>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</si>
  <si>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</si>
  <si>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</si>
  <si>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</si>
  <si>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</si>
  <si>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</si>
  <si>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</si>
  <si>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</si>
  <si>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</si>
  <si>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</si>
  <si>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</si>
  <si>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</si>
  <si>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</si>
  <si>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</si>
  <si>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</si>
  <si>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</si>
  <si>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</si>
  <si>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</si>
  <si>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</si>
  <si>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</si>
  <si>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</si>
  <si>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</si>
  <si>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</si>
  <si>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</si>
  <si>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</si>
  <si>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</si>
  <si>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</si>
  <si>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</si>
  <si>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</si>
  <si>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</si>
  <si>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</si>
  <si>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</si>
  <si>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</si>
  <si>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</si>
  <si>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</si>
  <si>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</si>
  <si>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</si>
  <si>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</si>
  <si>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</si>
  <si>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</si>
  <si>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</si>
  <si>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</si>
  <si>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</si>
  <si>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</si>
  <si>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</si>
  <si>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</si>
  <si>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</si>
  <si>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</si>
  <si>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</si>
  <si>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</si>
  <si>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</si>
  <si>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</si>
  <si>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</si>
  <si>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</si>
  <si>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</si>
  <si>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</si>
  <si>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</si>
  <si>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</si>
  <si>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</si>
  <si>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</si>
  <si>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</si>
  <si>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</si>
  <si>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</si>
  <si>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</si>
  <si>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</si>
  <si>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</si>
  <si>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</si>
  <si>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</si>
  <si>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</si>
  <si>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</si>
  <si>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</si>
  <si>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</si>
  <si>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</si>
  <si>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</si>
  <si>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</si>
  <si>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</si>
  <si>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</si>
  <si>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</si>
  <si>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</si>
  <si>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</si>
  <si>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</si>
  <si>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</si>
  <si>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</si>
  <si>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</si>
  <si>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</si>
  <si>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</si>
  <si>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</si>
  <si>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</si>
  <si>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</si>
  <si>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</si>
  <si>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</si>
  <si>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</si>
  <si>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</si>
  <si>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</si>
  <si>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</si>
  <si>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</si>
  <si>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</si>
  <si>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</si>
  <si>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</si>
  <si>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</si>
  <si>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</si>
  <si>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</si>
  <si>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</si>
  <si>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</si>
  <si>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</si>
  <si>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</si>
  <si>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</si>
  <si>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</si>
  <si>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</si>
  <si>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</si>
  <si>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</si>
  <si>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</si>
  <si>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</si>
  <si>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</si>
  <si>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</si>
  <si>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</si>
  <si>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</si>
  <si>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</si>
  <si>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</si>
  <si>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</si>
  <si>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</si>
  <si>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</si>
  <si>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</si>
  <si>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</si>
  <si>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</si>
  <si>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</si>
  <si>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</si>
  <si>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</si>
  <si>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</si>
  <si>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</si>
  <si>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</si>
  <si>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</si>
  <si>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</si>
  <si>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</si>
  <si>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</si>
  <si>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</si>
  <si>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</si>
  <si>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</si>
  <si>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</si>
  <si>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</si>
  <si>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</si>
  <si>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</si>
  <si>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</si>
  <si>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</si>
  <si>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</si>
  <si>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</si>
  <si>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</si>
  <si>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</si>
  <si>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</si>
  <si>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</si>
  <si>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</si>
  <si>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</si>
  <si>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</si>
  <si>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</si>
  <si>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</si>
  <si>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</si>
  <si>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</si>
  <si>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</si>
  <si>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</si>
  <si>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</si>
  <si>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</si>
  <si>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</si>
  <si>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</si>
  <si>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</si>
  <si>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</si>
  <si>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</si>
  <si>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</si>
  <si>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</si>
  <si>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</si>
  <si>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</si>
  <si>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</si>
  <si>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</si>
  <si>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</si>
  <si>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</si>
  <si>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</si>
  <si>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</si>
  <si>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</si>
  <si>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</si>
  <si>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</si>
  <si>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</si>
  <si>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</si>
  <si>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</si>
  <si>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</si>
  <si>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</si>
  <si>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</si>
  <si>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</si>
  <si>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</si>
  <si>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</si>
  <si>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</si>
  <si>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</si>
  <si>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</si>
  <si>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</si>
  <si>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</si>
  <si>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</si>
  <si>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</si>
  <si>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</si>
  <si>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</si>
  <si>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</si>
  <si>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</si>
  <si>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</si>
  <si>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</si>
  <si>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</si>
  <si>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</si>
  <si>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</si>
  <si>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</si>
  <si>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</si>
  <si>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</si>
  <si>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</si>
  <si>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</si>
  <si>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</si>
  <si>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</si>
  <si>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</si>
  <si>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</si>
  <si>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</si>
  <si>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</si>
  <si>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</si>
  <si>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</si>
  <si>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</si>
  <si>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</si>
  <si>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</si>
  <si>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</si>
  <si>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</si>
  <si>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</si>
  <si>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</si>
  <si>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</si>
  <si>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</si>
  <si>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</si>
  <si>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</si>
  <si>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</si>
  <si>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</si>
  <si>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</si>
  <si>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</si>
  <si>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</si>
  <si>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</si>
  <si>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</si>
  <si>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</si>
  <si>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</si>
  <si>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</si>
  <si>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</si>
  <si>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</si>
  <si>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</si>
  <si>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</si>
  <si>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</si>
  <si>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</si>
  <si>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</si>
  <si>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</si>
  <si>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</si>
  <si>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</si>
  <si>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</si>
  <si>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</si>
  <si>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</si>
  <si>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</si>
  <si>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</si>
  <si>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</si>
  <si>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</si>
  <si>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</si>
  <si>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</si>
  <si>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</si>
  <si>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</si>
  <si>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</si>
  <si>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</si>
  <si>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</si>
  <si>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</si>
  <si>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</si>
  <si>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</si>
  <si>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</si>
  <si>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</si>
  <si>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</si>
  <si>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</si>
  <si>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</si>
  <si>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</si>
  <si>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</si>
  <si>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</si>
  <si>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</si>
  <si>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</si>
  <si>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</si>
  <si>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</si>
  <si>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</si>
  <si>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</si>
  <si>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</si>
  <si>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</si>
  <si>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</si>
  <si>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</si>
  <si>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</si>
  <si>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</si>
  <si>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</si>
  <si>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</si>
  <si>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</si>
  <si>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</si>
  <si>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</si>
  <si>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</si>
  <si>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</si>
  <si>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</si>
  <si>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</si>
  <si>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</si>
  <si>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</si>
  <si>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</si>
  <si>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</si>
  <si>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</si>
  <si>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</si>
  <si>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</si>
  <si>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</si>
  <si>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</si>
  <si>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</si>
  <si>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</si>
  <si>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</si>
  <si>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</si>
  <si>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</si>
  <si>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</si>
  <si>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</si>
  <si>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</si>
  <si>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</si>
  <si>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</si>
  <si>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</si>
  <si>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</si>
  <si>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</si>
  <si>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</si>
  <si>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</si>
  <si>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</si>
  <si>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</si>
  <si>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</si>
  <si>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</si>
  <si>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</si>
  <si>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</si>
  <si>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</si>
  <si>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</si>
  <si>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</si>
  <si>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</si>
  <si>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</si>
  <si>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</si>
  <si>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</si>
  <si>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</si>
  <si>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</si>
  <si>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</si>
  <si>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</si>
  <si>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</si>
  <si>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</si>
  <si>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</si>
  <si>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</si>
  <si>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</si>
  <si>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</si>
  <si>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</si>
  <si>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</si>
  <si>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</si>
  <si>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</si>
  <si>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</si>
  <si>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</si>
  <si>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</si>
  <si>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</si>
  <si>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</si>
  <si>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</si>
  <si>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</si>
  <si>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</si>
  <si>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</si>
  <si>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</si>
  <si>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</si>
  <si>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</si>
  <si>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</si>
  <si>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</si>
  <si>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</si>
  <si>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</si>
  <si>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</si>
  <si>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</si>
  <si>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</si>
  <si>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</si>
  <si>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</si>
  <si>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</si>
  <si>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</si>
  <si>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</si>
  <si>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</si>
  <si>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</si>
  <si>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</si>
  <si>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</si>
  <si>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</si>
  <si>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</si>
  <si>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</si>
  <si>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</si>
  <si>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</si>
  <si>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</si>
  <si>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</si>
  <si>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</si>
  <si>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</si>
  <si>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</si>
  <si>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</si>
  <si>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</si>
  <si>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</si>
  <si>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</si>
  <si>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</si>
  <si>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</si>
  <si>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</si>
  <si>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</si>
  <si>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</si>
  <si>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</si>
  <si>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</si>
  <si>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</si>
  <si>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</si>
  <si>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</si>
  <si>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</si>
  <si>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</si>
  <si>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</si>
  <si>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</si>
  <si>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</si>
  <si>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</si>
  <si>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</si>
  <si>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</si>
  <si>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</si>
  <si>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</si>
  <si>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</si>
  <si>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</si>
  <si>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</si>
  <si>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</si>
  <si>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</si>
  <si>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</si>
  <si>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</si>
  <si>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</si>
  <si>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</si>
  <si>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</si>
  <si>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</si>
  <si>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</si>
  <si>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</si>
  <si>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</si>
  <si>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</si>
  <si>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</si>
  <si>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</si>
  <si>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</si>
  <si>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</si>
  <si>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</si>
  <si>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</si>
  <si>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</si>
  <si>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</si>
  <si>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</si>
  <si>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</si>
  <si>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</si>
  <si>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</si>
  <si>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</si>
  <si>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</si>
  <si>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</si>
  <si>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</si>
  <si>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</si>
  <si>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</si>
  <si>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</si>
  <si>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</si>
  <si>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</si>
  <si>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</si>
  <si>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</si>
  <si>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</si>
  <si>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</si>
  <si>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</si>
  <si>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</si>
  <si>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</si>
  <si>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</si>
  <si>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</si>
  <si>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</si>
  <si>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</si>
  <si>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</si>
  <si>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</si>
  <si>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</si>
  <si>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</si>
  <si>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</si>
  <si>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</si>
  <si>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</si>
  <si>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</si>
  <si>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</si>
  <si>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</si>
  <si>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</si>
  <si>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</si>
  <si>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</si>
  <si>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</si>
  <si>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</si>
  <si>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</si>
  <si>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</si>
  <si>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</si>
  <si>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</si>
  <si>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</si>
  <si>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</si>
  <si>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</si>
  <si>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</si>
  <si>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</si>
  <si>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</si>
  <si>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</si>
  <si>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</si>
  <si>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</si>
  <si>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</si>
  <si>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</si>
  <si>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</si>
  <si>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</si>
  <si>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</si>
  <si>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</si>
  <si>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</si>
  <si>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</si>
  <si>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</si>
  <si>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</si>
  <si>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</si>
  <si>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</si>
  <si>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</si>
  <si>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</si>
  <si>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</si>
  <si>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</si>
  <si>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</si>
  <si>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</si>
  <si>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</si>
  <si>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</si>
  <si>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</si>
  <si>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</si>
  <si>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</si>
  <si>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</si>
  <si>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</si>
  <si>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</si>
  <si>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</si>
  <si>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</si>
  <si>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</si>
  <si>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</si>
  <si>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</si>
  <si>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</si>
  <si>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</si>
  <si>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</si>
  <si>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</si>
  <si>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</si>
  <si>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</si>
  <si>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</si>
  <si>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</si>
  <si>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</si>
  <si>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</si>
  <si>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</si>
  <si>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</si>
  <si>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</si>
  <si>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</si>
  <si>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</si>
  <si>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</si>
  <si>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</si>
  <si>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</si>
  <si>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</si>
  <si>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</si>
  <si>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</si>
  <si>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</si>
  <si>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</si>
  <si>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</si>
  <si>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</si>
  <si>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</si>
  <si>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</si>
  <si>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</si>
  <si>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</si>
  <si>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</si>
  <si>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</si>
  <si>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</si>
  <si>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</si>
  <si>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</si>
  <si>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</si>
  <si>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</si>
  <si>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</si>
  <si>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</si>
  <si>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</si>
  <si>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</si>
  <si>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</si>
  <si>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</si>
  <si>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</si>
  <si>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</si>
  <si>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</si>
  <si>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</si>
  <si>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</si>
  <si>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</si>
  <si>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</si>
  <si>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</si>
  <si>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</si>
  <si>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</si>
  <si>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</si>
  <si>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</si>
  <si>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</si>
  <si>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</si>
  <si>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</si>
  <si>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</si>
  <si>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</si>
  <si>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</si>
  <si>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</si>
  <si>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</si>
  <si>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</si>
  <si>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</si>
  <si>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</si>
  <si>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</si>
  <si>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</si>
  <si>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</si>
  <si>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</si>
  <si>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</si>
  <si>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</si>
  <si>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</si>
  <si>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</si>
  <si>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</si>
  <si>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</si>
  <si>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</si>
  <si>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</si>
  <si>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</si>
  <si>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</si>
  <si>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</si>
  <si>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</si>
  <si>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</si>
  <si>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</si>
  <si>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</si>
  <si>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</si>
  <si>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</si>
  <si>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</si>
  <si>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</si>
  <si>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</si>
  <si>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</si>
  <si>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</si>
  <si>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</si>
  <si>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</si>
  <si>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</si>
  <si>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</si>
  <si>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</si>
  <si>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</si>
  <si>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</si>
  <si>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</si>
  <si>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</si>
  <si>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</si>
  <si>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</si>
  <si>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</si>
  <si>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</si>
  <si>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</si>
  <si>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</si>
  <si>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</si>
  <si>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</si>
  <si>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</si>
  <si>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</si>
  <si>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</si>
  <si>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</si>
  <si>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</si>
  <si>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</si>
  <si>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</si>
  <si>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</si>
  <si>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</si>
  <si>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</si>
  <si>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</si>
  <si>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</si>
  <si>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</si>
  <si>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</si>
  <si>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</si>
  <si>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</si>
  <si>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</si>
  <si>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</si>
  <si>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</si>
  <si>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</si>
  <si>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</si>
  <si>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</si>
  <si>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</si>
  <si>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</si>
  <si>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</si>
  <si>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</si>
  <si>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</si>
  <si>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</si>
  <si>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</si>
  <si>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</si>
  <si>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</si>
  <si>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</si>
  <si>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</si>
  <si>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</si>
  <si>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</si>
  <si>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</si>
  <si>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</si>
  <si>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</si>
  <si>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</si>
  <si>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</si>
  <si>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</si>
  <si>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</si>
  <si>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</si>
  <si>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</si>
  <si>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</si>
  <si>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</si>
  <si>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</si>
  <si>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</si>
  <si>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</si>
  <si>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</si>
  <si>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</si>
  <si>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</si>
  <si>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</si>
  <si>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</si>
  <si>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</si>
  <si>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</si>
  <si>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</si>
  <si>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</si>
  <si>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</si>
  <si>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</si>
  <si>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</si>
  <si>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</si>
  <si>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</si>
  <si>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</si>
  <si>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</si>
  <si>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</si>
  <si>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</si>
  <si>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</si>
  <si>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</si>
  <si>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</si>
  <si>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</si>
  <si>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</si>
  <si>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</si>
  <si>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</si>
  <si>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</si>
  <si>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</si>
  <si>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</si>
  <si>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</si>
  <si>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</si>
  <si>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</si>
  <si>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</si>
  <si>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</si>
  <si>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</si>
  <si>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</si>
  <si>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</si>
  <si>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</si>
  <si>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</si>
  <si>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</si>
  <si>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</si>
  <si>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</si>
  <si>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</si>
  <si>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</si>
  <si>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</si>
  <si>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</si>
  <si>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</si>
  <si>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</si>
  <si>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</si>
  <si>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</si>
  <si>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</si>
  <si>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</si>
  <si>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</si>
  <si>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</si>
  <si>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</si>
  <si>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</si>
  <si>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</si>
  <si>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</si>
  <si>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</si>
  <si>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</si>
  <si>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</si>
  <si>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</si>
  <si>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</si>
  <si>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</si>
  <si>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</si>
  <si>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</si>
  <si>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</si>
  <si>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</si>
  <si>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</si>
  <si>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</si>
  <si>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</si>
  <si>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</si>
  <si>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</si>
  <si>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</si>
  <si>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</si>
  <si>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</si>
  <si>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</si>
  <si>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</si>
  <si>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</si>
  <si>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</si>
  <si>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</si>
  <si>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</si>
  <si>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</si>
  <si>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</si>
  <si>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</si>
  <si>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</si>
  <si>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</si>
  <si>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</si>
  <si>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</si>
  <si>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</si>
  <si>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</si>
  <si>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</si>
  <si>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</si>
  <si>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</si>
  <si>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</si>
  <si>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</si>
  <si>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</si>
  <si>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</si>
  <si>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</si>
  <si>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</si>
  <si>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</si>
  <si>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</si>
  <si>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</si>
  <si>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</si>
  <si>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</si>
  <si>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</si>
  <si>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</si>
  <si>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</si>
  <si>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</si>
  <si>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</si>
  <si>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</si>
  <si>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</si>
  <si>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</si>
  <si>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</si>
  <si>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</si>
  <si>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</si>
  <si>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</si>
  <si>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</si>
  <si>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</si>
  <si>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</si>
  <si>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</si>
  <si>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</si>
  <si>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</si>
  <si>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</si>
  <si>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</si>
  <si>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</si>
  <si>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</si>
  <si>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</si>
  <si>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</si>
  <si>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</si>
  <si>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</si>
  <si>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</si>
  <si>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</si>
  <si>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</si>
  <si>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</si>
  <si>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</si>
  <si>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</si>
  <si>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</si>
  <si>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</si>
  <si>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</si>
  <si>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</si>
  <si>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</si>
  <si>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</si>
  <si>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</si>
  <si>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</si>
  <si>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</si>
  <si>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</si>
  <si>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</si>
  <si>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</si>
  <si>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</si>
  <si>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</si>
  <si>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</si>
  <si>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</si>
  <si>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</si>
  <si>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</si>
  <si>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</si>
  <si>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</si>
  <si>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</si>
  <si>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</si>
  <si>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</si>
  <si>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</si>
  <si>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</si>
  <si>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</si>
  <si>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</si>
  <si>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</si>
  <si>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</si>
  <si>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</si>
  <si>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</si>
  <si>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</si>
  <si>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</si>
  <si>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</si>
  <si>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</si>
  <si>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</si>
  <si>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</si>
  <si>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</si>
  <si>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</si>
  <si>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</si>
  <si>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</si>
  <si>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</si>
  <si>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</si>
  <si>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</si>
  <si>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</si>
  <si>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</si>
  <si>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</si>
  <si>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</si>
  <si>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</si>
  <si>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</si>
  <si>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</si>
  <si>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</si>
  <si>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</si>
  <si>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</si>
  <si>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</si>
  <si>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</si>
  <si>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</si>
  <si>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</si>
  <si>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</si>
  <si>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</si>
  <si>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</si>
  <si>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</si>
  <si>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</si>
  <si>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</si>
  <si>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</si>
  <si>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</si>
  <si>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</si>
  <si>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</si>
  <si>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</si>
  <si>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</si>
  <si>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</si>
  <si>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</si>
  <si>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</si>
  <si>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</si>
  <si>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</si>
  <si>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</si>
  <si>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</si>
  <si>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</si>
  <si>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</si>
  <si>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</si>
  <si>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</si>
  <si>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</si>
  <si>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</si>
  <si>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</si>
  <si>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</si>
  <si>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</si>
  <si>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</si>
  <si>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</si>
  <si>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</si>
  <si>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</si>
  <si>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</si>
  <si>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</si>
  <si>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</si>
  <si>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</si>
  <si>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</si>
  <si>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</si>
  <si>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</si>
  <si>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</si>
  <si>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</si>
  <si>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</si>
  <si>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</si>
  <si>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</si>
  <si>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</si>
  <si>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</si>
  <si>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</si>
  <si>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</si>
  <si>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</si>
  <si>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</si>
  <si>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</si>
  <si>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</si>
  <si>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</si>
  <si>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</si>
  <si>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</si>
  <si>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</si>
  <si>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</si>
  <si>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</si>
  <si>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</si>
  <si>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</si>
  <si>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</si>
  <si>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</si>
  <si>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</si>
  <si>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</si>
  <si>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</si>
  <si>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</si>
  <si>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</si>
  <si>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</si>
  <si>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</si>
  <si>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</si>
  <si>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</si>
  <si>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</si>
  <si>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</si>
  <si>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</si>
  <si>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</si>
  <si>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</si>
  <si>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</si>
  <si>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</si>
  <si>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</si>
  <si>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</si>
  <si>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</si>
  <si>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</si>
  <si>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</si>
  <si>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</si>
  <si>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</si>
  <si>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</si>
  <si>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</si>
  <si>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</si>
  <si>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</si>
  <si>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</si>
  <si>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</si>
  <si>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</si>
  <si>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</si>
  <si>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</si>
  <si>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</si>
  <si>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</si>
  <si>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</si>
  <si>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</si>
  <si>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</si>
  <si>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</si>
  <si>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</si>
  <si>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</si>
  <si>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</si>
  <si>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</si>
  <si>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</si>
  <si>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</si>
  <si>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</si>
  <si>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</si>
  <si>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</si>
  <si>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</si>
  <si>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</si>
  <si>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</si>
  <si>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</si>
  <si>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</si>
  <si>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</si>
  <si>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</si>
  <si>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</si>
  <si>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</si>
  <si>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</si>
  <si>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</si>
  <si>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</si>
  <si>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</si>
  <si>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</si>
  <si>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</si>
  <si>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</si>
  <si>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</si>
  <si>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</si>
  <si>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</si>
  <si>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</si>
  <si>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</si>
  <si>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</si>
  <si>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</si>
  <si>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</si>
  <si>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</si>
  <si>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</si>
  <si>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</si>
  <si>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</si>
  <si>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</si>
  <si>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</si>
  <si>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</si>
  <si>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</si>
  <si>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</si>
  <si>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</si>
  <si>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</si>
  <si>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</si>
  <si>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</si>
  <si>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</si>
  <si>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</si>
  <si>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</si>
  <si>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</si>
  <si>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</si>
  <si>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</si>
  <si>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</si>
  <si>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</si>
  <si>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</si>
  <si>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</si>
  <si>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</si>
  <si>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</si>
  <si>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</si>
  <si>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</si>
  <si>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</si>
  <si>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</si>
  <si>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</si>
  <si>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</si>
  <si>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</si>
  <si>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</si>
  <si>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</si>
  <si>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</si>
  <si>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</si>
  <si>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</si>
  <si>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</si>
  <si>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</si>
  <si>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</si>
  <si>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</si>
  <si>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</si>
  <si>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</si>
  <si>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</si>
  <si>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</si>
  <si>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</si>
  <si>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</si>
  <si>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</si>
  <si>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</si>
  <si>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</si>
  <si>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</si>
  <si>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</si>
  <si>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</si>
  <si>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</si>
  <si>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</si>
  <si>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</si>
  <si>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</si>
  <si>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</si>
  <si>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</si>
  <si>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</si>
  <si>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</si>
  <si>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</si>
  <si>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</si>
  <si>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</si>
  <si>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</si>
  <si>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</si>
  <si>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</si>
  <si>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</si>
  <si>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</si>
  <si>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</si>
  <si>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</si>
  <si>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</si>
  <si>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</si>
  <si>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</si>
  <si>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</si>
  <si>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</si>
  <si>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</si>
  <si>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</si>
  <si>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</si>
  <si>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</si>
  <si>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</si>
  <si>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</si>
  <si>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</si>
  <si>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</si>
  <si>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</si>
  <si>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</si>
  <si>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</si>
  <si>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</si>
  <si>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</si>
  <si>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</si>
  <si>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</si>
  <si>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</si>
  <si>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</si>
  <si>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</si>
  <si>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</si>
  <si>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</si>
  <si>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</si>
  <si>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</si>
  <si>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</si>
  <si>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</si>
  <si>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</si>
  <si>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</si>
  <si>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</si>
  <si>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</si>
  <si>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</si>
  <si>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</si>
  <si>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</si>
  <si>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</si>
  <si>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</si>
  <si>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</si>
  <si>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</si>
  <si>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</si>
  <si>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</si>
  <si>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</si>
  <si>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</si>
  <si>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</si>
  <si>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</si>
  <si>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</si>
  <si>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</si>
  <si>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</si>
  <si>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</si>
  <si>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</si>
  <si>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</si>
  <si>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</si>
  <si>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</si>
  <si>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</si>
  <si>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</si>
  <si>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</si>
  <si>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</si>
  <si>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</si>
  <si>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</si>
  <si>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</si>
  <si>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</si>
  <si>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</si>
  <si>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</si>
  <si>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</si>
  <si>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</si>
  <si>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</si>
  <si>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</si>
  <si>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</si>
  <si>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</si>
  <si>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</si>
  <si>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</si>
  <si>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</si>
  <si>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</si>
  <si>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</si>
  <si>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</si>
  <si>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</si>
  <si>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</si>
  <si>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</si>
  <si>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</si>
  <si>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</si>
  <si>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</si>
  <si>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</si>
  <si>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</si>
  <si>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</si>
  <si>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</si>
  <si>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</si>
  <si>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</si>
  <si>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</si>
  <si>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</si>
  <si>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</si>
  <si>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</si>
  <si>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</si>
  <si>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</si>
  <si>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</si>
  <si>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</si>
  <si>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</si>
  <si>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</si>
  <si>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</si>
  <si>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</si>
  <si>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</si>
  <si>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</si>
  <si>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</si>
  <si>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</si>
  <si>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</si>
  <si>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</si>
  <si>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</si>
  <si>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</si>
  <si>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</si>
  <si>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</si>
  <si>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</si>
  <si>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</si>
  <si>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</si>
  <si>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</si>
  <si>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</si>
  <si>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</si>
  <si>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</si>
  <si>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</si>
  <si>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</si>
  <si>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</si>
  <si>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</si>
  <si>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</si>
  <si>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</si>
  <si>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</si>
  <si>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</si>
  <si>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</si>
  <si>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</si>
  <si>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</si>
  <si>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</si>
  <si>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</si>
  <si>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</si>
  <si>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</si>
  <si>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</si>
  <si>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</si>
  <si>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</si>
  <si>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</si>
  <si>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</si>
  <si>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</si>
  <si>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</si>
  <si>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</si>
  <si>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</si>
  <si>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</si>
  <si>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</si>
  <si>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</si>
  <si>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</si>
  <si>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</si>
  <si>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</si>
  <si>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</si>
  <si>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</si>
  <si>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</si>
  <si>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</si>
  <si>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</si>
  <si>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</si>
  <si>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</si>
  <si>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</si>
  <si>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</si>
  <si>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</si>
  <si>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</si>
  <si>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</si>
  <si>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</si>
  <si>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</si>
  <si>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</si>
  <si>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</si>
  <si>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</si>
  <si>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</si>
  <si>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</si>
  <si>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</si>
  <si>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</si>
  <si>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</si>
  <si>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</si>
  <si>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</si>
  <si>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</si>
  <si>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</si>
  <si>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</si>
  <si>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</si>
  <si>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</si>
  <si>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</si>
  <si>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</si>
  <si>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</si>
  <si>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</si>
  <si>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</si>
  <si>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</si>
  <si>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</si>
  <si>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</si>
  <si>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</si>
  <si>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</si>
  <si>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</si>
  <si>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</si>
  <si>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</si>
  <si>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</si>
  <si>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</si>
  <si>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</si>
  <si>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</si>
  <si>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</si>
  <si>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</si>
  <si>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</si>
  <si>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</si>
  <si>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</si>
  <si>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</si>
  <si>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</si>
  <si>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</si>
  <si>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</si>
  <si>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</si>
  <si>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</si>
  <si>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</si>
  <si>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</si>
  <si>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</si>
  <si>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</si>
  <si>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</si>
  <si>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</si>
  <si>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</si>
  <si>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</si>
  <si>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</si>
  <si>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</si>
  <si>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</si>
  <si>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</si>
  <si>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</si>
  <si>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</si>
  <si>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</si>
  <si>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</si>
  <si>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</si>
  <si>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</si>
  <si>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</si>
  <si>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</si>
  <si>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</si>
  <si>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</si>
  <si>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</si>
  <si>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</si>
  <si>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</si>
  <si>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</si>
  <si>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</si>
  <si>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</si>
  <si>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</si>
  <si>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</si>
  <si>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</si>
  <si>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</si>
  <si>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</si>
  <si>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</si>
  <si>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</si>
  <si>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</si>
  <si>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</si>
  <si>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</si>
  <si>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</si>
  <si>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</si>
  <si>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</si>
  <si>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</si>
  <si>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</si>
  <si>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</si>
  <si>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</si>
  <si>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</si>
  <si>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</si>
  <si>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</si>
  <si>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</si>
  <si>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</si>
  <si>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</si>
  <si>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</si>
  <si>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</si>
  <si>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</si>
  <si>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</si>
  <si>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</si>
  <si>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</si>
  <si>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</si>
  <si>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</si>
  <si>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</si>
  <si>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</si>
  <si>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</si>
  <si>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</si>
  <si>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</si>
  <si>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</si>
  <si>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</si>
  <si>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</si>
  <si>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</si>
  <si>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</si>
  <si>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</si>
  <si>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</si>
  <si>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</si>
  <si>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</si>
  <si>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</si>
  <si>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</si>
  <si>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</si>
  <si>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</si>
  <si>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</si>
  <si>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</si>
  <si>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</si>
  <si>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</si>
  <si>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</si>
  <si>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</si>
  <si>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</si>
  <si>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</si>
  <si>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</si>
  <si>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</si>
  <si>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</si>
  <si>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</si>
  <si>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</si>
  <si>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</si>
  <si>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</si>
  <si>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</si>
  <si>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</si>
  <si>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</si>
  <si>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</si>
  <si>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</si>
  <si>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</si>
  <si>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</si>
  <si>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</si>
  <si>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</si>
  <si>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</si>
  <si>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</si>
  <si>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</si>
  <si>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</si>
  <si>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</si>
  <si>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</si>
  <si>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</si>
  <si>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</si>
  <si>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</si>
  <si>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</si>
  <si>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</si>
  <si>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</si>
  <si>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</si>
  <si>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</si>
  <si>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</si>
  <si>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</si>
  <si>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</si>
  <si>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</si>
  <si>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</si>
  <si>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</si>
  <si>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</si>
  <si>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</si>
  <si>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</si>
  <si>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</si>
  <si>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</si>
  <si>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</si>
  <si>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</si>
  <si>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</si>
  <si>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</si>
  <si>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</si>
  <si>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</si>
  <si>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</si>
  <si>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</si>
  <si>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</si>
  <si>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</si>
  <si>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</si>
  <si>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</si>
  <si>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</si>
  <si>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</si>
  <si>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</si>
  <si>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</si>
  <si>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</si>
  <si>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</si>
  <si>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</si>
  <si>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</si>
  <si>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</si>
  <si>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</si>
  <si>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</si>
  <si>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</si>
  <si>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</si>
  <si>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</si>
  <si>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</si>
  <si>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</si>
  <si>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</si>
  <si>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</si>
  <si>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</si>
  <si>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</si>
  <si>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</si>
  <si>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</si>
  <si>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</si>
  <si>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</si>
  <si>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</si>
  <si>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</si>
  <si>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</si>
  <si>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</si>
  <si>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</si>
  <si>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</si>
  <si>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</si>
  <si>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</si>
  <si>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</si>
  <si>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</si>
  <si>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</si>
  <si>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</si>
  <si>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</si>
  <si>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</si>
  <si>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</si>
  <si>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</si>
  <si>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</si>
  <si>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</si>
  <si>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</si>
  <si>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</si>
  <si>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</si>
  <si>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</si>
  <si>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</si>
  <si>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</si>
  <si>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</si>
  <si>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</si>
  <si>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</si>
  <si>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</si>
  <si>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</si>
  <si>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</si>
  <si>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</si>
  <si>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</si>
  <si>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</si>
  <si>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</si>
  <si>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</si>
  <si>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</si>
  <si>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</si>
  <si>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</si>
  <si>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</si>
  <si>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</si>
  <si>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</si>
  <si>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</si>
  <si>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</si>
  <si>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</si>
  <si>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</si>
  <si>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</si>
  <si>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</si>
  <si>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</si>
  <si>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</si>
  <si>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</si>
  <si>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</si>
  <si>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</si>
  <si>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</si>
  <si>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</si>
  <si>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</si>
  <si>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</si>
  <si>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</si>
  <si>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</si>
  <si>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</si>
  <si>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</si>
  <si>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</si>
  <si>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</si>
  <si>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</si>
  <si>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</si>
  <si>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</si>
  <si>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</si>
  <si>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</si>
  <si>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</si>
  <si>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</si>
  <si>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</si>
  <si>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</si>
  <si>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</si>
  <si>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</si>
  <si>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</si>
  <si>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</si>
  <si>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</si>
  <si>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</si>
  <si>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</si>
  <si>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</si>
  <si>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</si>
  <si>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</si>
  <si>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</si>
  <si>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</si>
  <si>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</si>
  <si>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</si>
  <si>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</si>
  <si>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</si>
  <si>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</si>
  <si>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</si>
  <si>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</si>
  <si>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</si>
  <si>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</si>
  <si>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</si>
  <si>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</si>
  <si>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</si>
  <si>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</si>
  <si>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</si>
  <si>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</si>
  <si>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</si>
  <si>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</si>
  <si>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</si>
  <si>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</si>
  <si>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</si>
  <si>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</si>
  <si>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</si>
  <si>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</si>
  <si>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</si>
  <si>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</si>
  <si>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</si>
  <si>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</si>
  <si>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</si>
  <si>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</si>
  <si>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</si>
  <si>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</si>
  <si>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</si>
  <si>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</si>
  <si>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</si>
  <si>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</si>
  <si>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</si>
  <si>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</si>
  <si>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</si>
  <si>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</si>
  <si>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</si>
  <si>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</si>
  <si>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</si>
  <si>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</si>
  <si>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</si>
  <si>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</si>
  <si>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</si>
  <si>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</si>
  <si>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</si>
  <si>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</si>
  <si>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</si>
  <si>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</si>
  <si>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</si>
  <si>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</si>
  <si>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</si>
  <si>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</si>
  <si>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</si>
  <si>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</si>
  <si>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</si>
  <si>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</si>
  <si>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</si>
  <si>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</si>
  <si>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</si>
  <si>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</si>
  <si>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</si>
  <si>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</si>
  <si>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</si>
  <si>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</si>
  <si>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</si>
  <si>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</si>
  <si>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</si>
  <si>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</si>
  <si>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</si>
  <si>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</si>
  <si>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</si>
  <si>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</si>
  <si>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</si>
  <si>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</si>
  <si>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</si>
  <si>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</si>
  <si>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</si>
  <si>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</si>
  <si>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</si>
  <si>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</si>
  <si>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</si>
  <si>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</si>
  <si>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</si>
  <si>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</si>
  <si>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</si>
  <si>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</si>
  <si>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</si>
  <si>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</si>
  <si>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</si>
  <si>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</si>
  <si>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</si>
  <si>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</si>
  <si>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</si>
  <si>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</si>
  <si>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</si>
  <si>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</si>
  <si>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</si>
  <si>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</si>
  <si>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</si>
  <si>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</si>
  <si>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</si>
  <si>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</si>
  <si>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</si>
  <si>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</si>
  <si>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</si>
  <si>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</si>
  <si>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</si>
  <si>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</si>
  <si>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</si>
  <si>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</si>
  <si>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</si>
  <si>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</si>
  <si>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</si>
  <si>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</si>
  <si>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</si>
  <si>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</si>
  <si>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</si>
  <si>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</si>
  <si>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</si>
  <si>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</si>
  <si>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</si>
  <si>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</si>
  <si>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</si>
  <si>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</si>
  <si>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</si>
  <si>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</si>
  <si>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</si>
  <si>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</si>
  <si>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</si>
  <si>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</si>
  <si>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</si>
  <si>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</si>
  <si>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</si>
  <si>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</si>
  <si>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</si>
  <si>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</si>
  <si>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</si>
  <si>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</si>
  <si>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</si>
  <si>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</si>
  <si>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</si>
  <si>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</si>
  <si>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</si>
  <si>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</si>
  <si>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</si>
  <si>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</si>
  <si>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</si>
  <si>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</si>
  <si>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</si>
  <si>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</si>
  <si>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</si>
  <si>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</si>
  <si>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</si>
  <si>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</si>
  <si>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</si>
  <si>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</si>
  <si>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</si>
  <si>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</si>
  <si>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</si>
  <si>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</si>
  <si>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</si>
  <si>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</si>
  <si>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</si>
  <si>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</si>
  <si>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</si>
  <si>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</si>
  <si>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</si>
  <si>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</si>
  <si>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</si>
  <si>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</si>
  <si>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</si>
  <si>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</si>
  <si>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</si>
  <si>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</si>
  <si>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</si>
  <si>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</si>
  <si>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</si>
  <si>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</si>
  <si>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</si>
  <si>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</si>
  <si>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</si>
  <si>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</si>
  <si>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</si>
  <si>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</si>
  <si>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</si>
  <si>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</si>
  <si>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</si>
  <si>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</si>
  <si>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</si>
  <si>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</si>
  <si>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</si>
  <si>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</si>
  <si>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</si>
  <si>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</si>
  <si>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</si>
  <si>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</si>
  <si>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</si>
  <si>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</si>
  <si>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</si>
  <si>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</si>
  <si>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</si>
  <si>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</si>
  <si>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</si>
  <si>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</si>
  <si>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</si>
  <si>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</si>
  <si>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</si>
  <si>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</si>
  <si>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</si>
  <si>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</si>
  <si>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</si>
  <si>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</si>
  <si>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</si>
  <si>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</si>
  <si>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</si>
  <si>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</si>
  <si>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</si>
  <si>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</si>
  <si>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</si>
  <si>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</si>
  <si>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</si>
  <si>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</si>
  <si>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</si>
  <si>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</si>
  <si>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</si>
  <si>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</si>
  <si>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</si>
  <si>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</si>
  <si>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</si>
  <si>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</si>
  <si>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</si>
  <si>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</si>
  <si>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</si>
  <si>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</si>
  <si>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</si>
  <si>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</si>
  <si>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</si>
  <si>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</si>
  <si>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</si>
  <si>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</si>
  <si>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</si>
  <si>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</si>
  <si>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</si>
  <si>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</si>
  <si>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</si>
  <si>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</si>
  <si>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</si>
  <si>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</si>
  <si>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</si>
  <si>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</si>
  <si>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</si>
  <si>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</si>
  <si>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</si>
  <si>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</si>
  <si>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</si>
  <si>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</si>
  <si>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</si>
  <si>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</si>
  <si>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</si>
  <si>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</si>
  <si>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</si>
  <si>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</si>
  <si>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</si>
  <si>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</si>
  <si>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</si>
  <si>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</si>
  <si>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</si>
  <si>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</si>
  <si>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</si>
  <si>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</si>
  <si>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</si>
  <si>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</si>
  <si>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</si>
  <si>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</si>
  <si>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</si>
  <si>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</si>
  <si>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</si>
  <si>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</si>
  <si>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</si>
  <si>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</si>
  <si>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</si>
  <si>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</si>
  <si>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</si>
  <si>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</si>
  <si>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</si>
  <si>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</si>
  <si>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</si>
  <si>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</si>
  <si>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</si>
  <si>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</si>
  <si>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</si>
  <si>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</si>
  <si>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</si>
  <si>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</si>
  <si>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</si>
  <si>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</si>
  <si>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</si>
  <si>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</si>
  <si>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</si>
  <si>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</si>
  <si>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</si>
  <si>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</si>
  <si>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</si>
  <si>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</si>
  <si>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</si>
  <si>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</si>
  <si>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</si>
  <si>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</si>
  <si>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</si>
  <si>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</si>
  <si>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</si>
  <si>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</si>
  <si>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</si>
  <si>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</si>
  <si>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</si>
  <si>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</si>
  <si>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</si>
  <si>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</si>
  <si>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</si>
  <si>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</si>
  <si>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</si>
  <si>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</si>
  <si>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</si>
  <si>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</si>
  <si>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</si>
  <si>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</si>
  <si>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</si>
  <si>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</si>
  <si>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</si>
  <si>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</si>
  <si>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</si>
  <si>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</si>
  <si>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</si>
  <si>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</si>
  <si>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</si>
  <si>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</si>
  <si>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</si>
  <si>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</si>
  <si>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</si>
  <si>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</si>
  <si>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</si>
  <si>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</si>
  <si>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</si>
  <si>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</si>
  <si>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</si>
  <si>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</si>
  <si>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</si>
  <si>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</si>
  <si>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</si>
  <si>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</si>
  <si>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</si>
  <si>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</si>
  <si>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</si>
  <si>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</si>
  <si>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</si>
  <si>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</si>
  <si>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</si>
  <si>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</si>
  <si>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</si>
  <si>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</si>
  <si>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</si>
  <si>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</si>
  <si>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</si>
  <si>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</si>
  <si>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</si>
  <si>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</si>
  <si>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</si>
  <si>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</si>
  <si>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</si>
  <si>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</si>
  <si>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</si>
  <si>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</si>
  <si>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</si>
  <si>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</si>
  <si>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</si>
  <si>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</si>
  <si>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</si>
  <si>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</si>
  <si>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</si>
  <si>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</si>
  <si>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</si>
  <si>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</si>
  <si>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</si>
  <si>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</si>
  <si>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</si>
  <si>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</si>
  <si>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</si>
  <si>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</si>
  <si>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</si>
  <si>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</si>
  <si>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</si>
  <si>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</si>
  <si>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</si>
  <si>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</si>
  <si>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</si>
  <si>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</si>
  <si>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</si>
  <si>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</si>
  <si>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</si>
  <si>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</si>
  <si>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</si>
  <si>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</si>
  <si>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</si>
  <si>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</si>
  <si>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</si>
  <si>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</si>
  <si>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</si>
  <si>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</si>
  <si>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</si>
  <si>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</si>
  <si>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</si>
  <si>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</si>
  <si>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</si>
  <si>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</si>
  <si>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</si>
  <si>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</si>
  <si>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</si>
  <si>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</si>
  <si>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</si>
  <si>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</si>
  <si>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</si>
  <si>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</si>
  <si>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</si>
  <si>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</si>
  <si>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</si>
  <si>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</si>
  <si>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</si>
  <si>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</si>
  <si>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</si>
  <si>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</si>
  <si>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</si>
  <si>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</si>
  <si>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</si>
  <si>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</si>
  <si>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</si>
  <si>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</si>
  <si>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</si>
  <si>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</si>
  <si>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</si>
  <si>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</si>
  <si>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</si>
  <si>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</si>
  <si>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</si>
  <si>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</si>
  <si>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</si>
  <si>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</si>
  <si>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</si>
  <si>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</si>
  <si>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</si>
  <si>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</si>
  <si>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</si>
  <si>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</si>
  <si>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</si>
  <si>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</si>
  <si>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</si>
  <si>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</si>
  <si>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</si>
  <si>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</si>
  <si>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</si>
  <si>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</si>
  <si>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</si>
  <si>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</si>
  <si>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</si>
  <si>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</si>
  <si>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</si>
  <si>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</si>
  <si>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</si>
  <si>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</si>
  <si>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</si>
  <si>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</si>
  <si>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</si>
  <si>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</si>
  <si>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</si>
  <si>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</si>
  <si>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</si>
  <si>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</si>
  <si>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</si>
  <si>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</si>
  <si>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</si>
  <si>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</si>
  <si>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</si>
  <si>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</si>
  <si>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</si>
  <si>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</si>
  <si>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</si>
  <si>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</si>
  <si>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</si>
  <si>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</si>
  <si>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</si>
  <si>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</si>
  <si>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</si>
  <si>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</si>
  <si>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</si>
  <si>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</si>
  <si>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</si>
  <si>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</si>
  <si>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</si>
  <si>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</si>
  <si>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</si>
  <si>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</si>
  <si>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</si>
  <si>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</si>
  <si>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</si>
  <si>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</si>
  <si>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</si>
  <si>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</si>
  <si>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</si>
  <si>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</si>
  <si>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</si>
  <si>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</si>
  <si>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</si>
  <si>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</si>
  <si>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</si>
  <si>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</si>
  <si>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</si>
  <si>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</si>
  <si>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</si>
  <si>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</si>
  <si>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</si>
  <si>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</si>
  <si>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</si>
  <si>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</si>
  <si>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</si>
  <si>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</si>
  <si>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</si>
  <si>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</si>
  <si>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</si>
  <si>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</si>
  <si>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</si>
  <si>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</si>
  <si>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</si>
  <si>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</si>
  <si>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</si>
  <si>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</si>
  <si>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</si>
  <si>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</si>
  <si>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</si>
  <si>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</si>
  <si>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</si>
  <si>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</si>
  <si>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</si>
  <si>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</si>
  <si>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</si>
  <si>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</si>
  <si>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</si>
  <si>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</si>
  <si>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</si>
  <si>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</si>
  <si>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</si>
  <si>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</si>
  <si>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</si>
  <si>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</si>
  <si>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</si>
  <si>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</si>
  <si>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</si>
  <si>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</si>
  <si>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</si>
  <si>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</si>
  <si>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</si>
  <si>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</si>
  <si>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</si>
  <si>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</si>
  <si>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</si>
  <si>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</si>
  <si>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</si>
  <si>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</si>
  <si>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</si>
  <si>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</si>
  <si>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</si>
  <si>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</si>
  <si>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</si>
  <si>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</si>
  <si>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</si>
  <si>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</si>
  <si>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</si>
  <si>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</si>
  <si>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</si>
  <si>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</si>
  <si>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</si>
  <si>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</si>
  <si>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</si>
  <si>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</si>
  <si>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</si>
  <si>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</si>
  <si>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</si>
  <si>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</si>
  <si>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</si>
  <si>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</si>
  <si>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</si>
  <si>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</si>
  <si>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</si>
  <si>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</si>
  <si>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</si>
  <si>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</si>
  <si>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</si>
  <si>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</si>
  <si>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</si>
  <si>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</si>
  <si>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</si>
  <si>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</si>
  <si>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</si>
  <si>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</si>
  <si>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</si>
  <si>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</si>
  <si>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</si>
  <si>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</si>
  <si>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</si>
  <si>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</si>
  <si>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</si>
  <si>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</si>
  <si>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</si>
  <si>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</si>
  <si>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</si>
  <si>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</si>
  <si>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</si>
  <si>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</si>
  <si>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</si>
  <si>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</si>
  <si>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</si>
  <si>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</si>
  <si>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</si>
  <si>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</si>
  <si>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</si>
  <si>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</si>
  <si>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</si>
  <si>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</si>
  <si>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</si>
  <si>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</si>
  <si>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</si>
  <si>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</si>
  <si>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</si>
  <si>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</si>
  <si>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</si>
  <si>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</si>
  <si>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</si>
  <si>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</si>
  <si>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</si>
  <si>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</si>
  <si>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</si>
  <si>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</si>
  <si>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</si>
  <si>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</si>
  <si>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</si>
  <si>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</si>
  <si>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</si>
  <si>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</si>
  <si>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</si>
  <si>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</si>
  <si>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</si>
  <si>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</si>
  <si>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</si>
  <si>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</si>
  <si>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</si>
  <si>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</si>
  <si>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</si>
  <si>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</si>
  <si>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</si>
  <si>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</si>
  <si>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</si>
  <si>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</si>
  <si>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</si>
  <si>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</si>
  <si>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</si>
  <si>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</si>
  <si>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</si>
  <si>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</si>
  <si>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</si>
  <si>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</si>
  <si>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</si>
  <si>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</si>
  <si>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</si>
  <si>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</si>
  <si>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</si>
  <si>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</si>
  <si>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</si>
  <si>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</si>
  <si>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</si>
  <si>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</si>
  <si>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</si>
  <si>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</si>
  <si>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</si>
  <si>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</si>
  <si>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</si>
  <si>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</si>
  <si>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</si>
  <si>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</si>
  <si>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</si>
  <si>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</si>
  <si>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</si>
  <si>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抵押</t>
  </si>
  <si>
    <t>房地产抵押价值</t>
  </si>
  <si>
    <t>企业</t>
  </si>
  <si>
    <t>其他：</t>
  </si>
  <si>
    <t>出让</t>
  </si>
  <si>
    <t>工业</t>
    <phoneticPr fontId="6" type="noConversion"/>
  </si>
  <si>
    <r>
      <t>36.31</t>
    </r>
    <r>
      <rPr>
        <sz val="12"/>
        <color theme="9" tint="-0.249977111117893"/>
        <rFont val="宋体"/>
        <family val="3"/>
        <charset val="134"/>
      </rPr>
      <t>年</t>
    </r>
    <phoneticPr fontId="6" type="noConversion"/>
  </si>
  <si>
    <t>是</t>
  </si>
  <si>
    <t>工业项目</t>
  </si>
  <si>
    <t>无</t>
  </si>
  <si>
    <t>否</t>
  </si>
  <si>
    <t>现房</t>
  </si>
  <si>
    <t>通路</t>
  </si>
  <si>
    <t>通电</t>
  </si>
  <si>
    <t>通讯</t>
  </si>
  <si>
    <t>通上水</t>
  </si>
  <si>
    <t>通下水</t>
  </si>
  <si>
    <t>平整</t>
  </si>
  <si>
    <t>地上</t>
  </si>
  <si>
    <t>工业</t>
    <phoneticPr fontId="7" type="noConversion"/>
  </si>
  <si>
    <t>收益法</t>
  </si>
  <si>
    <t>钢混</t>
  </si>
  <si>
    <t>生产用房</t>
  </si>
  <si>
    <t>按租金收入计税</t>
  </si>
  <si>
    <t>押一</t>
  </si>
  <si>
    <t>工业</t>
    <phoneticPr fontId="3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</si>
  <si>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</si>
  <si>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</si>
  <si>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</si>
  <si>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</si>
  <si>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</si>
  <si>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</si>
  <si>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</si>
  <si>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</si>
  <si>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</si>
  <si>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</si>
  <si>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</si>
  <si>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</si>
  <si>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</si>
  <si>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</si>
  <si>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七通</t>
  </si>
  <si>
    <t>六通</t>
  </si>
  <si>
    <t>五通</t>
  </si>
  <si>
    <t>四通</t>
  </si>
  <si>
    <t>三通</t>
  </si>
  <si>
    <t>较好</t>
  </si>
  <si>
    <t>一般</t>
  </si>
  <si>
    <t>支路</t>
  </si>
  <si>
    <t>较规则</t>
  </si>
  <si>
    <t>城市</t>
  </si>
  <si>
    <t>用地性质</t>
  </si>
  <si>
    <t>出让方式</t>
  </si>
  <si>
    <t>建设用地面积(㎡)</t>
  </si>
  <si>
    <t>规划建筑面积(㎡)</t>
  </si>
  <si>
    <t>容积率</t>
  </si>
  <si>
    <t>成交日期</t>
  </si>
  <si>
    <t>受让单位</t>
  </si>
  <si>
    <t>成交价(万元)</t>
  </si>
  <si>
    <t>成交每亩价(万元/亩)</t>
  </si>
  <si>
    <t>成交楼面价(元/㎡)</t>
  </si>
  <si>
    <t>溢价率</t>
  </si>
  <si>
    <t>廊坊市</t>
  </si>
  <si>
    <t>工业用地</t>
  </si>
  <si>
    <t>大于或等于1</t>
  </si>
  <si>
    <t>正常</t>
  </si>
  <si>
    <t>已包含在土地取得成本中</t>
  </si>
  <si>
    <t>成本法</t>
  </si>
  <si>
    <t>成本比率</t>
  </si>
  <si>
    <t>单位面积地价</t>
  </si>
  <si>
    <t>原件</t>
  </si>
  <si>
    <t>崔锴</t>
  </si>
  <si>
    <t>郑燚</t>
  </si>
  <si>
    <t>建筑物价值</t>
  </si>
  <si>
    <t>土地面积</t>
  </si>
  <si>
    <t>建筑面积</t>
  </si>
  <si>
    <t>未包含在土地购买价格中</t>
  </si>
  <si>
    <t>钢混</t>
    <phoneticPr fontId="3" type="noConversion"/>
  </si>
  <si>
    <t>钢</t>
    <phoneticPr fontId="3" type="noConversion"/>
  </si>
  <si>
    <t>砖混</t>
    <phoneticPr fontId="3" type="noConversion"/>
  </si>
  <si>
    <t>河北省廊坊市开发区全兴路西工业用房</t>
    <phoneticPr fontId="6" type="noConversion"/>
  </si>
  <si>
    <t>河北复兴药业有限公司</t>
    <phoneticPr fontId="6" type="noConversion"/>
  </si>
  <si>
    <t>渤海银行</t>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</si>
  <si>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廊开国用（</t>
    </r>
    <r>
      <rPr>
        <sz val="12"/>
        <color theme="9" tint="-0.249977111117893"/>
        <rFont val="Arial"/>
        <family val="2"/>
      </rPr>
      <t>2010</t>
    </r>
    <r>
      <rPr>
        <sz val="12"/>
        <color theme="9" tint="-0.249977111117893"/>
        <rFont val="宋体"/>
        <family val="3"/>
        <charset val="134"/>
      </rPr>
      <t>）第</t>
    </r>
    <r>
      <rPr>
        <sz val="12"/>
        <color theme="9" tint="-0.249977111117893"/>
        <rFont val="Arial"/>
        <family val="2"/>
      </rPr>
      <t>033</t>
    </r>
    <r>
      <rPr>
        <sz val="12"/>
        <color theme="9" tint="-0.249977111117893"/>
        <rFont val="宋体"/>
        <family val="3"/>
        <charset val="134"/>
      </rPr>
      <t>号</t>
    </r>
    <r>
      <rPr>
        <sz val="12"/>
        <color theme="9" tint="-0.249977111117893"/>
        <rFont val="Arial"/>
        <family val="2"/>
      </rPr>
      <t>]</t>
    </r>
    <phoneticPr fontId="6" type="noConversion"/>
  </si>
  <si>
    <t>地块名称</t>
  </si>
  <si>
    <t>详细规划</t>
  </si>
  <si>
    <t>土地星级</t>
  </si>
  <si>
    <t>官东路西侧、热景(廊坊)生物技术有限公司北侧</t>
  </si>
  <si>
    <t>拍卖</t>
  </si>
  <si>
    <t>大于或等于1.2并且小于或等于2.5</t>
  </si>
  <si>
    <t>2020-06-30</t>
  </si>
  <si>
    <t>热景(廊坊)生物技术有限公司</t>
  </si>
  <si>
    <t>0星</t>
  </si>
  <si>
    <t>大于或等于1.2并且小于或等于2</t>
  </si>
  <si>
    <t>2020-05-18</t>
  </si>
  <si>
    <t>经开创优(廊坊)产业园开发有限公司</t>
  </si>
  <si>
    <t>仓储用地</t>
  </si>
  <si>
    <t>2020-03-25</t>
  </si>
  <si>
    <t>廊坊远辰盛兴供应链管理有限公司</t>
  </si>
  <si>
    <t>大于或等于1.2</t>
  </si>
  <si>
    <t>廊坊开发区辉凯科技有限公司</t>
  </si>
  <si>
    <t>2019-12-30</t>
  </si>
  <si>
    <t>廊坊查普曼智能家居有限公司</t>
  </si>
  <si>
    <t>≥1.2</t>
  </si>
  <si>
    <t>2019-09-19</t>
  </si>
  <si>
    <t>廊坊华日家具股份有限公司</t>
  </si>
  <si>
    <t>广阳经济开发区内,九干渠东侧、畅祥道北侧</t>
  </si>
  <si>
    <t>工业(M2)</t>
  </si>
  <si>
    <t>1.2-1.5</t>
  </si>
  <si>
    <t>廊坊市闻达玻璃科技有限公司</t>
  </si>
  <si>
    <t>广阳经济开发区内,光明东道南侧、规划敬业路西侧、规划新业路东侧、规划兴运道北侧</t>
  </si>
  <si>
    <t>2019-07-18</t>
  </si>
  <si>
    <t>廊坊千冀千行物流有限公司</t>
  </si>
  <si>
    <t>龙河高新区地阔道以北、富甲路以西,云起道以南</t>
  </si>
  <si>
    <t>2019-06-28</t>
  </si>
  <si>
    <t>廊坊曙成数据科技有限公司</t>
  </si>
  <si>
    <t>广阳经济开发区内,邦祝机械设备制造有限公司南侧、新奥车用燃气有限公司东侧</t>
  </si>
  <si>
    <t>≥1.2,≤1.5</t>
  </si>
  <si>
    <t>2019-05-24</t>
  </si>
  <si>
    <t>沃森能源技术(廊坊)有限公司</t>
  </si>
  <si>
    <t>纬五道南侧,经八路西侧,经七路东侧</t>
  </si>
  <si>
    <t>2019-02-25</t>
  </si>
  <si>
    <t>丰厨(廊坊)食品有限公司</t>
  </si>
  <si>
    <t>丁香道南侧,圣川包装设备公司东侧</t>
  </si>
  <si>
    <t>河北睿道医药集团有限公司</t>
  </si>
  <si>
    <t>广阳经济开发区内,畅祥道南侧、九干渠东侧、畅祥南道北侧</t>
  </si>
  <si>
    <t>2018-12-28</t>
  </si>
  <si>
    <t>廊坊市盈通汽车零部件有限公司</t>
  </si>
  <si>
    <t>广阳经济开发区内,九干渠东侧、庆祥道北侧</t>
  </si>
  <si>
    <t>广阳经济开发区内,物华道北侧、旺盛路西侧、百强路东侧</t>
  </si>
  <si>
    <t>≥1,≤1.5</t>
  </si>
  <si>
    <t>2018-09-27</t>
  </si>
  <si>
    <t>廊坊市公实检测技术服务有限公司</t>
  </si>
  <si>
    <t>化辛路东侧、廊坊市运输管理处北侧</t>
  </si>
  <si>
    <t>2018-06-29</t>
  </si>
  <si>
    <t>廊坊国诚精密机械制造有限公司</t>
  </si>
  <si>
    <t>纬五道北侧、经八路东侧</t>
  </si>
  <si>
    <t>2017-12-27</t>
  </si>
  <si>
    <t>廊坊华安盛翔汽车科技有限公司</t>
  </si>
  <si>
    <t>创业路东侧、丁香道北侧</t>
  </si>
  <si>
    <t>≥0.8</t>
  </si>
  <si>
    <t>索菲亚家居(廊坊)有限公司</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</si>
  <si>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廊坊市房权证廊开字第</t>
    </r>
    <r>
      <rPr>
        <sz val="12"/>
        <color theme="9" tint="-0.249977111117893"/>
        <rFont val="Arial"/>
        <family val="2"/>
      </rPr>
      <t>H4996</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</si>
  <si>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t>门卫</t>
    <phoneticPr fontId="3" type="noConversion"/>
  </si>
  <si>
    <t>办公楼</t>
    <phoneticPr fontId="3" type="noConversion"/>
  </si>
  <si>
    <t>库房</t>
    <phoneticPr fontId="3" type="noConversion"/>
  </si>
  <si>
    <t>车间</t>
    <phoneticPr fontId="3" type="noConversion"/>
  </si>
  <si>
    <t>车库</t>
    <phoneticPr fontId="3" type="noConversion"/>
  </si>
  <si>
    <t>地面价</t>
    <phoneticPr fontId="3" type="noConversion"/>
  </si>
  <si>
    <r>
      <rPr>
        <sz val="10"/>
        <color rgb="FFFF0000"/>
        <rFont val="宋体"/>
        <family val="3"/>
        <charset val="134"/>
      </rPr>
      <t>广阳经济开发区内</t>
    </r>
    <r>
      <rPr>
        <sz val="10"/>
        <color rgb="FFFF0000"/>
        <rFont val="Arial"/>
        <family val="2"/>
      </rPr>
      <t>,</t>
    </r>
    <r>
      <rPr>
        <sz val="10"/>
        <color rgb="FFFF0000"/>
        <rFont val="宋体"/>
        <family val="3"/>
        <charset val="134"/>
      </rPr>
      <t>伟业路及九干渠东侧</t>
    </r>
    <r>
      <rPr>
        <sz val="10"/>
        <color rgb="FFFF0000"/>
        <rFont val="Arial"/>
        <family val="2"/>
      </rPr>
      <t>,</t>
    </r>
    <r>
      <rPr>
        <sz val="10"/>
        <color rgb="FFFF0000"/>
        <rFont val="宋体"/>
        <family val="3"/>
        <charset val="134"/>
      </rPr>
      <t>泰祥道南侧</t>
    </r>
    <phoneticPr fontId="3" type="noConversion"/>
  </si>
  <si>
    <r>
      <rPr>
        <sz val="10"/>
        <rFont val="宋体"/>
        <family val="3"/>
        <charset val="134"/>
      </rPr>
      <t>广阳经济开发区内</t>
    </r>
    <r>
      <rPr>
        <sz val="11"/>
        <color theme="1"/>
        <rFont val="宋体"/>
        <family val="3"/>
        <charset val="134"/>
        <scheme val="minor"/>
      </rPr>
      <t>,</t>
    </r>
    <r>
      <rPr>
        <sz val="10"/>
        <rFont val="宋体"/>
        <family val="3"/>
        <charset val="134"/>
      </rPr>
      <t>新业路西侧、兴业道北侧</t>
    </r>
    <phoneticPr fontId="3" type="noConversion"/>
  </si>
  <si>
    <r>
      <rPr>
        <sz val="10"/>
        <color rgb="FFFF0000"/>
        <rFont val="宋体"/>
        <family val="3"/>
        <charset val="134"/>
      </rPr>
      <t>九干渠东侧</t>
    </r>
    <r>
      <rPr>
        <sz val="10"/>
        <color rgb="FFFF0000"/>
        <rFont val="Arial"/>
        <family val="2"/>
      </rPr>
      <t>,</t>
    </r>
    <r>
      <rPr>
        <sz val="10"/>
        <color rgb="FFFF0000"/>
        <rFont val="宋体"/>
        <family val="3"/>
        <charset val="134"/>
      </rPr>
      <t>友谊路西侧</t>
    </r>
    <phoneticPr fontId="3" type="noConversion"/>
  </si>
  <si>
    <r>
      <rPr>
        <sz val="10"/>
        <color rgb="FFFF0000"/>
        <rFont val="宋体"/>
        <family val="3"/>
        <charset val="134"/>
      </rPr>
      <t>经六路东侧</t>
    </r>
    <r>
      <rPr>
        <sz val="10"/>
        <color rgb="FFFF0000"/>
        <rFont val="Arial"/>
        <family val="2"/>
      </rPr>
      <t>,</t>
    </r>
    <r>
      <rPr>
        <sz val="10"/>
        <color rgb="FFFF0000"/>
        <rFont val="宋体"/>
        <family val="3"/>
        <charset val="134"/>
      </rPr>
      <t>经七路西侧</t>
    </r>
    <r>
      <rPr>
        <sz val="10"/>
        <color rgb="FFFF0000"/>
        <rFont val="Arial"/>
        <family val="2"/>
      </rPr>
      <t>,</t>
    </r>
    <r>
      <rPr>
        <sz val="10"/>
        <color rgb="FFFF0000"/>
        <rFont val="宋体"/>
        <family val="3"/>
        <charset val="134"/>
      </rPr>
      <t>中国石油天然气股份有限公司管道分公司北侧</t>
    </r>
    <phoneticPr fontId="3" type="noConversion"/>
  </si>
  <si>
    <r>
      <rPr>
        <sz val="10"/>
        <color rgb="FFFF0000"/>
        <rFont val="宋体"/>
        <family val="3"/>
        <charset val="134"/>
      </rPr>
      <t>广阳道南侧</t>
    </r>
    <r>
      <rPr>
        <sz val="10"/>
        <color rgb="FFFF0000"/>
        <rFont val="Arial"/>
        <family val="2"/>
      </rPr>
      <t>,</t>
    </r>
    <r>
      <rPr>
        <sz val="10"/>
        <color rgb="FFFF0000"/>
        <rFont val="宋体"/>
        <family val="3"/>
        <charset val="134"/>
      </rPr>
      <t>友谊路东侧</t>
    </r>
    <r>
      <rPr>
        <sz val="10"/>
        <color rgb="FFFF0000"/>
        <rFont val="Arial"/>
        <family val="2"/>
      </rPr>
      <t>,</t>
    </r>
    <r>
      <rPr>
        <sz val="10"/>
        <color rgb="FFFF0000"/>
        <rFont val="宋体"/>
        <family val="3"/>
        <charset val="134"/>
      </rPr>
      <t>芙蓉道北侧</t>
    </r>
    <phoneticPr fontId="3" type="noConversion"/>
  </si>
  <si>
    <t>九干渠东侧,河北拓能管道制造有限公司北侧,友谊路西侧</t>
  </si>
  <si>
    <t>≥1</t>
  </si>
  <si>
    <t>2017-04-13</t>
  </si>
  <si>
    <t>罗美雅酒业发展(廊坊)有限公司</t>
  </si>
  <si>
    <t>廊坊联合重工制造有限公司南侧、官东路西侧</t>
  </si>
  <si>
    <t>≥1.1</t>
  </si>
  <si>
    <t>2017-03-14</t>
  </si>
  <si>
    <t>芙蓉道北侧、华恒科技公司东侧</t>
  </si>
  <si>
    <t>廊坊美食每刻餐饮有限公司</t>
  </si>
  <si>
    <t>长辛路东,木兰道南侧</t>
  </si>
  <si>
    <t>廊坊科信信息技术有限公司</t>
  </si>
  <si>
    <t>官东路西侧,小海子变电站北侧</t>
  </si>
  <si>
    <t>2017-01-06</t>
  </si>
  <si>
    <t>维特根(中国)机械有限公司</t>
  </si>
  <si>
    <t>友谊路西侧、九干渠东侧</t>
  </si>
  <si>
    <t>河北志晟信息技术股份有限公司</t>
  </si>
  <si>
    <t>友谊路东侧,爱民道北侧</t>
  </si>
  <si>
    <t>中热科(廊坊)环境科技开发有限公司</t>
  </si>
  <si>
    <t>楼庄路西侧,廊坊上方皮革有限公司用地北侧</t>
  </si>
  <si>
    <t>2016-12-16</t>
  </si>
  <si>
    <t>廊坊上方皮革制造有限公司</t>
  </si>
  <si>
    <t>祥云道北侧,锦华路东侧,万福路西侧</t>
  </si>
  <si>
    <t>物流仓储</t>
  </si>
  <si>
    <t>≥1.0</t>
  </si>
  <si>
    <t>2016-09-14</t>
  </si>
  <si>
    <t>廊坊亚东锦路物流有限公司</t>
  </si>
  <si>
    <t>友谊路东侧,木兰道北侧</t>
  </si>
  <si>
    <t>廊坊精雕数控机床制造有限公司</t>
  </si>
  <si>
    <t>廊坊广阳经济开发区内,庆祥道南侧、常盛路东侧</t>
  </si>
  <si>
    <t>大于或等于0.8并且小于或等于1.5</t>
  </si>
  <si>
    <t>2016-03-03</t>
  </si>
  <si>
    <t>廊坊市新奥车用燃气有限公司</t>
  </si>
  <si>
    <t>廊坊广阳经济开发区内,庆祥道北侧、伟业路西侧</t>
  </si>
  <si>
    <t>廊坊市佳途物流有限公司</t>
  </si>
  <si>
    <t>2星</t>
  </si>
  <si>
    <t>廊坊广阳经济开发区内,畅祥南道南侧、百强路东侧</t>
  </si>
  <si>
    <t>廊坊金润电气有限公司</t>
  </si>
  <si>
    <t>广阳产业聚集区内,物华道北侧</t>
  </si>
  <si>
    <t>2015-10-20</t>
  </si>
  <si>
    <t>廊坊市中科天源机械涂层有限公司</t>
  </si>
  <si>
    <t>广阳产业聚集区内,百强路以东,畅祥南道以北</t>
  </si>
  <si>
    <t>廊坊市海湾环保科技有限公司</t>
  </si>
  <si>
    <t>广阳产业聚集区内,庆祥道南侧,伟业路西侧</t>
  </si>
  <si>
    <t>廊坊市邦祝机械设备制造有限公司</t>
  </si>
  <si>
    <t>广阳产业聚集区内,旺盛路东侧,畅祥南道以北</t>
  </si>
  <si>
    <t>廊坊市吉宏印刷有限公司</t>
  </si>
  <si>
    <t>广阳产业聚集区内,庆祥道北侧,常盛路西侧</t>
  </si>
  <si>
    <t>廊坊市坤腾机械制造有限公司</t>
  </si>
  <si>
    <t>廊坊市新兴产业示范区龙湖大道以南,龙祥路以西</t>
  </si>
  <si>
    <t>大于等于1</t>
  </si>
  <si>
    <t>2015-07-30</t>
  </si>
  <si>
    <t>廊坊市马哈机械设备有限公司</t>
  </si>
  <si>
    <t>廊坊市新兴产业示范区龙显道以南,通仁路以西</t>
  </si>
  <si>
    <t>廊坊市精耕天下农业科技有限公司</t>
  </si>
  <si>
    <t>开发区芙蓉道南侧,创业路东侧</t>
  </si>
  <si>
    <t>大于或等于0.8</t>
  </si>
  <si>
    <t>2014-05-30</t>
  </si>
  <si>
    <t>廊坊啄木鸟管道技术有限公司</t>
  </si>
  <si>
    <t>开发区官东路西,木兰道北侧</t>
  </si>
  <si>
    <t>2014-05-15</t>
  </si>
  <si>
    <t>廊坊市东电精工电气设备有限公司</t>
  </si>
  <si>
    <t>开发区纬三道北侧,太古冷链物流公司东侧</t>
  </si>
  <si>
    <t>河北讯成物流有限公司</t>
  </si>
  <si>
    <t>5星</t>
  </si>
  <si>
    <t>开发区丁香道南,华源粮油食品有限公司东侧</t>
  </si>
  <si>
    <t>廊坊圣川包装设备有限公司</t>
  </si>
  <si>
    <t>廊坊新兴产业示范区龙湖大道以南,通义路以西</t>
  </si>
  <si>
    <t>大于或等于1.5</t>
  </si>
  <si>
    <t>2013-10-15</t>
  </si>
  <si>
    <t>廊坊市聚和节能科技有限公司</t>
  </si>
  <si>
    <t>广阳产业聚集区畅祥道南侧,宏业路西侧</t>
  </si>
  <si>
    <t>广阳产业聚集区畅祥道南侧,百强路东侧,旺盛路西侧</t>
  </si>
  <si>
    <t>广阳产业聚集区庆祥北道南侧,常盛路西侧</t>
  </si>
  <si>
    <t>廊坊市长通管业有限公司</t>
  </si>
  <si>
    <t>广阳产业聚集区畅祥道南侧,常盛路东侧</t>
  </si>
  <si>
    <t>廊坊市北方云鹏糖烟酒有限公司</t>
  </si>
  <si>
    <t>廊坊新兴产业示范区龙尊道以北,通义路以西</t>
  </si>
  <si>
    <t>2013-07-26</t>
  </si>
  <si>
    <t>廊坊市沃福自动化设备有限公司</t>
  </si>
  <si>
    <t>廊坊新兴产业示范区龙显道以南,龙码南路以东</t>
  </si>
  <si>
    <t>洁能国际科技有限公司</t>
  </si>
  <si>
    <t>廊坊市德凯机械制造有限公司</t>
  </si>
  <si>
    <t>%</t>
    <phoneticPr fontId="33" type="noConversion"/>
  </si>
  <si>
    <t>http://www.jianbiaoku.com/webarbs/book/24549/752553.shtml</t>
  </si>
  <si>
    <t>https://wenku.baidu.com/view/5e97220415791711cc7931b765ce0508763275c6.html</t>
  </si>
  <si>
    <t>成新度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</si>
</sst>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8" fillId="0" borderId="9"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50" fillId="17" borderId="0" xfId="0" applyFont="1" applyFill="1" applyProtection="1">
      <alignment vertical="center"/>
      <protection locked="0"/>
    </xf>
    <xf numFmtId="0" fontId="190" fillId="7" borderId="5" xfId="0" applyFont="1" applyFill="1" applyBorder="1" applyAlignment="1" applyProtection="1">
      <alignment vertical="center"/>
      <protection locked="0"/>
    </xf>
    <xf numFmtId="0" fontId="80" fillId="6" borderId="0" xfId="0" applyFont="1" applyFill="1" applyAlignment="1" applyProtection="1">
      <alignment vertical="center"/>
      <protection locked="0"/>
    </xf>
    <xf numFmtId="10" fontId="56" fillId="7" borderId="1" xfId="1" applyNumberFormat="1" applyFont="1" applyFill="1" applyBorder="1" applyAlignment="1" applyProtection="1">
      <alignment horizontal="center" vertical="center"/>
      <protection locked="0"/>
    </xf>
    <xf numFmtId="0" fontId="0" fillId="0" borderId="0" xfId="0" applyAlignment="1">
      <alignment horizontal="right"/>
    </xf>
    <xf numFmtId="0" fontId="19" fillId="0" borderId="0" xfId="0" applyFont="1" applyAlignment="1"/>
    <xf numFmtId="0" fontId="120" fillId="0" borderId="0" xfId="0" applyFont="1" applyAlignment="1"/>
    <xf numFmtId="0" fontId="120" fillId="0" borderId="0" xfId="0" applyFont="1" applyAlignment="1">
      <alignment horizontal="right"/>
    </xf>
    <xf numFmtId="0" fontId="56" fillId="0" borderId="0" xfId="0" applyFont="1" applyAlignment="1"/>
    <xf numFmtId="0" fontId="120" fillId="5" borderId="0" xfId="0" applyFont="1" applyFill="1" applyAlignment="1"/>
    <xf numFmtId="0" fontId="120" fillId="5" borderId="0" xfId="0" applyFont="1" applyFill="1" applyAlignment="1">
      <alignment horizontal="right"/>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22</xdr:row>
      <xdr:rowOff>66675</xdr:rowOff>
    </xdr:from>
    <xdr:to>
      <xdr:col>10</xdr:col>
      <xdr:colOff>551798</xdr:colOff>
      <xdr:row>49</xdr:row>
      <xdr:rowOff>132763</xdr:rowOff>
    </xdr:to>
    <xdr:pic>
      <xdr:nvPicPr>
        <xdr:cNvPr id="4" name="图片 3"/>
        <xdr:cNvPicPr>
          <a:picLocks noChangeAspect="1"/>
        </xdr:cNvPicPr>
      </xdr:nvPicPr>
      <xdr:blipFill>
        <a:blip xmlns:r="http://schemas.openxmlformats.org/officeDocument/2006/relationships" r:embed="rId1"/>
        <a:stretch>
          <a:fillRect/>
        </a:stretch>
      </xdr:blipFill>
      <xdr:spPr>
        <a:xfrm>
          <a:off x="3524250" y="3829050"/>
          <a:ext cx="5219048" cy="4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475077</xdr:colOff>
      <xdr:row>27</xdr:row>
      <xdr:rowOff>151803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390477" cy="4780953"/>
        </a:xfrm>
        <a:prstGeom prst="rect">
          <a:avLst/>
        </a:prstGeom>
      </xdr:spPr>
    </xdr:pic>
    <xdr:clientData/>
  </xdr:twoCellAnchor>
  <xdr:twoCellAnchor editAs="oneCell">
    <xdr:from>
      <xdr:col>0</xdr:col>
      <xdr:colOff>0</xdr:colOff>
      <xdr:row>25</xdr:row>
      <xdr:rowOff>142875</xdr:rowOff>
    </xdr:from>
    <xdr:to>
      <xdr:col>13</xdr:col>
      <xdr:colOff>665553</xdr:colOff>
      <xdr:row>44</xdr:row>
      <xdr:rowOff>104373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29125"/>
          <a:ext cx="9580953" cy="3219048"/>
        </a:xfrm>
        <a:prstGeom prst="rect">
          <a:avLst/>
        </a:prstGeom>
      </xdr:spPr>
    </xdr:pic>
    <xdr:clientData/>
  </xdr:twoCellAnchor>
  <xdr:twoCellAnchor editAs="oneCell">
    <xdr:from>
      <xdr:col>14</xdr:col>
      <xdr:colOff>0</xdr:colOff>
      <xdr:row>10</xdr:row>
      <xdr:rowOff>0</xdr:rowOff>
    </xdr:from>
    <xdr:to>
      <xdr:col>23</xdr:col>
      <xdr:colOff>665896</xdr:colOff>
      <xdr:row>25</xdr:row>
      <xdr:rowOff>85393</xdr:rowOff>
    </xdr:to>
    <xdr:pic>
      <xdr:nvPicPr>
        <xdr:cNvPr id="4" name="图片 3"/>
        <xdr:cNvPicPr>
          <a:picLocks noChangeAspect="1"/>
        </xdr:cNvPicPr>
      </xdr:nvPicPr>
      <xdr:blipFill>
        <a:blip xmlns:r="http://schemas.openxmlformats.org/officeDocument/2006/relationships" r:embed="rId3"/>
        <a:stretch>
          <a:fillRect/>
        </a:stretch>
      </xdr:blipFill>
      <xdr:spPr>
        <a:xfrm>
          <a:off x="9601200" y="1714500"/>
          <a:ext cx="6838096" cy="2657143"/>
        </a:xfrm>
        <a:prstGeom prst="rect">
          <a:avLst/>
        </a:prstGeom>
      </xdr:spPr>
    </xdr:pic>
    <xdr:clientData/>
  </xdr:twoCellAnchor>
  <xdr:twoCellAnchor editAs="oneCell">
    <xdr:from>
      <xdr:col>13</xdr:col>
      <xdr:colOff>647700</xdr:colOff>
      <xdr:row>24</xdr:row>
      <xdr:rowOff>104775</xdr:rowOff>
    </xdr:from>
    <xdr:to>
      <xdr:col>27</xdr:col>
      <xdr:colOff>46501</xdr:colOff>
      <xdr:row>45</xdr:row>
      <xdr:rowOff>132897</xdr:rowOff>
    </xdr:to>
    <xdr:pic>
      <xdr:nvPicPr>
        <xdr:cNvPr id="5" name="图片 4"/>
        <xdr:cNvPicPr>
          <a:picLocks noChangeAspect="1"/>
        </xdr:cNvPicPr>
      </xdr:nvPicPr>
      <xdr:blipFill>
        <a:blip xmlns:r="http://schemas.openxmlformats.org/officeDocument/2006/relationships" r:embed="rId4"/>
        <a:stretch>
          <a:fillRect/>
        </a:stretch>
      </xdr:blipFill>
      <xdr:spPr>
        <a:xfrm>
          <a:off x="9563100" y="4219575"/>
          <a:ext cx="9000001" cy="3628572"/>
        </a:xfrm>
        <a:prstGeom prst="rect">
          <a:avLst/>
        </a:prstGeom>
      </xdr:spPr>
    </xdr:pic>
    <xdr:clientData/>
  </xdr:twoCellAnchor>
  <xdr:twoCellAnchor editAs="oneCell">
    <xdr:from>
      <xdr:col>14</xdr:col>
      <xdr:colOff>9525</xdr:colOff>
      <xdr:row>45</xdr:row>
      <xdr:rowOff>123825</xdr:rowOff>
    </xdr:from>
    <xdr:to>
      <xdr:col>26</xdr:col>
      <xdr:colOff>589449</xdr:colOff>
      <xdr:row>80</xdr:row>
      <xdr:rowOff>27837</xdr:rowOff>
    </xdr:to>
    <xdr:pic>
      <xdr:nvPicPr>
        <xdr:cNvPr id="6" name="图片 5"/>
        <xdr:cNvPicPr>
          <a:picLocks noChangeAspect="1"/>
        </xdr:cNvPicPr>
      </xdr:nvPicPr>
      <xdr:blipFill>
        <a:blip xmlns:r="http://schemas.openxmlformats.org/officeDocument/2006/relationships" r:embed="rId5"/>
        <a:stretch>
          <a:fillRect/>
        </a:stretch>
      </xdr:blipFill>
      <xdr:spPr>
        <a:xfrm>
          <a:off x="9610725" y="7839075"/>
          <a:ext cx="8809524" cy="59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 sqref="B1:B1048576"/>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河北省廊坊市开发区全兴路西工业用房房地产抵押价值预评估</v>
      </c>
    </row>
    <row r="3" spans="1:2" s="1593" customFormat="1">
      <c r="A3" s="1591" t="s">
        <v>1217</v>
      </c>
      <c r="B3" s="1592" t="str">
        <f>'预评函-封皮'!B40</f>
        <v>河北复兴药业有限公司</v>
      </c>
    </row>
    <row r="4" spans="1:2" s="1593" customFormat="1">
      <c r="A4" s="1591" t="s">
        <v>1218</v>
      </c>
      <c r="B4" s="1592" t="str">
        <f ca="1">'预评函-封皮'!B46</f>
        <v>崔锴（注册号：1120100036)、郑燚（注册号：1120070131)</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受贵公司委托，我公司对河北省廊坊市开发区全兴路西工业用房房地产抵押价值进行了预评估。</v>
      </c>
    </row>
    <row r="7" spans="1:2" s="1593" customFormat="1">
      <c r="A7" s="1591" t="s">
        <v>1260</v>
      </c>
      <c r="B7" s="1592" t="str">
        <f>'预评函-1'!A7</f>
        <v>估价对象为河北省廊坊市开发区全兴路西工业用房房地产，为河北复兴药业有限公司所有。根据《国有土地使用证》[廊开国用（2010）第033号]，估价对象（分摊）出让国有建设用地使用权面积为6139平方米。根据《房屋所有权证》[廊坊市房权证廊开字第H4996号]，估价对象建筑面积为2547.47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河北省廊坊市开发区全兴路西工业用房房地产,属河北复兴药业有限公司开发建设的工业项目，该项目尚在开发建设中。根据《国有土地使用证》[廊开国用（2010）第033号]，估价对象（分摊）出让国有建设用地使用权面积为6139平方米。根据《房屋所有权证》[廊坊市房权证廊开字第H4996号]，估价对象规划建筑面积为2547.47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为估价委托人在向渤海银行办理贷款手续过程中，确定房地产抵押贷款额度提供参考依据而评估房地产抵押价值。</v>
      </c>
    </row>
    <row r="12" spans="1:2" s="1593" customFormat="1">
      <c r="A12" s="1591" t="s">
        <v>1222</v>
      </c>
      <c r="B12" s="1592" t="str">
        <f>'预评函-1'!A15</f>
        <v>2020年7月3日（评估专业人员实地查勘之日）</v>
      </c>
    </row>
    <row r="13" spans="1:2" s="1593" customFormat="1">
      <c r="A13" s="1591" t="s">
        <v>1223</v>
      </c>
      <c r="B13" s="1592" t="str">
        <f>'预评函-1'!A18</f>
        <v>本次估价的“房地产价值”是指在正常市场情况下，在价值时点2020年7月3日，估价对象规划用途为工业，土地取得方式为出让，出让国有建设用地使用权剩余土地使用年限为36.31年，假定未设立法定优先受偿款下的房地产市场价值。</v>
      </c>
    </row>
    <row r="14" spans="1:2" s="1593" customFormat="1">
      <c r="A14" s="1591" t="s">
        <v>1224</v>
      </c>
      <c r="B14" s="1592" t="str">
        <f>'预评函-1'!A19</f>
        <v>其中，“出让国有建设用地使用权价值”是指估价对象用途为工业，实际开发程度为宗地红线外“七通”（即通路、通电、通讯、通上水、通下水、平整、）、红线内场地平整条件下，剩余土地使用年限为36.31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1010</v>
      </c>
    </row>
    <row r="21" spans="1:2" s="1593" customFormat="1">
      <c r="A21" s="1591" t="s">
        <v>1231</v>
      </c>
      <c r="B21" s="1592">
        <f ca="1">'预评函-2'!D7</f>
        <v>3965</v>
      </c>
    </row>
    <row r="22" spans="1:2" s="1593" customFormat="1">
      <c r="A22" s="1591" t="s">
        <v>1232</v>
      </c>
      <c r="B22" s="1592" t="str">
        <f ca="1">'预评函-2'!D6</f>
        <v>壹仟零壹拾万元整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1010</v>
      </c>
    </row>
    <row r="31" spans="1:2" s="1593" customFormat="1">
      <c r="A31" s="1591" t="s">
        <v>1270</v>
      </c>
      <c r="B31" s="1592">
        <f ca="1">'预评函-2'!D15</f>
        <v>3965</v>
      </c>
    </row>
    <row r="32" spans="1:2" s="1593" customFormat="1">
      <c r="A32" s="1591" t="s">
        <v>1237</v>
      </c>
      <c r="B32" s="1592" t="str">
        <f ca="1">'预评函-2'!D14</f>
        <v>壹仟零壹拾万元整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河北省廊坊市开发区全兴路西工业用房房地产</v>
      </c>
    </row>
    <row r="42" spans="1:2" s="1593" customFormat="1">
      <c r="A42" s="1591" t="s">
        <v>1284</v>
      </c>
      <c r="B42" s="1592" t="str">
        <f>'预评函-3'!B2</f>
        <v>建筑面积</v>
      </c>
    </row>
    <row r="43" spans="1:2" s="1593" customFormat="1">
      <c r="A43" s="1591" t="s">
        <v>1285</v>
      </c>
      <c r="B43" s="1592">
        <f>'预评函-3'!B4</f>
        <v>2547.4699999999998</v>
      </c>
    </row>
    <row r="44" spans="1:2" s="1593" customFormat="1">
      <c r="A44" s="1591" t="s">
        <v>1269</v>
      </c>
      <c r="B44" s="1592" t="str">
        <f>'预评函-3'!C2</f>
        <v>(分摊)土地面积</v>
      </c>
    </row>
    <row r="45" spans="1:2" s="1593" customFormat="1">
      <c r="A45" s="1591" t="s">
        <v>1241</v>
      </c>
      <c r="B45" s="1592">
        <f>'预评函-3'!C4</f>
        <v>6139</v>
      </c>
    </row>
    <row r="46" spans="1:2" s="1593" customFormat="1">
      <c r="A46" s="1591" t="s">
        <v>1267</v>
      </c>
      <c r="B46" s="1592" t="str">
        <f>'预评函-3'!D2</f>
        <v>出让国有建设用地使用权价值</v>
      </c>
    </row>
    <row r="47" spans="1:2" s="1593" customFormat="1">
      <c r="A47" s="1591" t="s">
        <v>1242</v>
      </c>
      <c r="B47" s="1592">
        <f ca="1">'预评函-3'!D4</f>
        <v>434</v>
      </c>
    </row>
    <row r="48" spans="1:2" s="1593" customFormat="1">
      <c r="A48" s="1591" t="s">
        <v>1243</v>
      </c>
      <c r="B48" s="1592">
        <f ca="1">'预评函-3'!E4</f>
        <v>1704</v>
      </c>
    </row>
    <row r="49" spans="1:2" s="1593" customFormat="1">
      <c r="A49" s="1591" t="s">
        <v>1244</v>
      </c>
      <c r="B49" s="1592" t="str">
        <f ca="1">'预评函-3'!D5</f>
        <v>肆佰叁拾肆万元整</v>
      </c>
    </row>
    <row r="50" spans="1:2" s="1593" customFormat="1">
      <c r="A50" s="1591" t="s">
        <v>1268</v>
      </c>
      <c r="B50" s="1592" t="str">
        <f>'预评函-3'!F2</f>
        <v>建筑物价值</v>
      </c>
    </row>
    <row r="51" spans="1:2" s="1593" customFormat="1">
      <c r="A51" s="1591" t="s">
        <v>1245</v>
      </c>
      <c r="B51" s="1592">
        <f ca="1">'预评函-3'!F4</f>
        <v>576</v>
      </c>
    </row>
    <row r="52" spans="1:2" s="1593" customFormat="1">
      <c r="A52" s="1591" t="s">
        <v>1246</v>
      </c>
      <c r="B52" s="1592">
        <f ca="1">'预评函-3'!G4</f>
        <v>2261</v>
      </c>
    </row>
    <row r="53" spans="1:2" s="1593" customFormat="1">
      <c r="A53" s="1591" t="s">
        <v>1274</v>
      </c>
      <c r="B53" s="1592" t="str">
        <f ca="1">'预评函-3'!F5</f>
        <v>伍佰柒拾陆万元整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崔锴</v>
      </c>
    </row>
    <row r="71" spans="1:2">
      <c r="A71" s="1591" t="s">
        <v>1257</v>
      </c>
      <c r="B71" s="1592">
        <f ca="1">'预评函-4'!B4</f>
        <v>1120100036</v>
      </c>
    </row>
    <row r="72" spans="1:2">
      <c r="A72" s="1591" t="s">
        <v>1258</v>
      </c>
      <c r="B72" s="1600" t="str">
        <f>'预评函-4'!A5</f>
        <v>郑燚</v>
      </c>
    </row>
    <row r="73" spans="1:2" s="1587" customFormat="1" ht="15" thickBot="1">
      <c r="A73" s="1594" t="s">
        <v>1259</v>
      </c>
      <c r="B73" s="1595">
        <f ca="1">'预评函-4'!B5</f>
        <v>1120070131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为估价委托人在向渤海银行办理贷款手续过程中，确定房地产抵押贷款额度提供参考依据而评估房地产抵押价值。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河北复兴药业有限公司拟使用河北省廊坊市开发区全兴路西工业用房房地产作为抵押担保物，向渤海银行办理贷款手续。渤海银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12"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7月3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2"/>
      <c r="B54" s="2021" t="s">
        <v>861</v>
      </c>
      <c r="C54" s="2018" t="s">
        <v>1277</v>
      </c>
    </row>
    <row r="55" spans="1:4">
      <c r="A55" s="3012"/>
      <c r="B55" s="2021" t="s">
        <v>862</v>
      </c>
      <c r="C55" s="2018" t="s">
        <v>1278</v>
      </c>
    </row>
    <row r="56" spans="1:4">
      <c r="A56" s="3012"/>
      <c r="B56" s="2021" t="s">
        <v>863</v>
      </c>
      <c r="C56" s="2018" t="s">
        <v>1282</v>
      </c>
    </row>
    <row r="57" spans="1:4">
      <c r="A57" s="3012"/>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4" sqref="E4"/>
    </sheetView>
  </sheetViews>
  <sheetFormatPr defaultColWidth="10" defaultRowHeight="18" customHeight="1"/>
  <cols>
    <col min="1" max="1" width="14.875" style="2031" customWidth="1"/>
    <col min="2" max="2" width="11.75" style="2031" customWidth="1"/>
    <col min="3" max="3" width="11.5" style="2031" customWidth="1"/>
    <col min="4" max="4" width="11.125" style="2031" customWidth="1"/>
    <col min="5" max="6" width="10" style="2031" customWidth="1"/>
    <col min="7" max="7" width="10.75" style="2031" customWidth="1"/>
    <col min="8" max="8" width="10" style="2031" customWidth="1"/>
    <col min="9" max="9" width="11.125" style="2156" customWidth="1"/>
    <col min="10" max="10" width="10" style="2031" customWidth="1"/>
    <col min="11" max="11" width="10" style="2157" customWidth="1"/>
    <col min="12" max="13" width="10" style="2158" customWidth="1"/>
    <col min="14" max="14" width="10" style="2031" customWidth="1"/>
    <col min="15" max="15" width="10" style="2156" customWidth="1"/>
    <col min="16" max="17" width="10" style="2031"/>
    <col min="18" max="18" width="10" style="2031" customWidth="1"/>
    <col min="19" max="16384" width="10" style="2031"/>
  </cols>
  <sheetData>
    <row r="1" spans="1:19" ht="38.25" customHeight="1" thickBot="1">
      <c r="A1" s="2024" t="s">
        <v>1771</v>
      </c>
      <c r="B1" s="3013" t="str">
        <f>IF(B10="北京市","北京市",C10)&amp;F10&amp;IF(结果表!G1="在建","出让国有建设用地使用权及在建建筑物",IF(结果表!G1="土地","出让国有建设用地使用权",))&amp;B9&amp;"预评估"</f>
        <v>河北省廊坊市开发区全兴路西工业用房房地产抵押价值预评估</v>
      </c>
      <c r="C1" s="3014"/>
      <c r="D1" s="3014"/>
      <c r="E1" s="3014"/>
      <c r="F1" s="3014"/>
      <c r="G1" s="3014"/>
      <c r="H1" s="3014"/>
      <c r="I1" s="3015"/>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河北省廊坊市开发区全兴路西工业用房房地产抵押价值</v>
      </c>
    </row>
    <row r="2" spans="1:19" ht="18" customHeight="1">
      <c r="A2" s="2025" t="s">
        <v>1772</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河北省廊坊市开发区全兴路西工业用房房地产</v>
      </c>
    </row>
    <row r="3" spans="1:19" ht="18" customHeight="1">
      <c r="A3" s="2034" t="s">
        <v>1773</v>
      </c>
      <c r="B3" s="2035">
        <v>44015</v>
      </c>
      <c r="C3" s="2036" t="s">
        <v>1774</v>
      </c>
      <c r="D3" s="2035">
        <f>B3</f>
        <v>44015</v>
      </c>
      <c r="E3" s="2025"/>
      <c r="F3" s="2025"/>
      <c r="G3" s="2025"/>
      <c r="H3" s="2025"/>
      <c r="I3" s="2025"/>
      <c r="J3" s="2025"/>
      <c r="K3" s="2026"/>
      <c r="L3" s="2027"/>
      <c r="M3" s="2027"/>
      <c r="N3" s="2028"/>
      <c r="O3" s="2029"/>
      <c r="P3" s="2028"/>
      <c r="Q3" s="2028"/>
      <c r="R3" s="2028"/>
      <c r="S3" s="2030"/>
    </row>
    <row r="4" spans="1:19" ht="18" customHeight="1" thickBot="1">
      <c r="A4" s="2037" t="s">
        <v>1775</v>
      </c>
      <c r="B4" s="2038" t="s">
        <v>3119</v>
      </c>
      <c r="C4" s="1037">
        <f ca="1">SUMIF(注册房地产估价师,B4,估价师及机构信息!B3:B24)</f>
        <v>1120100036</v>
      </c>
      <c r="D4" s="2038" t="s">
        <v>3120</v>
      </c>
      <c r="E4" s="1038">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崔锴（注册号：1120100036)、郑燚（注册号：1120070131)</v>
      </c>
      <c r="L4" s="2027"/>
      <c r="M4" s="2027"/>
      <c r="N4" s="2028"/>
      <c r="O4" s="2029"/>
      <c r="P4" s="2028"/>
      <c r="Q4" s="2028"/>
      <c r="R4" s="2028"/>
      <c r="S4" s="2030"/>
    </row>
    <row r="5" spans="1:19" ht="18" customHeight="1" thickTop="1">
      <c r="A5" s="2043" t="s">
        <v>1776</v>
      </c>
      <c r="B5" s="2951" t="s">
        <v>3129</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959" t="s">
        <v>3130</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050" t="str">
        <f>B5</f>
        <v>河北复兴药业有限公司</v>
      </c>
      <c r="C7" s="2047"/>
      <c r="D7" s="2048"/>
      <c r="E7" s="2033"/>
      <c r="F7" s="2041"/>
      <c r="G7" s="2041"/>
      <c r="H7" s="2041"/>
      <c r="I7" s="2041"/>
      <c r="J7" s="2041"/>
      <c r="K7" s="2051"/>
      <c r="L7" s="2027"/>
      <c r="M7" s="2027"/>
      <c r="N7" s="2028"/>
      <c r="O7" s="2029"/>
      <c r="P7" s="2028"/>
      <c r="Q7" s="2028"/>
      <c r="R7" s="2028"/>
    </row>
    <row r="8" spans="1:19" ht="18" customHeight="1">
      <c r="A8" s="2046" t="s">
        <v>1779</v>
      </c>
      <c r="B8" s="2052" t="s">
        <v>3049</v>
      </c>
      <c r="C8" s="2053"/>
      <c r="D8" s="3016" t="s">
        <v>1780</v>
      </c>
      <c r="E8" s="2054" t="s">
        <v>3050</v>
      </c>
      <c r="F8" s="2055"/>
      <c r="G8" s="2025"/>
      <c r="H8" s="2025"/>
      <c r="I8" s="2025"/>
      <c r="J8" s="2041"/>
      <c r="K8" s="2042"/>
      <c r="L8" s="2027"/>
      <c r="M8" s="2027"/>
      <c r="N8" s="2028"/>
      <c r="O8" s="2029"/>
      <c r="P8" s="2028"/>
      <c r="Q8" s="2028"/>
      <c r="R8" s="2028"/>
    </row>
    <row r="9" spans="1:19" ht="18" customHeight="1" thickBot="1">
      <c r="A9" s="2039" t="s">
        <v>1781</v>
      </c>
      <c r="B9" s="2056" t="s">
        <v>3050</v>
      </c>
      <c r="C9" s="2057"/>
      <c r="D9" s="3017"/>
      <c r="E9" s="2056"/>
      <c r="F9" s="2058"/>
      <c r="G9" s="2059"/>
      <c r="H9" s="2059"/>
      <c r="I9" s="2059"/>
      <c r="J9" s="2041"/>
      <c r="K9" s="2051"/>
      <c r="L9" s="2027"/>
      <c r="M9" s="2027"/>
      <c r="N9" s="2028"/>
      <c r="O9" s="2029"/>
      <c r="P9" s="2028"/>
      <c r="Q9" s="2028"/>
      <c r="R9" s="2028"/>
    </row>
    <row r="10" spans="1:19" ht="18" customHeight="1" thickTop="1">
      <c r="A10" s="2060" t="s">
        <v>1782</v>
      </c>
      <c r="B10" s="2061" t="s">
        <v>3052</v>
      </c>
      <c r="C10" s="2062"/>
      <c r="D10" s="2045"/>
      <c r="E10" s="2063" t="s">
        <v>1783</v>
      </c>
      <c r="F10" s="2952" t="s">
        <v>3128</v>
      </c>
      <c r="G10" s="2064"/>
      <c r="H10" s="2065"/>
      <c r="I10" s="2045"/>
      <c r="J10" s="2041"/>
      <c r="K10" s="2051"/>
      <c r="L10" s="2027"/>
      <c r="M10" s="2027"/>
      <c r="N10" s="2028"/>
      <c r="O10" s="2029"/>
      <c r="P10" s="2028"/>
      <c r="Q10" s="2028"/>
      <c r="R10" s="2028"/>
    </row>
    <row r="11" spans="1:19" ht="18" customHeight="1">
      <c r="A11" s="2066" t="s">
        <v>1784</v>
      </c>
      <c r="B11" s="2067" t="s">
        <v>3051</v>
      </c>
      <c r="C11" s="2068" t="str">
        <f>B5</f>
        <v>河北复兴药业有限公司</v>
      </c>
      <c r="D11" s="2069"/>
      <c r="E11" s="2041"/>
      <c r="F11" s="2041"/>
      <c r="G11" s="2041"/>
      <c r="H11" s="2041"/>
      <c r="I11" s="2041"/>
      <c r="J11" s="2041"/>
      <c r="K11" s="2051"/>
      <c r="L11" s="2027"/>
      <c r="M11" s="2027"/>
      <c r="N11" s="2028"/>
      <c r="O11" s="2029"/>
      <c r="P11" s="2028"/>
      <c r="Q11" s="2028"/>
      <c r="R11" s="2028"/>
    </row>
    <row r="12" spans="1:19" ht="18" customHeight="1">
      <c r="A12" s="2070" t="s">
        <v>1785</v>
      </c>
      <c r="B12" s="2067" t="s">
        <v>3053</v>
      </c>
      <c r="C12" s="2071" t="s">
        <v>1786</v>
      </c>
      <c r="D12" s="2072" t="s">
        <v>1787</v>
      </c>
      <c r="E12" s="2072" t="s">
        <v>1788</v>
      </c>
      <c r="F12" s="2072" t="s">
        <v>1789</v>
      </c>
      <c r="G12" s="2072" t="s">
        <v>1790</v>
      </c>
      <c r="H12" s="2072" t="s">
        <v>1791</v>
      </c>
      <c r="I12" s="2072" t="s">
        <v>1792</v>
      </c>
      <c r="J12" s="2041"/>
      <c r="K12" s="2051"/>
      <c r="L12" s="2027"/>
      <c r="M12" s="2027"/>
      <c r="N12" s="2028"/>
      <c r="O12" s="2029"/>
      <c r="P12" s="2028"/>
      <c r="Q12" s="2028"/>
      <c r="R12" s="2028"/>
    </row>
    <row r="13" spans="1:19" ht="18" customHeight="1">
      <c r="A13" s="2073"/>
      <c r="B13" s="2074"/>
      <c r="C13" s="2075" t="s">
        <v>1793</v>
      </c>
      <c r="D13" s="2076"/>
      <c r="E13" s="2076"/>
      <c r="F13" s="2076"/>
      <c r="G13" s="2076"/>
      <c r="H13" s="2076"/>
      <c r="I13" s="1047">
        <v>55280</v>
      </c>
      <c r="J13" s="2041"/>
      <c r="K13" s="2051"/>
      <c r="L13" s="2027"/>
      <c r="M13" s="2027"/>
      <c r="N13" s="2028"/>
      <c r="O13" s="2029"/>
      <c r="P13" s="2028"/>
      <c r="Q13" s="2028"/>
      <c r="R13" s="2028"/>
    </row>
    <row r="14" spans="1:19" ht="18" customHeight="1">
      <c r="A14" s="2073"/>
      <c r="B14" s="2074"/>
      <c r="C14" s="2075" t="s">
        <v>1794</v>
      </c>
      <c r="D14" s="1050"/>
      <c r="E14" s="1050"/>
      <c r="F14" s="1050"/>
      <c r="G14" s="1050"/>
      <c r="H14" s="1050"/>
      <c r="I14" s="1050">
        <v>50</v>
      </c>
      <c r="J14" s="2041"/>
      <c r="K14" s="2077"/>
      <c r="L14" s="2027"/>
      <c r="M14" s="2027"/>
      <c r="N14" s="2028"/>
      <c r="O14" s="2029"/>
      <c r="P14" s="2028"/>
      <c r="Q14" s="2028"/>
      <c r="R14" s="2028"/>
    </row>
    <row r="15" spans="1:19" ht="18" customHeight="1">
      <c r="A15" s="2060"/>
      <c r="B15" s="2078"/>
      <c r="C15" s="2075"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30.86</v>
      </c>
      <c r="J15" s="2041"/>
      <c r="K15" s="2079"/>
      <c r="L15" s="2080"/>
      <c r="M15" s="2080"/>
      <c r="N15" s="2081"/>
      <c r="O15" s="2080"/>
      <c r="P15" s="2081"/>
      <c r="Q15" s="2028"/>
      <c r="R15" s="2028"/>
    </row>
    <row r="16" spans="1:19" ht="30.75" customHeight="1">
      <c r="A16" s="2063" t="s">
        <v>1796</v>
      </c>
      <c r="B16" s="3023" t="s">
        <v>3054</v>
      </c>
      <c r="C16" s="3024"/>
      <c r="D16" s="3025"/>
      <c r="E16" s="2082" t="s">
        <v>1797</v>
      </c>
      <c r="F16" s="3026" t="s">
        <v>3055</v>
      </c>
      <c r="G16" s="3027"/>
      <c r="H16" s="3027"/>
      <c r="I16" s="3028"/>
      <c r="J16" s="2028"/>
      <c r="K16" s="2079"/>
      <c r="L16" s="2080"/>
      <c r="M16" s="2080"/>
      <c r="N16" s="2081"/>
      <c r="O16" s="2080"/>
      <c r="P16" s="2081"/>
      <c r="Q16" s="2028"/>
      <c r="R16" s="2028"/>
    </row>
    <row r="17" spans="1:22" ht="18" customHeight="1">
      <c r="A17" s="2083" t="s">
        <v>1798</v>
      </c>
      <c r="B17" s="2034" t="s">
        <v>1799</v>
      </c>
      <c r="C17" s="1054">
        <f>'数据-汇总表'!E3</f>
        <v>2547.4699999999998</v>
      </c>
      <c r="D17" s="2084" t="s">
        <v>1800</v>
      </c>
      <c r="E17" s="3029" t="s">
        <v>3190</v>
      </c>
      <c r="F17" s="3030"/>
      <c r="G17" s="3030"/>
      <c r="H17" s="3030"/>
      <c r="I17" s="3031"/>
      <c r="J17" s="2028"/>
      <c r="K17" s="2085"/>
      <c r="L17" s="2080"/>
      <c r="M17" s="2080"/>
      <c r="N17" s="2081"/>
      <c r="O17" s="2080"/>
      <c r="P17" s="2081"/>
      <c r="Q17" s="2028"/>
      <c r="R17" s="2028"/>
      <c r="S17" s="2028"/>
      <c r="T17" s="2028"/>
      <c r="U17" s="2028"/>
      <c r="V17" s="2028"/>
    </row>
    <row r="18" spans="1:22" ht="36" customHeight="1" thickBot="1">
      <c r="A18" s="2086" t="s">
        <v>70</v>
      </c>
      <c r="B18" s="2037" t="s">
        <v>1801</v>
      </c>
      <c r="C18" s="1444">
        <f>'数据-汇总表'!D3</f>
        <v>6139</v>
      </c>
      <c r="D18" s="2087" t="s">
        <v>1800</v>
      </c>
      <c r="E18" s="3032" t="s">
        <v>3131</v>
      </c>
      <c r="F18" s="3033"/>
      <c r="G18" s="3033"/>
      <c r="H18" s="3033"/>
      <c r="I18" s="3034"/>
      <c r="J18" s="2028"/>
      <c r="K18" s="2085"/>
      <c r="L18" s="2080"/>
      <c r="M18" s="2080"/>
      <c r="N18" s="2081"/>
      <c r="O18" s="2080"/>
      <c r="P18" s="2081"/>
      <c r="Q18" s="2028"/>
      <c r="R18" s="2028"/>
      <c r="S18" s="2028"/>
      <c r="T18" s="2028"/>
      <c r="U18" s="2028"/>
      <c r="V18" s="2028"/>
    </row>
    <row r="19" spans="1:22" ht="37.5" customHeight="1" thickTop="1" thickBot="1">
      <c r="A19" s="373" t="s">
        <v>1802</v>
      </c>
      <c r="B19" s="352" t="s">
        <v>1803</v>
      </c>
      <c r="C19" s="2088" t="s">
        <v>70</v>
      </c>
      <c r="D19" s="2089" t="s">
        <v>1804</v>
      </c>
      <c r="E19" s="2090" t="s">
        <v>70</v>
      </c>
      <c r="F19" s="2091" t="str">
        <f>IF(AND(C19="是",E19="否"),"是否提供他项权证或相关说明","")</f>
        <v/>
      </c>
      <c r="G19" s="2092"/>
      <c r="H19" s="2041"/>
      <c r="I19" s="2041"/>
      <c r="J19" s="2041"/>
      <c r="K19" s="2051"/>
      <c r="L19" s="2027"/>
      <c r="M19" s="2027"/>
      <c r="N19" s="2081"/>
      <c r="O19" s="2080"/>
      <c r="P19" s="2081"/>
      <c r="Q19" s="2028"/>
      <c r="R19" s="2028"/>
      <c r="S19" s="2028"/>
      <c r="T19" s="2028"/>
      <c r="U19" s="2028"/>
      <c r="V19" s="2028"/>
    </row>
    <row r="20" spans="1:22" ht="18" customHeight="1">
      <c r="A20" s="2093" t="s">
        <v>1805</v>
      </c>
      <c r="B20" s="3019" t="s">
        <v>1806</v>
      </c>
      <c r="C20" s="3020"/>
      <c r="D20" s="3021" t="s">
        <v>1807</v>
      </c>
      <c r="E20" s="3022"/>
      <c r="F20" s="2094" t="s">
        <v>1808</v>
      </c>
      <c r="G20" s="2041"/>
      <c r="H20" s="2041"/>
      <c r="I20" s="2041"/>
      <c r="J20" s="2041"/>
      <c r="K20" s="3018" t="s">
        <v>1809</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7"/>
      <c r="N20" s="2081"/>
      <c r="O20" s="2080"/>
      <c r="P20" s="2081"/>
      <c r="Q20" s="2028"/>
      <c r="R20" s="2028"/>
      <c r="S20" s="2028"/>
      <c r="T20" s="2028"/>
      <c r="U20" s="2028"/>
      <c r="V20" s="2028"/>
    </row>
    <row r="21" spans="1:22" ht="24.75" customHeight="1">
      <c r="A21" s="2093"/>
      <c r="B21" s="2095" t="s">
        <v>1810</v>
      </c>
      <c r="C21" s="2096" t="s">
        <v>3118</v>
      </c>
      <c r="D21" s="2097"/>
      <c r="E21" s="2098" t="s">
        <v>70</v>
      </c>
      <c r="F21" s="2099"/>
      <c r="G21" s="2041"/>
      <c r="H21" s="2041"/>
      <c r="I21" s="2041"/>
      <c r="J21" s="2041"/>
      <c r="K21" s="301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1"/>
      <c r="O21" s="2080"/>
      <c r="P21" s="2081"/>
      <c r="Q21" s="2028"/>
      <c r="R21" s="2028"/>
      <c r="S21" s="2028"/>
      <c r="T21" s="2028"/>
      <c r="U21" s="2028"/>
      <c r="V21" s="2028"/>
    </row>
    <row r="22" spans="1:22" ht="24.75" customHeight="1" thickBot="1">
      <c r="A22" s="2093"/>
      <c r="B22" s="2100" t="s">
        <v>1811</v>
      </c>
      <c r="C22" s="2096" t="s">
        <v>3118</v>
      </c>
      <c r="D22" s="2025"/>
      <c r="E22" s="2025"/>
      <c r="F22" s="2101"/>
      <c r="G22" s="2041"/>
      <c r="H22" s="2041"/>
      <c r="I22" s="2041"/>
      <c r="J22" s="2041"/>
      <c r="K22" s="301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2" t="s">
        <v>1812</v>
      </c>
      <c r="B23" s="183" t="s">
        <v>1813</v>
      </c>
      <c r="C23" s="2103"/>
      <c r="D23" s="2104" t="s">
        <v>1813</v>
      </c>
      <c r="E23" s="2105"/>
      <c r="F23" s="2101"/>
      <c r="G23" s="2041"/>
      <c r="H23" s="2041"/>
      <c r="I23" s="2041"/>
      <c r="J23" s="2041"/>
      <c r="K23" s="2106"/>
      <c r="L23" s="748"/>
      <c r="M23" s="2027"/>
      <c r="N23" s="2081"/>
      <c r="O23" s="2080"/>
      <c r="P23" s="2081"/>
      <c r="Q23" s="2028"/>
      <c r="R23" s="2028"/>
      <c r="S23" s="2028"/>
      <c r="T23" s="2028"/>
      <c r="U23" s="2028"/>
      <c r="V23" s="2028"/>
    </row>
    <row r="24" spans="1:22" ht="18" customHeight="1">
      <c r="A24" s="2107"/>
      <c r="B24" s="183" t="s">
        <v>1814</v>
      </c>
      <c r="C24" s="2108"/>
      <c r="D24" s="2102" t="s">
        <v>1814</v>
      </c>
      <c r="E24" s="2109"/>
      <c r="F24" s="2101"/>
      <c r="G24" s="2041"/>
      <c r="H24" s="2041"/>
      <c r="I24" s="2041"/>
      <c r="J24" s="2041"/>
      <c r="K24" s="2106"/>
      <c r="L24" s="748"/>
      <c r="M24" s="2027"/>
      <c r="N24" s="2081"/>
      <c r="O24" s="2080"/>
      <c r="P24" s="2081"/>
      <c r="Q24" s="2028"/>
      <c r="R24" s="2028"/>
      <c r="S24" s="2028"/>
      <c r="T24" s="2028"/>
      <c r="U24" s="2028"/>
      <c r="V24" s="2028"/>
    </row>
    <row r="25" spans="1:22" ht="18" customHeight="1">
      <c r="A25" s="2107"/>
      <c r="B25" s="183" t="s">
        <v>1815</v>
      </c>
      <c r="C25" s="2108"/>
      <c r="D25" s="2102" t="s">
        <v>1815</v>
      </c>
      <c r="E25" s="2109"/>
      <c r="F25" s="2101"/>
      <c r="G25" s="2041"/>
      <c r="H25" s="2041"/>
      <c r="I25" s="2041"/>
      <c r="J25" s="2041"/>
      <c r="K25" s="2051"/>
      <c r="L25" s="2027"/>
      <c r="M25" s="2027"/>
      <c r="N25" s="2081"/>
      <c r="O25" s="2080"/>
      <c r="P25" s="2081"/>
      <c r="Q25" s="2028"/>
      <c r="R25" s="2028"/>
      <c r="S25" s="2028"/>
      <c r="T25" s="2028"/>
      <c r="U25" s="2028"/>
      <c r="V25" s="2028"/>
    </row>
    <row r="26" spans="1:22" ht="18" customHeight="1" thickBot="1">
      <c r="A26" s="2110"/>
      <c r="B26" s="2111" t="s">
        <v>1816</v>
      </c>
      <c r="C26" s="2112"/>
      <c r="D26" s="2113" t="s">
        <v>1817</v>
      </c>
      <c r="E26" s="2114"/>
      <c r="F26" s="2115"/>
      <c r="G26" s="2059"/>
      <c r="H26" s="2059"/>
      <c r="I26" s="2059"/>
      <c r="J26" s="2041"/>
      <c r="K26" s="2051"/>
      <c r="L26" s="2027"/>
      <c r="M26" s="2027"/>
      <c r="N26" s="2081"/>
      <c r="O26" s="2080"/>
      <c r="P26" s="2081"/>
      <c r="Q26" s="2028"/>
      <c r="R26" s="2028"/>
      <c r="S26" s="2028"/>
      <c r="T26" s="2028"/>
      <c r="U26" s="2028"/>
      <c r="V26" s="2028"/>
    </row>
    <row r="27" spans="1:22" ht="18" customHeight="1" thickTop="1">
      <c r="A27" s="3036" t="s">
        <v>1818</v>
      </c>
      <c r="B27" s="2060" t="s">
        <v>1819</v>
      </c>
      <c r="C27" s="2116" t="s">
        <v>3057</v>
      </c>
      <c r="D27" s="2117"/>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36"/>
      <c r="B28" s="2034" t="s">
        <v>1820</v>
      </c>
      <c r="C28" s="2118" t="s">
        <v>3058</v>
      </c>
      <c r="D28" s="2119"/>
      <c r="E28" s="2041"/>
      <c r="F28" s="2041"/>
      <c r="G28" s="2041"/>
      <c r="H28" s="2041"/>
      <c r="I28" s="2041"/>
      <c r="J28" s="2028"/>
      <c r="K28" s="2120"/>
      <c r="L28" s="2027"/>
      <c r="M28" s="2027"/>
      <c r="N28" s="2028"/>
      <c r="O28" s="2029"/>
      <c r="P28" s="2028"/>
      <c r="Q28" s="2028"/>
      <c r="R28" s="2028"/>
      <c r="S28" s="2028"/>
      <c r="T28" s="2028"/>
      <c r="U28" s="2028"/>
      <c r="V28" s="2028"/>
    </row>
    <row r="29" spans="1:22" ht="18" customHeight="1">
      <c r="A29" s="3036"/>
      <c r="B29" s="2034" t="s">
        <v>1821</v>
      </c>
      <c r="C29" s="2121" t="s">
        <v>3059</v>
      </c>
      <c r="D29" s="2122"/>
      <c r="E29" s="2041"/>
      <c r="F29" s="2041"/>
      <c r="G29" s="2041"/>
      <c r="H29" s="2041"/>
      <c r="I29" s="2041"/>
      <c r="J29" s="2028"/>
      <c r="K29" s="2120"/>
      <c r="L29" s="2027"/>
      <c r="M29" s="2027"/>
      <c r="N29" s="2028"/>
      <c r="O29" s="2029"/>
      <c r="P29" s="2028"/>
      <c r="Q29" s="2028"/>
      <c r="R29" s="2028"/>
      <c r="S29" s="2028"/>
      <c r="T29" s="2028"/>
      <c r="U29" s="2028"/>
      <c r="V29" s="2028"/>
    </row>
    <row r="30" spans="1:22" ht="18" customHeight="1">
      <c r="A30" s="3037"/>
      <c r="B30" s="2034" t="s">
        <v>1822</v>
      </c>
      <c r="C30" s="3038"/>
      <c r="D30" s="3039"/>
      <c r="E30" s="2041"/>
      <c r="F30" s="2041"/>
      <c r="G30" s="2041"/>
      <c r="H30" s="2041"/>
      <c r="I30" s="2041"/>
      <c r="J30" s="2028"/>
      <c r="K30" s="2120"/>
      <c r="L30" s="2027"/>
      <c r="M30" s="2027"/>
      <c r="N30" s="2028"/>
      <c r="O30" s="2029"/>
      <c r="P30" s="2028"/>
      <c r="Q30" s="2028"/>
      <c r="R30" s="2028"/>
      <c r="S30" s="2028"/>
      <c r="T30" s="2028"/>
      <c r="U30" s="2028"/>
      <c r="V30" s="2028"/>
    </row>
    <row r="31" spans="1:22" ht="18" customHeight="1">
      <c r="A31" s="3040" t="s">
        <v>1823</v>
      </c>
      <c r="B31" s="2123" t="s">
        <v>3060</v>
      </c>
      <c r="C31" s="2124" t="str">
        <f>IF(B31="现房","成新及维护状况正常否",IF(B31="在建","工程状态是否正常",IF(B31="土地","是否闲置","-")))</f>
        <v>成新及维护状况正常否</v>
      </c>
      <c r="D31" s="2125"/>
      <c r="E31" s="2126"/>
      <c r="F31" s="2041"/>
      <c r="G31" s="2041"/>
      <c r="H31" s="2041"/>
      <c r="I31" s="2041"/>
      <c r="J31" s="2041"/>
      <c r="K31" s="2049"/>
      <c r="L31" s="2027"/>
      <c r="M31" s="2027"/>
      <c r="N31" s="2028"/>
      <c r="O31" s="2029"/>
      <c r="P31" s="2028"/>
      <c r="Q31" s="2028"/>
      <c r="R31" s="2028"/>
      <c r="S31" s="2028"/>
      <c r="T31" s="2028"/>
      <c r="U31" s="2028"/>
      <c r="V31" s="2028"/>
    </row>
    <row r="32" spans="1:22" ht="18" customHeight="1">
      <c r="A32" s="3041"/>
      <c r="B32" s="2123"/>
      <c r="C32" s="2124" t="str">
        <f>IF(B32="现房","成新及维护状况是否正常",IF(B32="在建","工程状态是否正常",IF(B32="土地","是否闲置","-")))</f>
        <v>-</v>
      </c>
      <c r="D32" s="2125"/>
      <c r="E32" s="2126"/>
      <c r="F32" s="2041"/>
      <c r="G32" s="2041"/>
      <c r="H32" s="2041"/>
      <c r="I32" s="2041"/>
      <c r="J32" s="2041"/>
      <c r="K32" s="2051"/>
      <c r="L32" s="2027"/>
      <c r="M32" s="2027"/>
      <c r="N32" s="2028"/>
      <c r="O32" s="2029"/>
      <c r="P32" s="2028"/>
      <c r="Q32" s="2028"/>
      <c r="R32" s="2028"/>
      <c r="S32" s="2028"/>
      <c r="T32" s="2028"/>
      <c r="U32" s="2028"/>
      <c r="V32" s="2028"/>
    </row>
    <row r="33" spans="1:22" ht="18" customHeight="1">
      <c r="A33" s="3041"/>
      <c r="B33" s="2127"/>
      <c r="C33" s="2066" t="str">
        <f>IF(B33="现房","成新及维护状况是否正常",IF(B33="在建","工程状态是否正常",IF(B33="土地","是否闲置","-")))</f>
        <v>-</v>
      </c>
      <c r="D33" s="2128"/>
      <c r="E33" s="2129"/>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1824</v>
      </c>
      <c r="B34" s="2130" t="s">
        <v>3061</v>
      </c>
      <c r="C34" s="2130" t="s">
        <v>3062</v>
      </c>
      <c r="D34" s="2130" t="s">
        <v>3063</v>
      </c>
      <c r="E34" s="2130" t="s">
        <v>3064</v>
      </c>
      <c r="F34" s="2130" t="s">
        <v>3065</v>
      </c>
      <c r="G34" s="2130" t="s">
        <v>3066</v>
      </c>
      <c r="H34" s="2130"/>
      <c r="I34" s="2041"/>
      <c r="J34" s="2041"/>
      <c r="K34" s="1795">
        <f>COUNTIF(B34:H34,"——")</f>
        <v>0</v>
      </c>
      <c r="L34" s="2071" t="s">
        <v>1825</v>
      </c>
      <c r="M34" s="2071" t="s">
        <v>1826</v>
      </c>
      <c r="N34" s="2071" t="s">
        <v>1827</v>
      </c>
      <c r="O34" s="2071" t="s">
        <v>1828</v>
      </c>
      <c r="P34" s="2071" t="s">
        <v>1829</v>
      </c>
      <c r="Q34" s="2071" t="s">
        <v>1830</v>
      </c>
      <c r="R34" s="2071" t="s">
        <v>1831</v>
      </c>
      <c r="S34" s="3035" t="s">
        <v>1832</v>
      </c>
      <c r="T34" s="2131" t="str">
        <f>NUMBERSTRING(7-K34,1)&amp;"通"</f>
        <v>七通</v>
      </c>
      <c r="U34" s="2028"/>
      <c r="V34" s="2028"/>
    </row>
    <row r="35" spans="1:22" ht="18" customHeight="1">
      <c r="A35" s="2132"/>
      <c r="B35" s="3042" t="s">
        <v>1833</v>
      </c>
      <c r="C35" s="3042"/>
      <c r="D35" s="3042"/>
      <c r="E35" s="3042"/>
      <c r="F35" s="2133">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通路、通电、通讯、通上水、通下水、平整</v>
      </c>
      <c r="R35" s="48" t="str">
        <f>B34&amp;"、"&amp;C34&amp;"、"&amp;D34&amp;"、"&amp;E34&amp;"、"&amp;F34&amp;"、"&amp;G34&amp;"、"&amp;H34</f>
        <v>通路、通电、通讯、通上水、通下水、平整、</v>
      </c>
      <c r="S35" s="3035"/>
      <c r="T35" s="48" t="str">
        <f>IF(T34="一通",L35,IF(T34="二通",M35,IF(T34="三通",N35,IF(T34="四通",O35,IF(T34="五通",P35,IF(T34="六通",Q35,R35))))))</f>
        <v>通路、通电、通讯、通上水、通下水、平整、</v>
      </c>
      <c r="U35" s="2028"/>
      <c r="V35" s="2028"/>
    </row>
    <row r="36" spans="1:22" ht="18" customHeight="1">
      <c r="A36" s="2134"/>
      <c r="B36" s="2133" t="s">
        <v>1834</v>
      </c>
      <c r="C36" s="2133" t="s">
        <v>1835</v>
      </c>
      <c r="D36" s="2133" t="s">
        <v>1836</v>
      </c>
      <c r="E36" s="2133" t="s">
        <v>1837</v>
      </c>
      <c r="F36" s="2135"/>
      <c r="G36" s="2041"/>
      <c r="H36" s="2041"/>
      <c r="I36" s="2041"/>
      <c r="J36" s="2041"/>
      <c r="K36" s="2051"/>
      <c r="L36" s="2027"/>
      <c r="M36" s="2027"/>
      <c r="N36" s="2028"/>
      <c r="O36" s="2029"/>
      <c r="P36" s="2028"/>
      <c r="Q36" s="2028"/>
      <c r="R36" s="2028"/>
      <c r="S36" s="2028"/>
      <c r="T36" s="2028"/>
      <c r="U36" s="2028"/>
      <c r="V36" s="2028"/>
    </row>
    <row r="37" spans="1:22" ht="18" customHeight="1">
      <c r="A37" s="2136" t="s">
        <v>1838</v>
      </c>
      <c r="B37" s="2137"/>
      <c r="C37" s="2137"/>
      <c r="D37" s="2137"/>
      <c r="E37" s="2137"/>
      <c r="F37" s="2135"/>
      <c r="G37" s="2041"/>
      <c r="H37" s="2041"/>
      <c r="I37" s="2041"/>
      <c r="J37" s="2041"/>
      <c r="K37" s="2051"/>
      <c r="L37" s="2027"/>
      <c r="M37" s="2027"/>
      <c r="N37" s="2028"/>
      <c r="O37" s="2029"/>
      <c r="P37" s="2028"/>
      <c r="Q37" s="2028"/>
      <c r="R37" s="2028"/>
      <c r="S37" s="2028"/>
      <c r="T37" s="2028"/>
      <c r="U37" s="2028"/>
      <c r="V37" s="2028"/>
    </row>
    <row r="38" spans="1:22" ht="18" customHeight="1" thickBot="1">
      <c r="A38" s="2138" t="s">
        <v>1839</v>
      </c>
      <c r="B38" s="2139"/>
      <c r="C38" s="2139"/>
      <c r="D38" s="2139"/>
      <c r="E38" s="2139"/>
      <c r="F38" s="2140"/>
      <c r="G38" s="2059"/>
      <c r="H38" s="2059"/>
      <c r="I38" s="2059"/>
      <c r="J38" s="2041"/>
      <c r="K38" s="2051"/>
      <c r="L38" s="2027"/>
      <c r="M38" s="2027"/>
      <c r="N38" s="2028"/>
      <c r="O38" s="2029"/>
      <c r="P38" s="2028"/>
      <c r="Q38" s="2028"/>
      <c r="R38" s="2028"/>
      <c r="S38" s="2028"/>
      <c r="T38" s="2028"/>
      <c r="U38" s="2028"/>
      <c r="V38" s="2028"/>
    </row>
    <row r="39" spans="1:22" s="2145" customFormat="1" ht="18" customHeight="1" thickTop="1" thickBot="1">
      <c r="A39" s="2141" t="s">
        <v>1840</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8"/>
      <c r="B40" s="2028"/>
      <c r="C40" s="2028"/>
      <c r="D40" s="2028"/>
      <c r="E40" s="2028"/>
      <c r="F40" s="2028"/>
      <c r="G40" s="2028"/>
      <c r="H40" s="2028"/>
      <c r="I40" s="2146"/>
      <c r="J40" s="2081"/>
      <c r="K40" s="666"/>
      <c r="L40" s="2080"/>
      <c r="M40" s="2080"/>
      <c r="N40" s="2081"/>
      <c r="O40" s="2080"/>
      <c r="P40" s="2028"/>
      <c r="Q40" s="2028"/>
      <c r="R40" s="2028"/>
      <c r="S40" s="2028"/>
      <c r="T40" s="2028"/>
      <c r="U40" s="2028"/>
      <c r="V40" s="2028"/>
    </row>
    <row r="41" spans="1:22" ht="18" customHeight="1">
      <c r="A41" s="8" t="s">
        <v>1841</v>
      </c>
      <c r="B41" s="2147"/>
      <c r="C41" s="2148"/>
      <c r="D41" s="2028"/>
      <c r="E41" s="2028"/>
      <c r="F41" s="2028"/>
      <c r="G41" s="2028"/>
      <c r="H41" s="2028"/>
      <c r="I41" s="2029"/>
      <c r="J41" s="2028"/>
      <c r="K41" s="2120"/>
      <c r="L41" s="2027"/>
      <c r="M41" s="2027"/>
      <c r="N41" s="2028"/>
      <c r="O41" s="2029"/>
      <c r="P41" s="2028"/>
      <c r="Q41" s="2028"/>
      <c r="R41" s="2028"/>
      <c r="S41" s="2028"/>
      <c r="T41" s="2028"/>
      <c r="U41" s="2028"/>
      <c r="V41" s="2028"/>
    </row>
    <row r="42" spans="1:22" ht="18" customHeight="1">
      <c r="A42" s="2071" t="s">
        <v>1842</v>
      </c>
      <c r="B42" s="1795" t="s">
        <v>1843</v>
      </c>
      <c r="C42" s="1795" t="s">
        <v>1844</v>
      </c>
      <c r="D42" s="1795" t="s">
        <v>1845</v>
      </c>
      <c r="E42" s="1795" t="s">
        <v>1846</v>
      </c>
      <c r="F42" s="1795" t="s">
        <v>1847</v>
      </c>
      <c r="G42" s="1795" t="s">
        <v>1848</v>
      </c>
      <c r="H42" s="1795" t="s">
        <v>1849</v>
      </c>
      <c r="I42" s="1795" t="s">
        <v>1850</v>
      </c>
      <c r="J42" s="2149" t="s">
        <v>1851</v>
      </c>
      <c r="K42" s="2072" t="s">
        <v>1852</v>
      </c>
      <c r="L42" s="2072" t="s">
        <v>1853</v>
      </c>
      <c r="M42" s="2072" t="s">
        <v>1854</v>
      </c>
      <c r="N42" s="1795" t="s">
        <v>1855</v>
      </c>
      <c r="O42" s="1795" t="s">
        <v>1856</v>
      </c>
      <c r="P42" s="1795" t="s">
        <v>1857</v>
      </c>
      <c r="Q42" s="2071" t="s">
        <v>1858</v>
      </c>
      <c r="R42" s="2071" t="s">
        <v>1859</v>
      </c>
      <c r="S42" s="2028"/>
      <c r="T42" s="2028"/>
      <c r="U42" s="2028"/>
      <c r="V42" s="2028"/>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3" sqref="J23"/>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hidden="1" customWidth="1"/>
    <col min="16" max="16" width="9.75" style="2156" hidden="1" customWidth="1"/>
    <col min="17" max="17" width="9.375" style="2156" hidden="1" customWidth="1"/>
    <col min="18" max="18" width="9.25" style="2156" hidden="1" customWidth="1"/>
    <col min="19" max="19" width="10.875" style="2156" hidden="1" customWidth="1"/>
    <col min="20" max="21" width="10.75" style="2156" hidden="1" customWidth="1"/>
    <col min="22" max="22" width="10.875" style="2156" hidden="1" customWidth="1"/>
    <col min="23" max="27" width="10.75" style="2156" hidden="1" customWidth="1"/>
    <col min="28" max="28" width="10.875" style="2156" hidden="1"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1860</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0" t="s">
        <v>1861</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4" customFormat="1" ht="24">
      <c r="A2" s="11" t="s">
        <v>1862</v>
      </c>
      <c r="B2" s="11" t="s">
        <v>1863</v>
      </c>
      <c r="C2" s="11" t="s">
        <v>1864</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1865</v>
      </c>
      <c r="AZ2" s="1270" t="s">
        <v>1866</v>
      </c>
      <c r="BA2" s="11" t="s">
        <v>1867</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6139</v>
      </c>
      <c r="B3" s="14">
        <f>IF(C3="否",G5-AT5,G5)</f>
        <v>2547.4699999999998</v>
      </c>
      <c r="C3" s="2165" t="s">
        <v>1868</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1869</v>
      </c>
      <c r="B5" s="1803"/>
      <c r="C5" s="1803"/>
      <c r="D5" s="1806"/>
      <c r="E5" s="16" t="s">
        <v>1</v>
      </c>
      <c r="F5" s="16">
        <f>SUM(F13:F587)</f>
        <v>0</v>
      </c>
      <c r="G5" s="16">
        <f>SUM(G13:G587)</f>
        <v>2547.4699999999998</v>
      </c>
      <c r="H5" s="16">
        <f t="shared" ref="H5:AT5" si="0">SUM(H13:H656)</f>
        <v>2422.75</v>
      </c>
      <c r="I5" s="16">
        <f t="shared" si="0"/>
        <v>2422.75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124.72</v>
      </c>
      <c r="AD5" s="16">
        <f t="shared" si="0"/>
        <v>0</v>
      </c>
      <c r="AE5" s="16">
        <f t="shared" si="0"/>
        <v>0</v>
      </c>
      <c r="AF5" s="16">
        <f t="shared" si="0"/>
        <v>0</v>
      </c>
      <c r="AG5" s="16">
        <f t="shared" si="0"/>
        <v>0</v>
      </c>
      <c r="AH5" s="16">
        <f t="shared" si="0"/>
        <v>0</v>
      </c>
      <c r="AI5" s="16">
        <f t="shared" si="0"/>
        <v>0</v>
      </c>
      <c r="AJ5" s="16">
        <f t="shared" si="0"/>
        <v>0</v>
      </c>
      <c r="AK5" s="16">
        <f t="shared" si="0"/>
        <v>0</v>
      </c>
      <c r="AL5" s="16">
        <f t="shared" si="0"/>
        <v>124.72</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1869</v>
      </c>
      <c r="AW5" s="1803"/>
      <c r="AX5" s="1803"/>
      <c r="AY5" s="17" t="s">
        <v>3</v>
      </c>
      <c r="AZ5" s="18">
        <f t="shared" ref="AZ5:BT5" si="1">SUM(AZ13:AZ656)</f>
        <v>2547.4699999999998</v>
      </c>
      <c r="BA5" s="18">
        <f t="shared" si="1"/>
        <v>2422.75</v>
      </c>
      <c r="BB5" s="18">
        <f t="shared" si="1"/>
        <v>2422.75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124.72</v>
      </c>
      <c r="BM5" s="18">
        <f t="shared" si="1"/>
        <v>0</v>
      </c>
      <c r="BN5" s="18">
        <f t="shared" si="1"/>
        <v>0</v>
      </c>
      <c r="BO5" s="18">
        <f t="shared" si="1"/>
        <v>0</v>
      </c>
      <c r="BP5" s="18">
        <f t="shared" si="1"/>
        <v>0</v>
      </c>
      <c r="BQ5" s="18">
        <f t="shared" si="1"/>
        <v>124.72</v>
      </c>
      <c r="BR5" s="18">
        <f t="shared" si="1"/>
        <v>0</v>
      </c>
      <c r="BS5" s="18">
        <f t="shared" si="1"/>
        <v>0</v>
      </c>
      <c r="BT5" s="19">
        <f t="shared" si="1"/>
        <v>0</v>
      </c>
    </row>
    <row r="6" spans="1:72" s="2174" customFormat="1" ht="12.75">
      <c r="A6" s="15" t="s">
        <v>1870</v>
      </c>
      <c r="B6" s="2171"/>
      <c r="C6" s="2171"/>
      <c r="D6" s="2172"/>
      <c r="E6" s="16">
        <f>H6+AC6+AT6</f>
        <v>6139</v>
      </c>
      <c r="F6" s="16" t="s">
        <v>1</v>
      </c>
      <c r="G6" s="16" t="s">
        <v>2</v>
      </c>
      <c r="H6" s="20">
        <f>SUMIF(I$12:AB$12,"总值",I6:AB6)</f>
        <v>5838.44</v>
      </c>
      <c r="I6" s="16">
        <f t="shared" ref="I6:AB6" si="2">ROUND($A$3*I5/$B$3,2)</f>
        <v>5838.44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300.56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300.56</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1870</v>
      </c>
      <c r="AW6" s="2171"/>
      <c r="AX6" s="2171"/>
      <c r="AY6" s="21">
        <f>IF(AY3&gt;0,AY3,ROUND($A$3*AZ5/$B$3,2))</f>
        <v>6139</v>
      </c>
      <c r="AZ6" s="16" t="s">
        <v>3</v>
      </c>
      <c r="BA6" s="16">
        <f>ROUND($AY$6*BA5/$AZ$5,2)</f>
        <v>5838.44</v>
      </c>
      <c r="BB6" s="16">
        <f>ROUND($AY$6*BB5/$AZ$5,2)</f>
        <v>5838.44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300.56</v>
      </c>
      <c r="BM6" s="16">
        <f t="shared" si="5"/>
        <v>0</v>
      </c>
      <c r="BN6" s="16">
        <f t="shared" si="5"/>
        <v>0</v>
      </c>
      <c r="BO6" s="16">
        <f t="shared" si="5"/>
        <v>0</v>
      </c>
      <c r="BP6" s="16">
        <f t="shared" si="5"/>
        <v>0</v>
      </c>
      <c r="BQ6" s="16">
        <f t="shared" si="5"/>
        <v>300.56</v>
      </c>
      <c r="BR6" s="16">
        <f t="shared" si="5"/>
        <v>0</v>
      </c>
      <c r="BS6" s="16">
        <f t="shared" si="5"/>
        <v>0</v>
      </c>
      <c r="BT6" s="22">
        <f t="shared" si="5"/>
        <v>0</v>
      </c>
    </row>
    <row r="7" spans="1:72" s="2164" customFormat="1" ht="24.75">
      <c r="A7" s="2106" t="s">
        <v>1871</v>
      </c>
      <c r="B7" s="2106" t="s">
        <v>1872</v>
      </c>
      <c r="C7" s="2106" t="s">
        <v>1873</v>
      </c>
      <c r="D7" s="2106" t="s">
        <v>1874</v>
      </c>
      <c r="E7" s="2106" t="s">
        <v>1875</v>
      </c>
      <c r="F7" s="2106" t="s">
        <v>1876</v>
      </c>
      <c r="G7" s="2175" t="s">
        <v>1877</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1878</v>
      </c>
      <c r="AV7" s="23" t="s">
        <v>1879</v>
      </c>
      <c r="AW7" s="2163" t="s">
        <v>1880</v>
      </c>
      <c r="AX7" s="23" t="s">
        <v>1873</v>
      </c>
      <c r="AY7" s="1803" t="s">
        <v>1881</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1882</v>
      </c>
      <c r="H8" s="2181" t="s">
        <v>1883</v>
      </c>
      <c r="I8" s="2182"/>
      <c r="J8" s="1818"/>
      <c r="K8" s="1818"/>
      <c r="L8" s="1818"/>
      <c r="M8" s="1818"/>
      <c r="N8" s="1818"/>
      <c r="O8" s="1818"/>
      <c r="P8" s="1818"/>
      <c r="Q8" s="1818"/>
      <c r="R8" s="1818"/>
      <c r="S8" s="1818"/>
      <c r="T8" s="1818"/>
      <c r="U8" s="1818"/>
      <c r="V8" s="2183"/>
      <c r="W8" s="1818"/>
      <c r="X8" s="1818"/>
      <c r="Y8" s="1818"/>
      <c r="Z8" s="1818"/>
      <c r="AA8" s="2183"/>
      <c r="AB8" s="2184"/>
      <c r="AC8" s="981" t="s">
        <v>1884</v>
      </c>
      <c r="AD8" s="2185"/>
      <c r="AE8" s="2177"/>
      <c r="AF8" s="1818"/>
      <c r="AG8" s="1818"/>
      <c r="AH8" s="1818"/>
      <c r="AI8" s="1818"/>
      <c r="AJ8" s="1818"/>
      <c r="AK8" s="1818"/>
      <c r="AL8" s="1818"/>
      <c r="AM8" s="1818"/>
      <c r="AN8" s="1818"/>
      <c r="AO8" s="1818"/>
      <c r="AP8" s="1818"/>
      <c r="AQ8" s="1818"/>
      <c r="AR8" s="1818"/>
      <c r="AS8" s="1818"/>
      <c r="AT8" s="1292" t="s">
        <v>1885</v>
      </c>
      <c r="AU8" s="2179" t="s">
        <v>1886</v>
      </c>
      <c r="AV8" s="1292"/>
      <c r="AW8" s="2162"/>
      <c r="AX8" s="1292"/>
      <c r="AY8" s="2163" t="s">
        <v>1887</v>
      </c>
      <c r="AZ8" s="1817" t="s">
        <v>1888</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2.75">
      <c r="A9" s="2179"/>
      <c r="B9" s="2179"/>
      <c r="C9" s="2179"/>
      <c r="D9" s="2179"/>
      <c r="E9" s="2179"/>
      <c r="F9" s="2179"/>
      <c r="G9" s="1292"/>
      <c r="H9" s="2187" t="s">
        <v>1889</v>
      </c>
      <c r="I9" s="2188" t="s">
        <v>3067</v>
      </c>
      <c r="J9" s="981"/>
      <c r="K9" s="2188"/>
      <c r="L9" s="981"/>
      <c r="M9" s="2188"/>
      <c r="N9" s="981"/>
      <c r="O9" s="2188"/>
      <c r="P9" s="981"/>
      <c r="Q9" s="2188"/>
      <c r="R9" s="981"/>
      <c r="S9" s="2188"/>
      <c r="T9" s="981"/>
      <c r="U9" s="2188"/>
      <c r="V9" s="981"/>
      <c r="W9" s="2188"/>
      <c r="X9" s="2189"/>
      <c r="Y9" s="2188"/>
      <c r="Z9" s="981"/>
      <c r="AA9" s="2188"/>
      <c r="AB9" s="981"/>
      <c r="AC9" s="2180" t="s">
        <v>1889</v>
      </c>
      <c r="AD9" s="15" t="s">
        <v>1890</v>
      </c>
      <c r="AE9" s="1298"/>
      <c r="AF9" s="15" t="s">
        <v>1891</v>
      </c>
      <c r="AG9" s="1298"/>
      <c r="AH9" s="15" t="s">
        <v>1890</v>
      </c>
      <c r="AI9" s="1298"/>
      <c r="AJ9" s="15" t="s">
        <v>1891</v>
      </c>
      <c r="AK9" s="1298"/>
      <c r="AL9" s="15" t="s">
        <v>1890</v>
      </c>
      <c r="AM9" s="1298"/>
      <c r="AN9" s="15" t="s">
        <v>1891</v>
      </c>
      <c r="AO9" s="1298"/>
      <c r="AP9" s="15" t="s">
        <v>1890</v>
      </c>
      <c r="AQ9" s="1298"/>
      <c r="AR9" s="15" t="s">
        <v>1891</v>
      </c>
      <c r="AS9" s="2190"/>
      <c r="AT9" s="2179"/>
      <c r="AU9" s="2179" t="s">
        <v>1892</v>
      </c>
      <c r="AV9" s="1292"/>
      <c r="AW9" s="2162"/>
      <c r="AX9" s="1292"/>
      <c r="AY9" s="28"/>
      <c r="AZ9" s="28" t="s">
        <v>1882</v>
      </c>
      <c r="BA9" s="2191" t="s">
        <v>1893</v>
      </c>
      <c r="BB9" s="2192"/>
      <c r="BC9" s="1338"/>
      <c r="BD9" s="1338"/>
      <c r="BE9" s="1338"/>
      <c r="BF9" s="1338"/>
      <c r="BG9" s="1338"/>
      <c r="BH9" s="1338"/>
      <c r="BI9" s="1338"/>
      <c r="BJ9" s="1338"/>
      <c r="BK9" s="2193"/>
      <c r="BL9" s="15" t="s">
        <v>1894</v>
      </c>
      <c r="BM9" s="1818"/>
      <c r="BN9" s="2182"/>
      <c r="BO9" s="1818"/>
      <c r="BP9" s="1818"/>
      <c r="BQ9" s="1818"/>
      <c r="BR9" s="1818"/>
      <c r="BS9" s="1818"/>
      <c r="BT9" s="26"/>
    </row>
    <row r="10" spans="1:72" s="2186" customFormat="1" ht="12.75">
      <c r="A10" s="2179"/>
      <c r="B10" s="2179"/>
      <c r="C10" s="2179"/>
      <c r="D10" s="2179"/>
      <c r="E10" s="2179"/>
      <c r="F10" s="2179"/>
      <c r="G10" s="1292"/>
      <c r="H10" s="28"/>
      <c r="I10" s="2188" t="s">
        <v>6</v>
      </c>
      <c r="J10" s="981"/>
      <c r="K10" s="2194"/>
      <c r="L10" s="981"/>
      <c r="M10" s="2194"/>
      <c r="N10" s="981"/>
      <c r="O10" s="2194"/>
      <c r="P10" s="981"/>
      <c r="Q10" s="2194"/>
      <c r="R10" s="981"/>
      <c r="S10" s="2194"/>
      <c r="T10" s="981"/>
      <c r="U10" s="2194"/>
      <c r="V10" s="981"/>
      <c r="W10" s="2194"/>
      <c r="X10" s="981"/>
      <c r="Y10" s="2194"/>
      <c r="Z10" s="981"/>
      <c r="AA10" s="2194"/>
      <c r="AB10" s="981"/>
      <c r="AC10" s="1292"/>
      <c r="AD10" s="15" t="s">
        <v>1895</v>
      </c>
      <c r="AE10" s="2195"/>
      <c r="AF10" s="15" t="s">
        <v>1895</v>
      </c>
      <c r="AG10" s="2195"/>
      <c r="AH10" s="15" t="s">
        <v>1896</v>
      </c>
      <c r="AI10" s="2195"/>
      <c r="AJ10" s="15" t="s">
        <v>1896</v>
      </c>
      <c r="AK10" s="2195"/>
      <c r="AL10" s="15" t="s">
        <v>1897</v>
      </c>
      <c r="AM10" s="1298"/>
      <c r="AN10" s="15" t="s">
        <v>1897</v>
      </c>
      <c r="AO10" s="1298"/>
      <c r="AP10" s="15" t="s">
        <v>1898</v>
      </c>
      <c r="AQ10" s="1298"/>
      <c r="AR10" s="15" t="s">
        <v>1898</v>
      </c>
      <c r="AS10" s="1298"/>
      <c r="AT10" s="2179"/>
      <c r="AU10" s="2179"/>
      <c r="AV10" s="1292"/>
      <c r="AW10" s="2162"/>
      <c r="AX10" s="1292"/>
      <c r="AY10" s="28"/>
      <c r="AZ10" s="28"/>
      <c r="BA10" s="2196" t="s">
        <v>1889</v>
      </c>
      <c r="BB10" s="2197" t="str">
        <f>I9</f>
        <v>地上</v>
      </c>
      <c r="BC10" s="29">
        <f>K9</f>
        <v>0</v>
      </c>
      <c r="BD10" s="29">
        <f>M9</f>
        <v>0</v>
      </c>
      <c r="BE10" s="29">
        <f>O9</f>
        <v>0</v>
      </c>
      <c r="BF10" s="29">
        <f>Q9</f>
        <v>0</v>
      </c>
      <c r="BG10" s="29">
        <f>S9</f>
        <v>0</v>
      </c>
      <c r="BH10" s="29">
        <f>U9</f>
        <v>0</v>
      </c>
      <c r="BI10" s="29">
        <f>W9</f>
        <v>0</v>
      </c>
      <c r="BJ10" s="29">
        <f>Y9</f>
        <v>0</v>
      </c>
      <c r="BK10" s="29">
        <f>AA9</f>
        <v>0</v>
      </c>
      <c r="BL10" s="25" t="s">
        <v>1889</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2.75">
      <c r="A11" s="2179"/>
      <c r="B11" s="2179"/>
      <c r="C11" s="2179"/>
      <c r="D11" s="2179"/>
      <c r="E11" s="2179"/>
      <c r="F11" s="2179"/>
      <c r="G11" s="1292"/>
      <c r="H11" s="2196"/>
      <c r="I11" s="2199"/>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1899</v>
      </c>
      <c r="AE11" s="1819"/>
      <c r="AF11" s="2201" t="s">
        <v>1899</v>
      </c>
      <c r="AG11" s="1819"/>
      <c r="AH11" s="2201" t="s">
        <v>1900</v>
      </c>
      <c r="AI11" s="2202"/>
      <c r="AJ11" s="2201" t="s">
        <v>1900</v>
      </c>
      <c r="AK11" s="1819"/>
      <c r="AL11" s="1817"/>
      <c r="AM11" s="1819"/>
      <c r="AN11" s="1817"/>
      <c r="AO11" s="1819"/>
      <c r="AP11" s="1817"/>
      <c r="AQ11" s="1819"/>
      <c r="AR11" s="1817"/>
      <c r="AS11" s="1819"/>
      <c r="AT11" s="2162"/>
      <c r="AU11" s="2179"/>
      <c r="AV11" s="1292"/>
      <c r="AW11" s="2162"/>
      <c r="AX11" s="1292"/>
      <c r="AY11" s="28"/>
      <c r="AZ11" s="28"/>
      <c r="BA11" s="28"/>
      <c r="BB11" s="2184" t="str">
        <f>I10</f>
        <v>工业</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6"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802" t="s">
        <v>1902</v>
      </c>
      <c r="W12" s="11" t="s">
        <v>1901</v>
      </c>
      <c r="X12" s="11" t="s">
        <v>1902</v>
      </c>
      <c r="Y12" s="11" t="s">
        <v>1901</v>
      </c>
      <c r="Z12" s="11" t="s">
        <v>1902</v>
      </c>
      <c r="AA12" s="11" t="s">
        <v>1901</v>
      </c>
      <c r="AB12" s="11" t="s">
        <v>1902</v>
      </c>
      <c r="AC12" s="2206"/>
      <c r="AD12" s="1806"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204" t="s">
        <v>1902</v>
      </c>
      <c r="AT12" s="2207"/>
      <c r="AU12" s="2204"/>
      <c r="AV12" s="31"/>
      <c r="AW12" s="2163"/>
      <c r="AX12" s="31"/>
      <c r="AY12" s="2208"/>
      <c r="AZ12" s="28"/>
      <c r="BA12" s="2196"/>
      <c r="BB12" s="24">
        <f>I11</f>
        <v>0</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2.75">
      <c r="A13" s="1272"/>
      <c r="B13" s="2953" t="s">
        <v>3191</v>
      </c>
      <c r="C13" s="2953">
        <v>1</v>
      </c>
      <c r="D13" s="2210" t="s">
        <v>3056</v>
      </c>
      <c r="E13" s="16">
        <f>IF($C$3="是",ROUND($A$3*G13/$B$3,2),ROUND($A$3*(G13-AT13)/$B$3,2))</f>
        <v>51.98</v>
      </c>
      <c r="F13" s="32"/>
      <c r="G13" s="33">
        <f>H13+AC13+AT13</f>
        <v>21.57</v>
      </c>
      <c r="H13" s="20">
        <f>SUMIF(I$12:AB$12,"总值",I13:AB13)</f>
        <v>0</v>
      </c>
      <c r="I13" s="2211"/>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21.57</v>
      </c>
      <c r="AD13" s="2212"/>
      <c r="AE13" s="2212"/>
      <c r="AF13" s="2212"/>
      <c r="AG13" s="2212"/>
      <c r="AH13" s="2212"/>
      <c r="AI13" s="2212"/>
      <c r="AJ13" s="2212"/>
      <c r="AK13" s="2212"/>
      <c r="AL13" s="2212">
        <v>21.57</v>
      </c>
      <c r="AM13" s="2212"/>
      <c r="AN13" s="2212"/>
      <c r="AO13" s="2212"/>
      <c r="AP13" s="2212"/>
      <c r="AQ13" s="2212"/>
      <c r="AR13" s="2212"/>
      <c r="AS13" s="2212"/>
      <c r="AT13" s="2213"/>
      <c r="AU13" s="2214"/>
      <c r="AV13" s="11">
        <f t="shared" ref="AV13:AX17" si="6">A13</f>
        <v>0</v>
      </c>
      <c r="AW13" s="11" t="str">
        <f t="shared" si="6"/>
        <v>门卫</v>
      </c>
      <c r="AX13" s="11">
        <f t="shared" si="6"/>
        <v>1</v>
      </c>
      <c r="AY13" s="1806">
        <f>ROUND($AY$6*AZ13/$AZ$5,2)</f>
        <v>51.98</v>
      </c>
      <c r="AZ13" s="16">
        <f>BA13+BL13</f>
        <v>21.57</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21.57</v>
      </c>
      <c r="BM13" s="16">
        <f>IF($D13="是",AD13-AE13,0)</f>
        <v>0</v>
      </c>
      <c r="BN13" s="16">
        <f>IF($D13="是",AF13-AG13,0)</f>
        <v>0</v>
      </c>
      <c r="BO13" s="16">
        <f>IF($D13="是",AH13-AI13,0)</f>
        <v>0</v>
      </c>
      <c r="BP13" s="16">
        <f>IF($D13="是",AJ13-AK13,0)</f>
        <v>0</v>
      </c>
      <c r="BQ13" s="16">
        <f>IF($D13="是",AL13-AM13,0)</f>
        <v>21.57</v>
      </c>
      <c r="BR13" s="16">
        <f>IF($D13="是",AN13-AO13,0)</f>
        <v>0</v>
      </c>
      <c r="BS13" s="16">
        <f>IF($D13="是",AP13-AQ13,0)</f>
        <v>0</v>
      </c>
      <c r="BT13" s="22">
        <f>IF($D13="是",AR13-AS13,0)</f>
        <v>0</v>
      </c>
    </row>
    <row r="14" spans="1:72" s="2164" customFormat="1" ht="12.75">
      <c r="A14" s="1272"/>
      <c r="B14" s="2953" t="s">
        <v>3192</v>
      </c>
      <c r="C14" s="2953">
        <v>2</v>
      </c>
      <c r="D14" s="2210" t="s">
        <v>3056</v>
      </c>
      <c r="E14" s="16">
        <f>IF($C$3="是",ROUND($A$3*G14/$B$3,2),ROUND($A$3*(G14-AT14)/$B$3,2))</f>
        <v>3329.94</v>
      </c>
      <c r="F14" s="32"/>
      <c r="G14" s="33">
        <f>H14+AC14+AT14</f>
        <v>1381.81</v>
      </c>
      <c r="H14" s="20">
        <f>SUMIF(I$12:AB$12,"总值",I14:AB14)</f>
        <v>1381.81</v>
      </c>
      <c r="I14" s="2211">
        <v>1381.81</v>
      </c>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t="str">
        <f t="shared" si="6"/>
        <v>办公楼</v>
      </c>
      <c r="AX14" s="11">
        <f t="shared" si="6"/>
        <v>2</v>
      </c>
      <c r="AY14" s="1806">
        <f>ROUND($AY$6*AZ14/$AZ$5,2)</f>
        <v>3329.94</v>
      </c>
      <c r="AZ14" s="16">
        <f>BA14+BL14</f>
        <v>1381.81</v>
      </c>
      <c r="BA14" s="16">
        <f>SUM(BB14:BK14)</f>
        <v>1381.81</v>
      </c>
      <c r="BB14" s="16">
        <f>IF($D14="是",I14-J14,0)</f>
        <v>1381.81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2"/>
      <c r="B15" s="2953" t="s">
        <v>3193</v>
      </c>
      <c r="C15" s="2953">
        <v>3</v>
      </c>
      <c r="D15" s="2210" t="s">
        <v>3056</v>
      </c>
      <c r="E15" s="16">
        <f>IF($C$3="是",ROUND($A$3*G15/$B$3,2),ROUND($A$3*(G15-AT15)/$B$3,2))</f>
        <v>266.48</v>
      </c>
      <c r="F15" s="32"/>
      <c r="G15" s="33">
        <f>H15+AC15+AT15</f>
        <v>110.58</v>
      </c>
      <c r="H15" s="20">
        <f>SUMIF(I$12:AB$12,"总值",I15:AB15)</f>
        <v>110.58</v>
      </c>
      <c r="I15" s="2211">
        <v>110.58</v>
      </c>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t="str">
        <f t="shared" si="6"/>
        <v>库房</v>
      </c>
      <c r="AX15" s="11">
        <f t="shared" si="6"/>
        <v>3</v>
      </c>
      <c r="AY15" s="1806">
        <f>ROUND($AY$6*AZ15/$AZ$5,2)</f>
        <v>266.48</v>
      </c>
      <c r="AZ15" s="16">
        <f>BA15+BL15</f>
        <v>110.58</v>
      </c>
      <c r="BA15" s="16">
        <f>SUM(BB15:BK15)</f>
        <v>110.58</v>
      </c>
      <c r="BB15" s="16">
        <f>IF($D15="是",I15-J15,0)</f>
        <v>110.58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2"/>
      <c r="B16" s="2953" t="s">
        <v>3194</v>
      </c>
      <c r="C16" s="2953">
        <v>4</v>
      </c>
      <c r="D16" s="2210" t="s">
        <v>3056</v>
      </c>
      <c r="E16" s="16">
        <f>IF($C$3="是",ROUND($A$3*G16/$B$3,2),ROUND($A$3*(G16-AT16)/$B$3,2))</f>
        <v>2242.02</v>
      </c>
      <c r="F16" s="32"/>
      <c r="G16" s="33">
        <f>H16+AC16+AT16</f>
        <v>930.36</v>
      </c>
      <c r="H16" s="20">
        <f>SUMIF(I$12:AB$12,"总值",I16:AB16)</f>
        <v>930.36</v>
      </c>
      <c r="I16" s="2211">
        <v>930.36</v>
      </c>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t="str">
        <f t="shared" si="6"/>
        <v>车间</v>
      </c>
      <c r="AX16" s="11">
        <f t="shared" si="6"/>
        <v>4</v>
      </c>
      <c r="AY16" s="1806">
        <f>ROUND($AY$6*AZ16/$AZ$5,2)</f>
        <v>2242.02</v>
      </c>
      <c r="AZ16" s="16">
        <f>BA16+BL16</f>
        <v>930.36</v>
      </c>
      <c r="BA16" s="16">
        <f>SUM(BB16:BK16)</f>
        <v>930.36</v>
      </c>
      <c r="BB16" s="16">
        <f>IF($D16="是",I16-J16,0)</f>
        <v>930.36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2"/>
      <c r="B17" s="2953" t="s">
        <v>3195</v>
      </c>
      <c r="C17" s="2953">
        <v>5</v>
      </c>
      <c r="D17" s="2210" t="s">
        <v>3056</v>
      </c>
      <c r="E17" s="16">
        <f>IF($C$3="是",ROUND($A$3*G17/$B$3,2),ROUND($A$3*(G17-AT17)/$B$3,2))</f>
        <v>248.58</v>
      </c>
      <c r="F17" s="32"/>
      <c r="G17" s="33">
        <f>H17+AC17+AT17</f>
        <v>103.15</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103.15</v>
      </c>
      <c r="AD17" s="2212"/>
      <c r="AE17" s="2212"/>
      <c r="AF17" s="2212"/>
      <c r="AG17" s="2212"/>
      <c r="AH17" s="2212"/>
      <c r="AI17" s="2212"/>
      <c r="AJ17" s="2212"/>
      <c r="AK17" s="2212"/>
      <c r="AL17" s="2212">
        <v>103.15</v>
      </c>
      <c r="AM17" s="2212"/>
      <c r="AN17" s="2212"/>
      <c r="AO17" s="2212"/>
      <c r="AP17" s="2212"/>
      <c r="AQ17" s="2212"/>
      <c r="AR17" s="2212"/>
      <c r="AS17" s="2212"/>
      <c r="AT17" s="2213"/>
      <c r="AU17" s="2214"/>
      <c r="AV17" s="11">
        <f t="shared" si="6"/>
        <v>0</v>
      </c>
      <c r="AW17" s="11" t="str">
        <f t="shared" si="6"/>
        <v>车库</v>
      </c>
      <c r="AX17" s="11">
        <f t="shared" si="6"/>
        <v>5</v>
      </c>
      <c r="AY17" s="1806">
        <f>ROUND($AY$6*AZ17/$AZ$5,2)</f>
        <v>248.58</v>
      </c>
      <c r="AZ17" s="16">
        <f>BA17+BL17</f>
        <v>103.15</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103.15</v>
      </c>
      <c r="BM17" s="16">
        <f>IF($D17="是",AD17-AE17,0)</f>
        <v>0</v>
      </c>
      <c r="BN17" s="16">
        <f>IF($D17="是",AF17-AG17,0)</f>
        <v>0</v>
      </c>
      <c r="BO17" s="16">
        <f>IF($D17="是",AH17-AI17,0)</f>
        <v>0</v>
      </c>
      <c r="BP17" s="16">
        <f>IF($D17="是",AJ17-AK17,0)</f>
        <v>0</v>
      </c>
      <c r="BQ17" s="16">
        <f>IF($D17="是",AL17-AM17,0)</f>
        <v>103.15</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3" t="s">
        <v>0</v>
      </c>
      <c r="B1" s="3043" t="s">
        <v>4</v>
      </c>
      <c r="C1" s="3043" t="s">
        <v>5</v>
      </c>
      <c r="D1" s="3044" t="s">
        <v>53</v>
      </c>
      <c r="E1" s="3044" t="s">
        <v>54</v>
      </c>
      <c r="F1" s="3044"/>
      <c r="G1" s="3044"/>
      <c r="H1" s="3044"/>
      <c r="I1" s="3044"/>
      <c r="J1" s="3044"/>
      <c r="K1" s="3044"/>
      <c r="L1" s="3044"/>
      <c r="M1" s="3044"/>
    </row>
    <row r="2" spans="1:13" ht="27" customHeight="1">
      <c r="A2" s="3043"/>
      <c r="B2" s="3043"/>
      <c r="C2" s="3043"/>
      <c r="D2" s="3044"/>
      <c r="E2" s="3044" t="s">
        <v>37</v>
      </c>
      <c r="F2" s="3044" t="s">
        <v>38</v>
      </c>
      <c r="G2" s="3044"/>
      <c r="H2" s="3044"/>
      <c r="I2" s="3044"/>
      <c r="J2" s="3044" t="s">
        <v>39</v>
      </c>
      <c r="K2" s="3044"/>
      <c r="L2" s="3044"/>
      <c r="M2" s="3044"/>
    </row>
    <row r="3" spans="1:13" ht="28.5">
      <c r="A3" s="3043"/>
      <c r="B3" s="3043"/>
      <c r="C3" s="3043"/>
      <c r="D3" s="3044"/>
      <c r="E3" s="304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4" t="s">
        <v>55</v>
      </c>
      <c r="B9" s="3044"/>
      <c r="C9" s="30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8" sqref="H38"/>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1928</v>
      </c>
      <c r="B1" s="1392"/>
      <c r="C1" s="1392"/>
      <c r="D1" s="1392"/>
      <c r="E1" s="1392"/>
      <c r="F1" s="1392"/>
      <c r="G1" s="1392"/>
      <c r="H1" s="1392"/>
      <c r="I1" s="1392"/>
      <c r="J1" s="1392"/>
      <c r="K1" s="1392"/>
      <c r="L1" s="1392"/>
      <c r="M1" s="1392"/>
      <c r="N1" s="1392"/>
      <c r="O1" s="1392"/>
      <c r="P1" s="1392"/>
    </row>
    <row r="2" spans="1:16" ht="15">
      <c r="A2" s="3054" t="s">
        <v>1929</v>
      </c>
      <c r="B2" s="3054"/>
      <c r="C2" s="3054"/>
      <c r="D2" s="967" t="s">
        <v>1905</v>
      </c>
      <c r="E2" s="2224" t="s">
        <v>1906</v>
      </c>
      <c r="F2" s="1392"/>
      <c r="G2" s="2225"/>
      <c r="H2" s="2226"/>
      <c r="I2" s="2227" t="s">
        <v>1930</v>
      </c>
      <c r="J2" s="1392"/>
      <c r="K2" s="1392"/>
      <c r="L2" s="1392"/>
      <c r="M2" s="1392"/>
      <c r="N2" s="1427"/>
      <c r="O2" s="1392"/>
      <c r="P2" s="1392"/>
    </row>
    <row r="3" spans="1:16" ht="15.75" thickBot="1">
      <c r="A3" s="3055" t="s">
        <v>1903</v>
      </c>
      <c r="B3" s="3055"/>
      <c r="C3" s="3055"/>
      <c r="D3" s="46">
        <f>'数据-基础表'!AY6</f>
        <v>6139</v>
      </c>
      <c r="E3" s="46">
        <f>'数据-基础表'!AZ5</f>
        <v>2547.4699999999998</v>
      </c>
      <c r="F3" s="1392"/>
      <c r="G3" s="1399"/>
      <c r="H3" s="1247" t="s">
        <v>1904</v>
      </c>
      <c r="I3" s="55">
        <f>ROUND('数据-基础表'!B3/'数据-基础表'!A3,2)</f>
        <v>0.41</v>
      </c>
      <c r="J3" s="1392"/>
      <c r="K3" s="1392"/>
      <c r="L3" s="1392"/>
      <c r="M3" s="1392"/>
      <c r="N3" s="1427"/>
      <c r="O3" s="1392"/>
      <c r="P3" s="1392"/>
    </row>
    <row r="4" spans="1:16" ht="15">
      <c r="A4" s="3056"/>
      <c r="B4" s="3057"/>
      <c r="C4" s="3058"/>
      <c r="D4" s="2228" t="s">
        <v>1905</v>
      </c>
      <c r="E4" s="2229" t="s">
        <v>1906</v>
      </c>
      <c r="F4" s="1392"/>
      <c r="G4" s="2230" t="s">
        <v>1931</v>
      </c>
      <c r="H4" s="1247" t="s">
        <v>1911</v>
      </c>
      <c r="I4" s="55">
        <f>ROUND(SUMIF('数据-基础表'!I9:AS9,"地上",'数据-基础表'!I5:AS5)/'数据-基础表'!A3,2)</f>
        <v>0.41</v>
      </c>
      <c r="J4" s="1392"/>
      <c r="K4" s="1392"/>
      <c r="L4" s="1392"/>
      <c r="M4" s="1392"/>
      <c r="N4" s="1427"/>
      <c r="O4" s="1392"/>
      <c r="P4" s="1392"/>
    </row>
    <row r="5" spans="1:16">
      <c r="A5" s="47" t="s">
        <v>1907</v>
      </c>
      <c r="B5" s="3059" t="s">
        <v>1908</v>
      </c>
      <c r="C5" s="3059"/>
      <c r="D5" s="48">
        <f>ROUND($D$3*E5/$E$3,2)</f>
        <v>0</v>
      </c>
      <c r="E5" s="49">
        <f>SUMIF('数据-基础表'!$11:$11,"住宅",'数据-基础表'!$5:$5)</f>
        <v>0</v>
      </c>
      <c r="F5" s="1392"/>
      <c r="G5" s="1399"/>
      <c r="H5" s="1247" t="s">
        <v>1904</v>
      </c>
      <c r="I5" s="55">
        <f>ROUND(E31/D31,2)</f>
        <v>0.41</v>
      </c>
      <c r="J5" s="1392"/>
      <c r="K5" s="1392"/>
      <c r="L5" s="1392"/>
      <c r="M5" s="1392"/>
      <c r="N5" s="1392"/>
      <c r="O5" s="1392"/>
      <c r="P5" s="1392"/>
    </row>
    <row r="6" spans="1:16" ht="15" thickBot="1">
      <c r="A6" s="2231"/>
      <c r="B6" s="3059" t="s">
        <v>1909</v>
      </c>
      <c r="C6" s="3059"/>
      <c r="D6" s="48">
        <f>ROUND($D$3*E6/$E$3,2)</f>
        <v>6139</v>
      </c>
      <c r="E6" s="49">
        <f>E3-E5</f>
        <v>2547.4699999999998</v>
      </c>
      <c r="F6" s="1392"/>
      <c r="G6" s="2232" t="s">
        <v>1910</v>
      </c>
      <c r="H6" s="1399" t="s">
        <v>1911</v>
      </c>
      <c r="I6" s="939">
        <f>ROUND(F31/D31,2)</f>
        <v>0.41</v>
      </c>
      <c r="J6" s="1392"/>
      <c r="K6" s="1392"/>
      <c r="L6" s="1392"/>
      <c r="M6" s="1392"/>
      <c r="N6" s="1392"/>
      <c r="O6" s="1392"/>
      <c r="P6" s="1392"/>
    </row>
    <row r="7" spans="1:16" ht="15">
      <c r="A7" s="3051"/>
      <c r="B7" s="3052"/>
      <c r="C7" s="3053"/>
      <c r="D7" s="2228" t="s">
        <v>1905</v>
      </c>
      <c r="E7" s="2233" t="s">
        <v>1912</v>
      </c>
      <c r="F7" s="1392"/>
      <c r="G7" s="2225" t="s">
        <v>1913</v>
      </c>
      <c r="H7" s="64"/>
      <c r="I7" s="420"/>
      <c r="J7" s="1392"/>
      <c r="K7" s="1392"/>
      <c r="L7" s="1392"/>
      <c r="M7" s="1392"/>
      <c r="N7" s="1392"/>
      <c r="O7" s="1392"/>
      <c r="P7" s="1392"/>
    </row>
    <row r="8" spans="1:16">
      <c r="A8" s="47" t="s">
        <v>1914</v>
      </c>
      <c r="B8" s="50" t="s">
        <v>1915</v>
      </c>
      <c r="C8" s="48" t="s">
        <v>1916</v>
      </c>
      <c r="D8" s="48">
        <f t="shared" ref="D8:D15" si="0">ROUND($D$3*E8/$E$3,2)</f>
        <v>5838.44</v>
      </c>
      <c r="E8" s="51">
        <f>SUMIF('数据-基础表'!BB10:BK10,"地上",'数据-基础表'!BB5:BK5)</f>
        <v>2422.75</v>
      </c>
      <c r="F8" s="1392"/>
      <c r="G8" s="2234"/>
      <c r="H8" s="2234"/>
      <c r="I8" s="1392"/>
      <c r="J8" s="1392"/>
      <c r="K8" s="1392"/>
      <c r="L8" s="1392"/>
      <c r="M8" s="1392"/>
      <c r="N8" s="1392"/>
      <c r="O8" s="1392"/>
      <c r="P8" s="1392"/>
    </row>
    <row r="9" spans="1:16">
      <c r="A9" s="2235"/>
      <c r="B9" s="2236"/>
      <c r="C9" s="48" t="s">
        <v>1917</v>
      </c>
      <c r="D9" s="48">
        <f t="shared" si="0"/>
        <v>0</v>
      </c>
      <c r="E9" s="52">
        <v>0</v>
      </c>
      <c r="F9" s="1392"/>
      <c r="G9" s="2234"/>
      <c r="H9" s="2234"/>
      <c r="I9" s="1392"/>
      <c r="J9" s="1392"/>
      <c r="K9" s="1392"/>
      <c r="L9" s="1392"/>
      <c r="M9" s="1392"/>
      <c r="N9" s="1392"/>
      <c r="O9" s="1392"/>
      <c r="P9" s="1392"/>
    </row>
    <row r="10" spans="1:16">
      <c r="A10" s="2235"/>
      <c r="B10" s="2236"/>
      <c r="C10" s="48" t="s">
        <v>1926</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1918</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1919</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1920</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1932</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1927</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1921</v>
      </c>
      <c r="D16" s="50">
        <f>SUM(D8:D15)</f>
        <v>5838.44</v>
      </c>
      <c r="E16" s="53">
        <f>SUM(E8:E15)</f>
        <v>2422.75</v>
      </c>
      <c r="F16" s="1392"/>
      <c r="G16" s="2234"/>
      <c r="H16" s="2237" t="s">
        <v>1933</v>
      </c>
      <c r="I16" s="2238"/>
      <c r="J16" s="1392"/>
      <c r="K16" s="3048" t="s">
        <v>1933</v>
      </c>
      <c r="L16" s="3049"/>
      <c r="M16" s="3049"/>
      <c r="N16" s="3049"/>
      <c r="O16" s="3049"/>
      <c r="P16" s="3050"/>
    </row>
    <row r="17" spans="1:19" ht="15">
      <c r="A17" s="2239" t="s">
        <v>1934</v>
      </c>
      <c r="B17" s="2240" t="s">
        <v>1935</v>
      </c>
      <c r="C17" s="2241" t="s">
        <v>1936</v>
      </c>
      <c r="D17" s="2242" t="s">
        <v>1924</v>
      </c>
      <c r="E17" s="2243" t="s">
        <v>1925</v>
      </c>
      <c r="F17" s="2244"/>
      <c r="G17" s="2245"/>
      <c r="H17" s="2246" t="s">
        <v>1937</v>
      </c>
      <c r="I17" s="2247" t="s">
        <v>1922</v>
      </c>
      <c r="J17" s="1392"/>
      <c r="K17" s="3045" t="s">
        <v>1938</v>
      </c>
      <c r="L17" s="3046"/>
      <c r="M17" s="3047"/>
      <c r="N17" s="3045" t="s">
        <v>1939</v>
      </c>
      <c r="O17" s="3046"/>
      <c r="P17" s="3047"/>
      <c r="R17" s="2225" t="s">
        <v>1940</v>
      </c>
      <c r="S17" s="64"/>
    </row>
    <row r="18" spans="1:19" ht="15">
      <c r="A18" s="2235"/>
      <c r="B18" s="2248"/>
      <c r="C18" s="2249"/>
      <c r="D18" s="2250"/>
      <c r="E18" s="2251" t="s">
        <v>1941</v>
      </c>
      <c r="F18" s="2252" t="s">
        <v>1942</v>
      </c>
      <c r="G18" s="2253" t="s">
        <v>1943</v>
      </c>
      <c r="H18" s="1262" t="s">
        <v>1944</v>
      </c>
      <c r="I18" s="2254" t="s">
        <v>1945</v>
      </c>
      <c r="J18" s="1392"/>
      <c r="K18" s="1262" t="s">
        <v>1946</v>
      </c>
      <c r="L18" s="2255" t="s">
        <v>1947</v>
      </c>
      <c r="M18" s="1046" t="s">
        <v>1948</v>
      </c>
      <c r="N18" s="1262" t="s">
        <v>1946</v>
      </c>
      <c r="O18" s="2255" t="s">
        <v>1947</v>
      </c>
      <c r="P18" s="1046" t="s">
        <v>1948</v>
      </c>
      <c r="R18" s="1247" t="s">
        <v>1949</v>
      </c>
      <c r="S18" s="1247" t="s">
        <v>1950</v>
      </c>
    </row>
    <row r="19" spans="1:19">
      <c r="A19" s="2256"/>
      <c r="B19" s="50" t="s">
        <v>1923</v>
      </c>
      <c r="C19" s="2954" t="s">
        <v>3068</v>
      </c>
      <c r="D19" s="48">
        <f>ROUND($D$3*E19/$E$3,2)</f>
        <v>5838.44</v>
      </c>
      <c r="E19" s="56">
        <f t="shared" ref="E19:E26" si="1">SUM(F19:G19)</f>
        <v>2422.75</v>
      </c>
      <c r="F19" s="57">
        <f>'数据-基础表'!I5</f>
        <v>2422.75</v>
      </c>
      <c r="G19" s="58"/>
      <c r="H19" s="723">
        <f>ROUND($D$3*I19/$E$3,2)</f>
        <v>300.56</v>
      </c>
      <c r="I19" s="51">
        <f t="shared" ref="I19:I26" si="2">IF($I$17="自定义",P19,M19)</f>
        <v>124.72</v>
      </c>
      <c r="J19" s="1392"/>
      <c r="K19" s="1391">
        <f t="shared" ref="K19:K26" si="3">ROUND(E$28*E19/E$27,2)</f>
        <v>124.72</v>
      </c>
      <c r="L19" s="1247">
        <f t="shared" ref="L19:L26" si="4">ROUND(IF(COUNTIF(C19,"*住宅*")&gt;0,E$29*E19/E$32,0),2)</f>
        <v>0</v>
      </c>
      <c r="M19" s="1403">
        <f>K19+L19</f>
        <v>124.72</v>
      </c>
      <c r="N19" s="2258"/>
      <c r="O19" s="2259"/>
      <c r="P19" s="1403">
        <f>N19+O19</f>
        <v>0</v>
      </c>
      <c r="R19" s="1247">
        <f t="shared" ref="R19:S26" si="5">D19+H19</f>
        <v>6139</v>
      </c>
      <c r="S19" s="1248">
        <f t="shared" si="5"/>
        <v>2547.4699999999998</v>
      </c>
    </row>
    <row r="20" spans="1:19">
      <c r="A20" s="2260"/>
      <c r="B20" s="50" t="s">
        <v>1951</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1951</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1951</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1951</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1951</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1951</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1951</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1952</v>
      </c>
      <c r="D27" s="1393">
        <f>SUM(D19:D26)</f>
        <v>5838.44</v>
      </c>
      <c r="E27" s="1394">
        <f>IF(SUM(E19:E26)='数据-基础表'!BA5,SUM(E19:E26),IF(F27="地上面积有误","面积有误","地下面积有误"))</f>
        <v>2422.75</v>
      </c>
      <c r="F27" s="1393">
        <f>IF(SUM(F19:F26)=E8,SUM(F19:F26),"地上面积有误")</f>
        <v>2422.75</v>
      </c>
      <c r="G27" s="1395">
        <f>SUM(G19:G26)</f>
        <v>0</v>
      </c>
      <c r="H27" s="1396">
        <f>SUM(H19:H26)</f>
        <v>300.56</v>
      </c>
      <c r="I27" s="1397">
        <f>SUM(I19:I26)</f>
        <v>124.72</v>
      </c>
      <c r="J27" s="1392"/>
      <c r="K27" s="1400">
        <f>SUM(K19:K26)</f>
        <v>124.72</v>
      </c>
      <c r="L27" s="1401">
        <f>SUM(L19:L26)</f>
        <v>0</v>
      </c>
      <c r="M27" s="1404">
        <f>SUM(M19:M26)</f>
        <v>124.72</v>
      </c>
      <c r="N27" s="1400">
        <f t="shared" ref="N27:O27" si="10">SUM(N19:N26)</f>
        <v>0</v>
      </c>
      <c r="O27" s="1401">
        <f t="shared" si="10"/>
        <v>0</v>
      </c>
      <c r="P27" s="1402">
        <f>SUM(P19:P26)</f>
        <v>0</v>
      </c>
      <c r="R27" s="1249">
        <f>IF(SUM(R19:R26)=$D$3,SUM(R19:R26),SUM(R19:R26)&amp;"误差"&amp;ROUND(SUM(R19:R26)-$D$3,2))</f>
        <v>6139</v>
      </c>
      <c r="S27" s="1247">
        <f>IF(SUM(S19:S26)=$E$3,SUM(S19:S26),SUM(S19:S26)&amp;"误差"&amp;ROUND(SUM(S19:S26)-E3,2))</f>
        <v>2547.4699999999998</v>
      </c>
    </row>
    <row r="28" spans="1:19">
      <c r="A28" s="2260"/>
      <c r="B28" s="50" t="s">
        <v>1953</v>
      </c>
      <c r="C28" s="1259" t="s">
        <v>1954</v>
      </c>
      <c r="D28" s="48">
        <f>ROUND($D$3*E28/$E$3,2)</f>
        <v>300.56</v>
      </c>
      <c r="E28" s="56">
        <f>SUM(F28:G28)</f>
        <v>124.72</v>
      </c>
      <c r="F28" s="64">
        <f>'数据-基础表'!BQ5+'数据-基础表'!BS5</f>
        <v>124.72</v>
      </c>
      <c r="G28" s="65">
        <f>'数据-基础表'!BR5+'数据-基础表'!BT5</f>
        <v>0</v>
      </c>
      <c r="H28" s="1392"/>
      <c r="I28" s="1392"/>
      <c r="J28" s="1392"/>
      <c r="K28" s="1392"/>
      <c r="L28" s="1392"/>
      <c r="M28" s="1392"/>
      <c r="N28" s="1392"/>
      <c r="O28" s="1392"/>
      <c r="P28" s="1392"/>
    </row>
    <row r="29" spans="1:19">
      <c r="A29" s="2260"/>
      <c r="B29" s="50" t="s">
        <v>1953</v>
      </c>
      <c r="C29" s="2264" t="s">
        <v>1955</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1952</v>
      </c>
      <c r="D30" s="1393">
        <f>SUM(D28:D29)</f>
        <v>300.56</v>
      </c>
      <c r="E30" s="1393">
        <f>SUM(E28:E29)</f>
        <v>124.72</v>
      </c>
      <c r="F30" s="1393">
        <f>SUM(F28:F29)</f>
        <v>124.72</v>
      </c>
      <c r="G30" s="1395">
        <f>SUM(G28:G29)</f>
        <v>0</v>
      </c>
      <c r="H30" s="1392"/>
      <c r="I30" s="1392"/>
      <c r="J30" s="1392"/>
      <c r="K30" s="1392"/>
      <c r="L30" s="1392"/>
      <c r="M30" s="1392"/>
      <c r="N30" s="1392"/>
      <c r="O30" s="1392"/>
      <c r="P30" s="1392"/>
    </row>
    <row r="31" spans="1:19" ht="15.75" thickBot="1">
      <c r="A31" s="2266"/>
      <c r="B31" s="2267"/>
      <c r="C31" s="1007" t="s">
        <v>1956</v>
      </c>
      <c r="D31" s="729">
        <f>D27+D30</f>
        <v>6139</v>
      </c>
      <c r="E31" s="729">
        <f>E27+E30</f>
        <v>2547.4699999999998</v>
      </c>
      <c r="F31" s="730">
        <f>F27+F30</f>
        <v>2547.4699999999998</v>
      </c>
      <c r="G31" s="731">
        <f>G27+G30</f>
        <v>0</v>
      </c>
      <c r="H31" s="1392"/>
      <c r="I31" s="1392"/>
      <c r="J31" s="1392"/>
      <c r="K31" s="1392"/>
      <c r="L31" s="1392"/>
      <c r="M31" s="1392"/>
      <c r="N31" s="1392"/>
      <c r="O31" s="1392"/>
      <c r="P31" s="1392"/>
    </row>
    <row r="32" spans="1:19">
      <c r="A32" s="2230"/>
      <c r="B32" s="2230" t="s">
        <v>1957</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Q25" sqref="Q25"/>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1958</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3" t="s">
        <v>1959</v>
      </c>
      <c r="B2" s="1266">
        <f>项目基本情况!D3</f>
        <v>44015</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5" thickBot="1">
      <c r="A4" s="68" t="s">
        <v>1960</v>
      </c>
      <c r="B4" s="2278"/>
      <c r="C4" s="2279"/>
      <c r="D4" s="2280"/>
      <c r="E4" s="2279" t="s">
        <v>1961</v>
      </c>
      <c r="F4" s="2279"/>
      <c r="G4" s="2279"/>
      <c r="H4" s="2279"/>
      <c r="I4" s="2279"/>
      <c r="J4" s="2281"/>
      <c r="K4" s="2282"/>
      <c r="L4" s="2283"/>
      <c r="M4" s="2279"/>
      <c r="N4" s="2279" t="s">
        <v>1962</v>
      </c>
      <c r="O4" s="2279"/>
      <c r="P4" s="2279"/>
      <c r="Q4" s="2279"/>
      <c r="R4" s="2279"/>
      <c r="S4" s="2281"/>
      <c r="T4" s="2284" t="str">
        <f>'数据-汇总表'!I17</f>
        <v>按面积比例</v>
      </c>
      <c r="U4" s="2278" t="s">
        <v>1963</v>
      </c>
      <c r="V4" s="2279"/>
      <c r="W4" s="2279"/>
      <c r="X4" s="2279"/>
      <c r="Y4" s="2281"/>
      <c r="Z4" s="2241" t="s">
        <v>1964</v>
      </c>
      <c r="AA4" s="2241"/>
      <c r="AB4" s="2241"/>
      <c r="AC4" s="2241"/>
      <c r="AD4" s="2241"/>
      <c r="AE4" s="2239" t="s">
        <v>1965</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2">
      <c r="A5" s="2286" t="s">
        <v>1966</v>
      </c>
      <c r="B5" s="2287" t="s">
        <v>1967</v>
      </c>
      <c r="C5" s="2288" t="s">
        <v>1968</v>
      </c>
      <c r="D5" s="2289" t="s">
        <v>1969</v>
      </c>
      <c r="E5" s="1268" t="s">
        <v>1970</v>
      </c>
      <c r="F5" s="2290" t="s">
        <v>1971</v>
      </c>
      <c r="G5" s="1268" t="s">
        <v>1972</v>
      </c>
      <c r="H5" s="1268" t="s">
        <v>1973</v>
      </c>
      <c r="I5" s="1268" t="s">
        <v>1974</v>
      </c>
      <c r="J5" s="2291" t="s">
        <v>1975</v>
      </c>
      <c r="K5" s="2292" t="s">
        <v>1976</v>
      </c>
      <c r="L5" s="2293" t="s">
        <v>1977</v>
      </c>
      <c r="M5" s="2294" t="s">
        <v>1978</v>
      </c>
      <c r="N5" s="2295" t="s">
        <v>3287</v>
      </c>
      <c r="O5" s="2293" t="s">
        <v>1979</v>
      </c>
      <c r="P5" s="2296" t="s">
        <v>1980</v>
      </c>
      <c r="Q5" s="69" t="s">
        <v>1981</v>
      </c>
      <c r="R5" s="2297" t="s">
        <v>1982</v>
      </c>
      <c r="S5" s="2298" t="s">
        <v>1983</v>
      </c>
      <c r="T5" s="2299" t="s">
        <v>1984</v>
      </c>
      <c r="U5" s="1267" t="s">
        <v>1985</v>
      </c>
      <c r="V5" s="1268" t="s">
        <v>1986</v>
      </c>
      <c r="W5" s="1268" t="s">
        <v>1987</v>
      </c>
      <c r="X5" s="71"/>
      <c r="Y5" s="70" t="s">
        <v>1988</v>
      </c>
      <c r="Z5" s="2300" t="s">
        <v>1985</v>
      </c>
      <c r="AA5" s="1268" t="s">
        <v>1986</v>
      </c>
      <c r="AB5" s="1268" t="s">
        <v>1987</v>
      </c>
      <c r="AC5" s="71"/>
      <c r="AD5" s="71" t="s">
        <v>1988</v>
      </c>
      <c r="AE5" s="1267" t="s">
        <v>1989</v>
      </c>
      <c r="AF5" s="1268" t="s">
        <v>1990</v>
      </c>
      <c r="AG5" s="70" t="s">
        <v>1991</v>
      </c>
      <c r="AH5" s="1267" t="s">
        <v>1992</v>
      </c>
      <c r="AI5" s="2300" t="s">
        <v>1993</v>
      </c>
      <c r="AJ5" s="2300" t="s">
        <v>1994</v>
      </c>
      <c r="AK5" s="1268" t="s">
        <v>1995</v>
      </c>
      <c r="AL5" s="1268" t="s">
        <v>1996</v>
      </c>
      <c r="AM5" s="70" t="s">
        <v>1997</v>
      </c>
      <c r="AN5" s="2301" t="s">
        <v>1998</v>
      </c>
      <c r="AO5" s="2071" t="s">
        <v>1999</v>
      </c>
      <c r="AP5" s="1249" t="s">
        <v>2000</v>
      </c>
      <c r="AQ5" s="2302" t="s">
        <v>2001</v>
      </c>
      <c r="AR5" s="2302" t="s">
        <v>2002</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0" customFormat="1" ht="14.25">
      <c r="A6" s="2303" t="str">
        <f>'数据-汇总表'!C19</f>
        <v>工业</v>
      </c>
      <c r="B6" s="2304" t="str">
        <f>IF(A6=0,"","经营性")</f>
        <v>经营性</v>
      </c>
      <c r="C6" s="2305" t="s">
        <v>6</v>
      </c>
      <c r="D6" s="1051">
        <f>SUMIF(项目基本情况!D$12:I$12,C6,项目基本情况!D$14:I$14)</f>
        <v>50</v>
      </c>
      <c r="E6" s="1048">
        <f>IF(B6="","",SUMIF(项目基本情况!D$12:I$12,C6,项目基本情况!D$13:I$13))</f>
        <v>55280</v>
      </c>
      <c r="F6" s="72">
        <f>SUMIF(项目基本情况!D$12:I$12,C6,项目基本情况!D$15:I$15)</f>
        <v>30.86</v>
      </c>
      <c r="G6" s="73">
        <f>IF(ISERROR(ROUND(POWER(1+H6,D6-F6)*(POWER(1+H6,F6)-1)/(POWER(1+H6,D6)-1),3)),0,ROUND(POWER(1+H6,D6-F6)*(POWER(1+H6,F6)-1)/(POWER(1+H6,D6)-1),3))</f>
        <v>0.85199999999999998</v>
      </c>
      <c r="H6" s="802">
        <v>0.05</v>
      </c>
      <c r="I6" s="802">
        <v>5.5E-2</v>
      </c>
      <c r="J6" s="74">
        <v>8.5000000000000006E-2</v>
      </c>
      <c r="K6" s="1251">
        <f>SUMIF('数据-汇总表'!C$19:C$33,A6,'数据-汇总表'!E$19:E$33)</f>
        <v>2422.75</v>
      </c>
      <c r="L6" s="803">
        <v>2200</v>
      </c>
      <c r="M6" s="75">
        <f t="shared" ref="M6:M14" si="0">ROUND(K6*L6/10000,0)</f>
        <v>533</v>
      </c>
      <c r="N6" s="2961">
        <v>0.78</v>
      </c>
      <c r="O6" s="75" t="str">
        <f>IF($N$5="成新度","——",ROUND(M6*N6,0))</f>
        <v>——</v>
      </c>
      <c r="P6" s="76" t="str">
        <f>IF($N$5="成新度","——",M6-O6)</f>
        <v>——</v>
      </c>
      <c r="Q6" s="804">
        <v>0.05</v>
      </c>
      <c r="R6" s="77">
        <f ca="1">SUMIF('数据-汇总表'!C$19:C$33,A6,'数据-汇总表'!R$19:R$27)</f>
        <v>6139</v>
      </c>
      <c r="S6" s="54">
        <f>IF('数据-汇总表'!$I$17="按面积比例",SUMIF('数据-汇总表'!C$19:C$33,A6,'数据-汇总表'!K$19:K$33),SUMIF('数据-汇总表'!C$19:C$33,A6,'数据-汇总表'!N$19:N$33))</f>
        <v>124.72</v>
      </c>
      <c r="T6" s="1443">
        <f>ROUND($L$14*S6/10000,0)</f>
        <v>22</v>
      </c>
      <c r="U6" s="78">
        <v>1</v>
      </c>
      <c r="V6" s="79">
        <v>2.5000000000000001E-2</v>
      </c>
      <c r="W6" s="79">
        <v>0.1</v>
      </c>
      <c r="X6" s="1261"/>
      <c r="Y6" s="80">
        <f>N6</f>
        <v>0.78</v>
      </c>
      <c r="Z6" s="81"/>
      <c r="AA6" s="74"/>
      <c r="AB6" s="74"/>
      <c r="AC6" s="1261"/>
      <c r="AD6" s="82"/>
      <c r="AE6" s="1262">
        <f ca="1">IF(AN6="",0,SUMIF(INDIRECT("'"&amp;AN6&amp;"'"&amp;"!E:E"),$AE$5,INDIRECT("'"&amp;AN6&amp;"'"&amp;"!F:F")))</f>
        <v>30.86</v>
      </c>
      <c r="AF6" s="1804"/>
      <c r="AG6" s="147">
        <f>IF(AF6="",0,AE6-AF6)</f>
        <v>0</v>
      </c>
      <c r="AH6" s="83"/>
      <c r="AI6" s="85">
        <v>365</v>
      </c>
      <c r="AJ6" s="86"/>
      <c r="AK6" s="87">
        <v>1.4999999999999999E-2</v>
      </c>
      <c r="AL6" s="88">
        <v>1E-3</v>
      </c>
      <c r="AM6" s="88">
        <v>0.01</v>
      </c>
      <c r="AN6" s="2306" t="s">
        <v>3069</v>
      </c>
      <c r="AO6" s="55">
        <f ca="1">SUMIF(INDIRECT("'"&amp;AN6&amp;"'"&amp;"!A:A"),"总价",INDIRECT("'"&amp;AN6&amp;"'"&amp;"!B:B"))</f>
        <v>1022</v>
      </c>
      <c r="AP6" s="2307">
        <f>IF(C6="住宅",K6*L6,0)</f>
        <v>0</v>
      </c>
      <c r="AQ6" s="55">
        <f>ROUND($L$14*$N$14*S6/10000,0)</f>
        <v>18</v>
      </c>
      <c r="AR6" s="55">
        <f>ROUND($L$14*(1-$N$14)*S6/10000,0)</f>
        <v>5</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25">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25">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25">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25">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25">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25">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25">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25">
      <c r="A14" s="2308" t="s">
        <v>2003</v>
      </c>
      <c r="B14" s="2304" t="s">
        <v>2004</v>
      </c>
      <c r="C14" s="2309" t="s">
        <v>2003</v>
      </c>
      <c r="D14" s="1051"/>
      <c r="E14" s="1048"/>
      <c r="F14" s="72"/>
      <c r="G14" s="73"/>
      <c r="H14" s="1250"/>
      <c r="I14" s="1250"/>
      <c r="J14" s="1250"/>
      <c r="K14" s="1251">
        <f>SUMIF('数据-汇总表'!C$19:C$33,A14,'数据-汇总表'!E$19:E$33)</f>
        <v>124.72</v>
      </c>
      <c r="L14" s="91">
        <v>1800</v>
      </c>
      <c r="M14" s="75">
        <f t="shared" si="0"/>
        <v>22</v>
      </c>
      <c r="N14" s="92">
        <f>N6</f>
        <v>0.78</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7">
      <c r="A15" s="2308" t="s">
        <v>2005</v>
      </c>
      <c r="B15" s="2304" t="s">
        <v>2004</v>
      </c>
      <c r="C15" s="2309" t="s">
        <v>2006</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5.75" thickBot="1">
      <c r="A16" s="2310" t="s">
        <v>2007</v>
      </c>
      <c r="B16" s="97"/>
      <c r="C16" s="1005"/>
      <c r="D16" s="2311"/>
      <c r="E16" s="97"/>
      <c r="F16" s="97"/>
      <c r="G16" s="98">
        <f>ROUND(SUMPRODUCT(G6:G13,K6:K13)/SUMPRODUCT((G6:G13&gt;0)*(K6:K13)),3)</f>
        <v>0.85199999999999998</v>
      </c>
      <c r="H16" s="99">
        <f>ROUND(SUMPRODUCT(H6:H13,K6:K13)/SUMPRODUCT((H6:H13&gt;0)*(K6:K13)),3)</f>
        <v>0.05</v>
      </c>
      <c r="I16" s="100"/>
      <c r="J16" s="100"/>
      <c r="K16" s="101">
        <f>SUM(K6:K15)</f>
        <v>2547.4699999999998</v>
      </c>
      <c r="L16" s="102">
        <f>ROUND(M16*10000/SUM(K6:K14),0)</f>
        <v>2179</v>
      </c>
      <c r="M16" s="102">
        <f>SUM(M6:M14)</f>
        <v>555</v>
      </c>
      <c r="N16" s="103">
        <f>ROUND(SUMPRODUCT(M6:M14,N6:N14)/M16,3)</f>
        <v>0.78</v>
      </c>
      <c r="O16" s="102">
        <f>SUM(O6:O14)</f>
        <v>0</v>
      </c>
      <c r="P16" s="102">
        <f>SUM(P6:P14)</f>
        <v>0</v>
      </c>
      <c r="Q16" s="104">
        <f>ROUND(SUMPRODUCT(Q6:Q13,K6:K13)/SUMPRODUCT((Q6:Q13&gt;0)*(K6:K13)),2)</f>
        <v>0.05</v>
      </c>
      <c r="R16" s="1255">
        <f ca="1">SUM(R6:R13)</f>
        <v>6139</v>
      </c>
      <c r="S16" s="105">
        <f>SUM(S6:S13)</f>
        <v>124.72</v>
      </c>
      <c r="T16" s="106">
        <f>IF(SUMIF(T6:T13,"&lt;9E307")=M14,SUMIF(T6:T13,"&lt;9E307"),"有误，请检查")</f>
        <v>22</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2008</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3" t="s">
        <v>2009</v>
      </c>
      <c r="B19" s="112">
        <v>0</v>
      </c>
      <c r="C19" s="2274" t="s">
        <v>2010</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4" t="s">
        <v>2011</v>
      </c>
      <c r="B20" s="113">
        <v>1</v>
      </c>
      <c r="C20" s="2274" t="s">
        <v>2012</v>
      </c>
      <c r="D20" s="2275"/>
      <c r="E20" s="2274"/>
      <c r="F20" s="2274"/>
      <c r="G20" s="2274"/>
      <c r="H20" s="2274"/>
      <c r="I20" s="2274"/>
      <c r="J20" s="2274"/>
      <c r="K20" s="168"/>
      <c r="L20" s="168"/>
      <c r="M20" s="1581"/>
      <c r="N20" s="2960" t="s">
        <v>3125</v>
      </c>
      <c r="O20" s="1581">
        <f>'数据-基础表'!I13</f>
        <v>0</v>
      </c>
      <c r="P20" s="1581">
        <f>ROUND((1-(1-0%)*(2019-2006)/60),2)</f>
        <v>0.78</v>
      </c>
      <c r="Q20" s="1581">
        <v>3000</v>
      </c>
      <c r="R20" s="1581">
        <f>Q20*O20</f>
        <v>0</v>
      </c>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5" t="s">
        <v>2013</v>
      </c>
      <c r="B21" s="113">
        <v>1</v>
      </c>
      <c r="C21" s="2274"/>
      <c r="D21" s="2275"/>
      <c r="E21" s="2274"/>
      <c r="F21" s="2274"/>
      <c r="G21" s="2274"/>
      <c r="H21" s="2274"/>
      <c r="I21" s="2274"/>
      <c r="J21" s="2274"/>
      <c r="K21" s="168"/>
      <c r="L21" s="168"/>
      <c r="M21" s="1581"/>
      <c r="N21" s="2960" t="s">
        <v>3126</v>
      </c>
      <c r="O21" s="1581">
        <f>'数据-基础表'!I14+'数据-基础表'!I15</f>
        <v>1492.3899999999999</v>
      </c>
      <c r="P21" s="1581">
        <f>ROUND((1-(1-2%)*(2019-2006)/70),2)</f>
        <v>0.82</v>
      </c>
      <c r="Q21" s="1581">
        <v>2200</v>
      </c>
      <c r="R21" s="1581">
        <f t="shared" ref="R21:R22" si="12">Q21*O21</f>
        <v>3283257.9999999995</v>
      </c>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4" t="s">
        <v>2014</v>
      </c>
      <c r="B22" s="114">
        <f>B19+B20</f>
        <v>1</v>
      </c>
      <c r="C22" s="2274"/>
      <c r="D22" s="2275"/>
      <c r="E22" s="2274"/>
      <c r="F22" s="2274"/>
      <c r="G22" s="2274"/>
      <c r="H22" s="2274"/>
      <c r="I22" s="2274"/>
      <c r="J22" s="2274"/>
      <c r="K22" s="168"/>
      <c r="L22" s="168"/>
      <c r="M22" s="1581"/>
      <c r="N22" s="2960" t="s">
        <v>3127</v>
      </c>
      <c r="O22" s="1581">
        <f>'数据-基础表'!I16+'数据-基础表'!I17</f>
        <v>930.36</v>
      </c>
      <c r="P22" s="1581">
        <f>ROUND((1-(1-2%)*(2019-2006)/50),2)</f>
        <v>0.75</v>
      </c>
      <c r="Q22" s="1581">
        <v>600</v>
      </c>
      <c r="R22" s="1581">
        <f t="shared" si="12"/>
        <v>558216</v>
      </c>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5" t="s">
        <v>2015</v>
      </c>
      <c r="B23" s="114">
        <f>B19+B21</f>
        <v>1</v>
      </c>
      <c r="C23" s="2274"/>
      <c r="D23" s="2275"/>
      <c r="E23" s="2274"/>
      <c r="F23" s="2274"/>
      <c r="G23" s="2274"/>
      <c r="H23" s="2274"/>
      <c r="I23" s="2274"/>
      <c r="J23" s="2274"/>
      <c r="K23" s="168"/>
      <c r="L23" s="168"/>
      <c r="M23" s="1581"/>
      <c r="N23" s="1581"/>
      <c r="O23" s="1581"/>
      <c r="P23" s="1581">
        <f>ROUND((O20*P20+O21*P21+O22*P22)/K16,2)</f>
        <v>0.75</v>
      </c>
      <c r="Q23" s="1581">
        <f>R23/K16</f>
        <v>1507.9565215684581</v>
      </c>
      <c r="R23" s="1581">
        <f>R20+R21+R22</f>
        <v>3841473.9999999995</v>
      </c>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6" t="s">
        <v>2016</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7"/>
      <c r="C25" s="2274"/>
      <c r="D25" s="2275"/>
      <c r="E25" s="2274"/>
      <c r="F25" s="2274"/>
      <c r="G25" s="2274"/>
      <c r="H25" s="2274"/>
      <c r="I25" s="2274"/>
      <c r="J25" s="2274"/>
      <c r="K25" s="168"/>
      <c r="L25" s="168"/>
      <c r="M25" s="168"/>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2017</v>
      </c>
      <c r="B26" s="2317" t="s">
        <v>2018</v>
      </c>
      <c r="C26" s="2318" t="s">
        <v>2019</v>
      </c>
      <c r="D26" s="2275"/>
      <c r="E26" s="2274"/>
      <c r="F26" s="2274"/>
      <c r="G26" s="2274"/>
      <c r="H26" s="2274"/>
      <c r="I26" s="2274"/>
      <c r="J26" s="2274"/>
      <c r="K26" s="168"/>
      <c r="L26" s="168"/>
      <c r="M26" s="168"/>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7.75">
      <c r="A27" s="2319" t="s">
        <v>2020</v>
      </c>
      <c r="B27" s="116"/>
      <c r="C27" s="1764" t="s">
        <v>2021</v>
      </c>
      <c r="D27" s="2320"/>
      <c r="E27" s="2274" t="s">
        <v>3285</v>
      </c>
      <c r="F27" s="1427"/>
      <c r="G27" s="2274"/>
      <c r="H27" s="2274"/>
      <c r="I27" s="2274"/>
      <c r="J27" s="2274"/>
      <c r="K27" s="168"/>
      <c r="L27" s="168"/>
      <c r="M27" s="168"/>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7.75">
      <c r="A28" s="2322" t="s">
        <v>2022</v>
      </c>
      <c r="B28" s="119">
        <v>21.6</v>
      </c>
      <c r="C28" s="2323"/>
      <c r="D28" s="2320"/>
      <c r="E28" s="1427"/>
      <c r="F28" s="1427"/>
      <c r="G28" s="2274"/>
      <c r="H28" s="2274"/>
      <c r="I28" s="2274"/>
      <c r="J28" s="2274"/>
      <c r="K28" s="168"/>
      <c r="L28" s="168"/>
      <c r="M28" s="168"/>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8.5" thickBot="1">
      <c r="A29" s="2324" t="s">
        <v>2023</v>
      </c>
      <c r="B29" s="121">
        <f>ROUND(B28*K16/10000,0)</f>
        <v>6</v>
      </c>
      <c r="C29" s="1764" t="s">
        <v>2024</v>
      </c>
      <c r="D29" s="2320"/>
      <c r="E29" s="1427"/>
      <c r="F29" s="1427"/>
      <c r="G29" s="2274"/>
      <c r="H29" s="2274"/>
      <c r="I29" s="2274"/>
      <c r="J29" s="2274"/>
      <c r="K29" s="168"/>
      <c r="L29" s="168"/>
      <c r="M29" s="168"/>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7">
      <c r="A30" s="2325" t="s">
        <v>2025</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7">
      <c r="A31" s="2322" t="s">
        <v>2026</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7.75" thickBot="1">
      <c r="A32" s="2326" t="s">
        <v>2027</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25">
      <c r="A33" s="2319" t="s">
        <v>2028</v>
      </c>
      <c r="B33" s="726">
        <v>0.03</v>
      </c>
      <c r="C33" s="1763" t="s">
        <v>2029</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25">
      <c r="A34" s="2322" t="s">
        <v>2030</v>
      </c>
      <c r="B34" s="122">
        <v>0</v>
      </c>
      <c r="C34" s="1763" t="s">
        <v>2031</v>
      </c>
      <c r="D34" s="2275" t="s">
        <v>2032</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25">
      <c r="A35" s="2322" t="s">
        <v>2033</v>
      </c>
      <c r="B35" s="119">
        <v>200</v>
      </c>
      <c r="C35" s="1763" t="s">
        <v>2034</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4" t="s">
        <v>2035</v>
      </c>
      <c r="B36" s="123">
        <v>1.4999999999999999E-2</v>
      </c>
      <c r="C36" s="1763" t="s">
        <v>2036</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5" t="s">
        <v>2037</v>
      </c>
      <c r="B37" s="124">
        <v>0.01</v>
      </c>
      <c r="C37" s="1763" t="s">
        <v>2038</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2" t="s">
        <v>2039</v>
      </c>
      <c r="B38" s="122">
        <v>0.01</v>
      </c>
      <c r="C38" s="1763" t="s">
        <v>2038</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6" t="s">
        <v>2040</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6" t="s">
        <v>2041</v>
      </c>
      <c r="B40" s="1300">
        <f ca="1">存贷款利率!G1</f>
        <v>4.3499999999999997E-2</v>
      </c>
      <c r="C40" s="1763" t="s">
        <v>2042</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9" t="s">
        <v>2043</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7" t="s">
        <v>2044</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7" t="s">
        <v>2045</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9" t="s">
        <v>2046</v>
      </c>
      <c r="B44" s="128">
        <v>7.0000000000000007E-2</v>
      </c>
      <c r="C44" s="1763" t="s">
        <v>2047</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9" t="s">
        <v>2048</v>
      </c>
      <c r="B45" s="126">
        <v>0.03</v>
      </c>
      <c r="C45" s="1764" t="s">
        <v>2049</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9" t="s">
        <v>2050</v>
      </c>
      <c r="B46" s="126">
        <v>0.02</v>
      </c>
      <c r="C46" s="1764" t="s">
        <v>2051</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0" t="s">
        <v>2052</v>
      </c>
      <c r="B47" s="129">
        <v>0</v>
      </c>
      <c r="C47" s="1764" t="s">
        <v>2053</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1" t="s">
        <v>2054</v>
      </c>
      <c r="B48" s="130">
        <v>0.04</v>
      </c>
      <c r="C48" s="1771" t="s">
        <v>2055</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6" t="s">
        <v>2056</v>
      </c>
      <c r="B49" s="126">
        <v>5.0000000000000001E-4</v>
      </c>
      <c r="C49" s="1771" t="s">
        <v>2057</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2" t="s">
        <v>2058</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2059</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2" t="s">
        <v>2060</v>
      </c>
      <c r="B52" s="133">
        <f>SUMIF(A54:A63,B53,B54:B63)</f>
        <v>4</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2" t="s">
        <v>2061</v>
      </c>
      <c r="B53" s="2333" t="s">
        <v>212</v>
      </c>
      <c r="C53" s="1427" t="s">
        <v>2062</v>
      </c>
      <c r="D53" s="2334" t="s">
        <v>2063</v>
      </c>
      <c r="E53" s="2274"/>
      <c r="F53" s="2274"/>
      <c r="G53" s="2274"/>
      <c r="H53" s="2274"/>
      <c r="I53" s="2274" t="s">
        <v>3286</v>
      </c>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5" t="s">
        <v>2064</v>
      </c>
      <c r="B54" s="84">
        <v>4</v>
      </c>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5" t="s">
        <v>2065</v>
      </c>
      <c r="B55" s="84"/>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5" t="s">
        <v>2066</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5" t="s">
        <v>2067</v>
      </c>
      <c r="B57" s="84"/>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5" t="s">
        <v>2068</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5" t="s">
        <v>2069</v>
      </c>
      <c r="B59" s="84"/>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5" t="s">
        <v>2070</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5" t="s">
        <v>2071</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5" t="s">
        <v>2072</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7" t="s">
        <v>2073</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60" t="s">
        <v>2074</v>
      </c>
      <c r="B1" s="3061"/>
      <c r="C1" s="3061"/>
      <c r="D1" s="3061"/>
      <c r="E1" s="3061"/>
      <c r="F1" s="3061"/>
      <c r="G1" s="3061"/>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2075</v>
      </c>
      <c r="D2" s="2362"/>
      <c r="E2" s="2363"/>
      <c r="F2" s="2283"/>
      <c r="G2" s="2361" t="s">
        <v>2076</v>
      </c>
      <c r="H2" s="2364"/>
      <c r="I2" s="2364"/>
      <c r="J2" s="2364"/>
      <c r="K2" s="2364"/>
      <c r="L2" s="2364"/>
      <c r="M2" s="2364"/>
      <c r="N2" s="2364"/>
      <c r="O2" s="2364"/>
      <c r="P2" s="2364"/>
      <c r="Q2" s="2364"/>
      <c r="R2" s="2364"/>
    </row>
    <row r="3" spans="1:29" ht="54">
      <c r="A3" s="415" t="s">
        <v>2077</v>
      </c>
      <c r="B3" s="1268" t="s">
        <v>2078</v>
      </c>
      <c r="C3" s="2366" t="s">
        <v>2079</v>
      </c>
      <c r="D3" s="2367"/>
      <c r="E3" s="431" t="s">
        <v>2077</v>
      </c>
      <c r="F3" s="2368" t="s">
        <v>2080</v>
      </c>
      <c r="G3" s="2369" t="s">
        <v>2081</v>
      </c>
      <c r="H3" s="2364"/>
      <c r="I3" s="2364"/>
      <c r="J3" s="2364"/>
      <c r="K3" s="2364"/>
      <c r="L3" s="2364"/>
      <c r="M3" s="2364"/>
      <c r="N3" s="2364"/>
      <c r="O3" s="2364"/>
      <c r="P3" s="2364"/>
      <c r="Q3" s="2364"/>
      <c r="R3" s="2364"/>
    </row>
    <row r="4" spans="1:29" ht="41.25">
      <c r="A4" s="431"/>
      <c r="B4" s="1795" t="s">
        <v>2082</v>
      </c>
      <c r="C4" s="2370" t="s">
        <v>2083</v>
      </c>
      <c r="D4" s="2367"/>
      <c r="E4" s="2371"/>
      <c r="F4" s="42" t="s">
        <v>2084</v>
      </c>
      <c r="G4" s="2372" t="s">
        <v>2085</v>
      </c>
      <c r="H4" s="2364"/>
      <c r="I4" s="2364"/>
      <c r="J4" s="2364"/>
      <c r="K4" s="2364"/>
      <c r="L4" s="2364"/>
      <c r="M4" s="2364"/>
      <c r="N4" s="2364"/>
      <c r="O4" s="2364"/>
      <c r="P4" s="2364"/>
      <c r="Q4" s="2364"/>
      <c r="R4" s="2364"/>
    </row>
    <row r="5" spans="1:29" ht="41.25">
      <c r="A5" s="431"/>
      <c r="B5" s="1795" t="s">
        <v>2086</v>
      </c>
      <c r="C5" s="2370" t="s">
        <v>2087</v>
      </c>
      <c r="D5" s="2367"/>
      <c r="E5" s="2371"/>
      <c r="F5" s="1795" t="s">
        <v>2088</v>
      </c>
      <c r="G5" s="2372" t="s">
        <v>2089</v>
      </c>
      <c r="H5" s="2364"/>
      <c r="I5" s="2364"/>
      <c r="J5" s="2364"/>
      <c r="K5" s="2364"/>
      <c r="L5" s="2364"/>
      <c r="M5" s="2364"/>
      <c r="N5" s="2364"/>
      <c r="O5" s="2364"/>
      <c r="P5" s="2364"/>
      <c r="Q5" s="2364"/>
      <c r="R5" s="2364"/>
    </row>
    <row r="6" spans="1:29" ht="54">
      <c r="A6" s="431"/>
      <c r="B6" s="1795" t="s">
        <v>2090</v>
      </c>
      <c r="C6" s="2372" t="s">
        <v>2085</v>
      </c>
      <c r="D6" s="2367"/>
      <c r="E6" s="2371"/>
      <c r="F6" s="1795" t="s">
        <v>2091</v>
      </c>
      <c r="G6" s="2372" t="s">
        <v>2092</v>
      </c>
      <c r="H6" s="2364"/>
      <c r="I6" s="2364"/>
      <c r="J6" s="2364"/>
      <c r="K6" s="2364"/>
      <c r="L6" s="2364"/>
      <c r="M6" s="2364"/>
      <c r="N6" s="2364"/>
      <c r="O6" s="2364"/>
      <c r="P6" s="2364"/>
      <c r="Q6" s="2364"/>
      <c r="R6" s="2364"/>
    </row>
    <row r="7" spans="1:29" ht="41.25" thickBot="1">
      <c r="A7" s="431"/>
      <c r="B7" s="1795" t="s">
        <v>2088</v>
      </c>
      <c r="C7" s="2372" t="s">
        <v>2089</v>
      </c>
      <c r="D7" s="2373"/>
      <c r="E7" s="2374"/>
      <c r="F7" s="2375" t="s">
        <v>2093</v>
      </c>
      <c r="G7" s="2376" t="s">
        <v>2094</v>
      </c>
      <c r="H7" s="2364"/>
      <c r="I7" s="2364"/>
      <c r="J7" s="2364"/>
      <c r="K7" s="2364"/>
      <c r="L7" s="2364"/>
      <c r="M7" s="2364"/>
      <c r="N7" s="2364"/>
      <c r="O7" s="2364"/>
      <c r="P7" s="2364"/>
      <c r="Q7" s="2364"/>
      <c r="R7" s="2364"/>
    </row>
    <row r="8" spans="1:29" ht="27">
      <c r="A8" s="431"/>
      <c r="B8" s="1795" t="s">
        <v>2091</v>
      </c>
      <c r="C8" s="2372" t="s">
        <v>2092</v>
      </c>
      <c r="D8" s="2373"/>
      <c r="E8" s="2373"/>
      <c r="F8" s="1133"/>
      <c r="G8" s="1133"/>
      <c r="H8" s="2364"/>
      <c r="I8" s="2364"/>
      <c r="J8" s="2364"/>
      <c r="K8" s="2364"/>
      <c r="L8" s="2364"/>
      <c r="M8" s="2364"/>
      <c r="N8" s="2364"/>
      <c r="O8" s="2364"/>
      <c r="P8" s="2364"/>
      <c r="Q8" s="2364"/>
      <c r="R8" s="2364"/>
    </row>
    <row r="9" spans="1:29" ht="27">
      <c r="A9" s="431"/>
      <c r="B9" s="1795" t="s">
        <v>2095</v>
      </c>
      <c r="C9" s="2370" t="s">
        <v>2096</v>
      </c>
      <c r="D9" s="2367"/>
      <c r="E9" s="2373"/>
      <c r="F9" s="1133"/>
      <c r="G9" s="1133"/>
      <c r="H9" s="2364"/>
      <c r="I9" s="2364"/>
      <c r="J9" s="2364"/>
      <c r="K9" s="2364"/>
      <c r="L9" s="2364"/>
      <c r="M9" s="2364"/>
      <c r="N9" s="2364"/>
      <c r="O9" s="2364"/>
      <c r="P9" s="2364"/>
      <c r="Q9" s="2364"/>
      <c r="R9" s="2364"/>
    </row>
    <row r="10" spans="1:29" s="117" customFormat="1" ht="15.75" thickBot="1">
      <c r="A10" s="2377"/>
      <c r="B10" s="2378" t="s">
        <v>2097</v>
      </c>
      <c r="C10" s="2379"/>
      <c r="D10" s="2367"/>
      <c r="E10" s="2367"/>
      <c r="F10" s="1133"/>
      <c r="G10" s="1133"/>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1"/>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1"/>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2098</v>
      </c>
      <c r="B13" s="2384"/>
      <c r="C13" s="2384"/>
      <c r="D13" s="2391"/>
      <c r="E13" s="2384"/>
      <c r="F13" s="2384"/>
      <c r="G13" s="2384"/>
    </row>
    <row r="14" spans="1:29" ht="15.75" thickBot="1">
      <c r="A14" s="2395"/>
      <c r="B14" s="2396"/>
      <c r="C14" s="2397" t="s">
        <v>2099</v>
      </c>
      <c r="D14" s="2367"/>
      <c r="E14" s="2398"/>
      <c r="F14" s="2398"/>
      <c r="G14" s="2361" t="s">
        <v>2100</v>
      </c>
    </row>
    <row r="15" spans="1:29" ht="57">
      <c r="A15" s="68" t="s">
        <v>2101</v>
      </c>
      <c r="B15" s="1267" t="s">
        <v>2078</v>
      </c>
      <c r="C15" s="2399" t="str">
        <f>C3</f>
        <v>估价对象周边居住用地比例、居住小区规模和社区发展完善程度，综合评价居住社区成熟度一般</v>
      </c>
      <c r="D15" s="2367"/>
      <c r="E15" s="2400" t="s">
        <v>2102</v>
      </c>
      <c r="F15" s="1267" t="s">
        <v>2103</v>
      </c>
      <c r="G15" s="135" t="str">
        <f>G3</f>
        <v>估价对象位于XX开发区，园区建设成熟度XX，产业集聚程度XX</v>
      </c>
    </row>
    <row r="16" spans="1:29" ht="42.75">
      <c r="A16" s="645"/>
      <c r="B16" s="2401" t="s">
        <v>2082</v>
      </c>
      <c r="C16" s="2402" t="str">
        <f>C4</f>
        <v>估价对象位于XX商圈，周边商业氛围成熟，人流量大，商业繁华度好</v>
      </c>
      <c r="D16" s="2367"/>
      <c r="E16" s="2403"/>
      <c r="F16" s="2404" t="s">
        <v>2084</v>
      </c>
      <c r="G16" s="136" t="str">
        <f>G4</f>
        <v>估价对象周边道路状况、公共交通通达情况、停车便捷程度，综合评价交通便捷度较好</v>
      </c>
    </row>
    <row r="17" spans="1:18" ht="42.75">
      <c r="A17" s="645"/>
      <c r="B17" s="2401" t="s">
        <v>2086</v>
      </c>
      <c r="C17" s="2402" t="str">
        <f>C5</f>
        <v>估价对象位于XX商圈，周边办公楼项目较多，入驻率高，办公集聚程度较好</v>
      </c>
      <c r="D17" s="2373"/>
      <c r="E17" s="2403"/>
      <c r="F17" s="2404" t="s">
        <v>2104</v>
      </c>
      <c r="G17" s="1569"/>
    </row>
    <row r="18" spans="1:18" ht="57">
      <c r="A18" s="645"/>
      <c r="B18" s="2404" t="s">
        <v>2090</v>
      </c>
      <c r="C18" s="136" t="str">
        <f>C6</f>
        <v>估价对象周边道路状况、公共交通通达情况、停车便捷程度，综合评价交通便捷度较好</v>
      </c>
      <c r="D18" s="2373"/>
      <c r="E18" s="2403"/>
      <c r="F18" s="2404" t="s">
        <v>2093</v>
      </c>
      <c r="G18" s="136" t="str">
        <f>G7</f>
        <v>该园区内是否有污染型企业，绿化情况，卫生条件，整体环境状况判断</v>
      </c>
    </row>
    <row r="19" spans="1:18" ht="28.5">
      <c r="A19" s="645"/>
      <c r="B19" s="2404" t="s">
        <v>2105</v>
      </c>
      <c r="C19" s="1569"/>
      <c r="D19" s="2367"/>
      <c r="E19" s="2403"/>
      <c r="F19" s="1795" t="s">
        <v>2088</v>
      </c>
      <c r="G19" s="136" t="str">
        <f>G5</f>
        <v>估价对象所在区域公共配套设施齐备情况</v>
      </c>
    </row>
    <row r="20" spans="1:18" ht="28.5">
      <c r="A20" s="645"/>
      <c r="B20" s="2404" t="s">
        <v>2106</v>
      </c>
      <c r="C20" s="2402" t="str">
        <f>C9</f>
        <v>区域自然环境：；人文环境；综合评价环境状况一般</v>
      </c>
      <c r="D20" s="2373"/>
      <c r="E20" s="2403"/>
      <c r="F20" s="1795" t="s">
        <v>2107</v>
      </c>
      <c r="G20" s="136" t="str">
        <f>G6</f>
        <v>估价对象所在区域基础设施水平</v>
      </c>
    </row>
    <row r="21" spans="1:18" ht="28.5">
      <c r="A21" s="645"/>
      <c r="B21" s="1795" t="s">
        <v>2088</v>
      </c>
      <c r="C21" s="136" t="str">
        <f>C7</f>
        <v>估价对象所在区域公共配套设施齐备情况</v>
      </c>
      <c r="D21" s="2367"/>
      <c r="E21" s="2403"/>
      <c r="F21" s="2404" t="s">
        <v>2108</v>
      </c>
      <c r="G21" s="2405"/>
    </row>
    <row r="22" spans="1:18" ht="13.5" customHeight="1">
      <c r="A22" s="645"/>
      <c r="B22" s="1795" t="s">
        <v>2091</v>
      </c>
      <c r="C22" s="136" t="str">
        <f>C8</f>
        <v>估价对象所在区域基础设施水平</v>
      </c>
      <c r="D22" s="2367"/>
      <c r="E22" s="2403"/>
      <c r="F22" s="2404" t="s">
        <v>2097</v>
      </c>
      <c r="G22" s="1569"/>
    </row>
    <row r="23" spans="1:18" s="2364" customFormat="1" ht="15.75" thickBot="1">
      <c r="A23" s="645"/>
      <c r="B23" s="2404" t="s">
        <v>2108</v>
      </c>
      <c r="C23" s="2405"/>
      <c r="D23" s="2392"/>
      <c r="E23" s="2406"/>
      <c r="F23" s="2407" t="s">
        <v>2109</v>
      </c>
      <c r="G23" s="2408"/>
      <c r="H23" s="2392"/>
      <c r="I23" s="2393"/>
      <c r="J23" s="2392"/>
      <c r="K23" s="2392"/>
      <c r="L23" s="2393"/>
      <c r="M23" s="2392"/>
      <c r="N23" s="2392"/>
      <c r="O23" s="2393"/>
      <c r="P23" s="2392"/>
      <c r="Q23" s="2392"/>
      <c r="R23" s="2394"/>
    </row>
    <row r="24" spans="1:18" s="2364" customFormat="1" ht="15.75" thickBot="1">
      <c r="A24" s="2409"/>
      <c r="B24" s="2407" t="s">
        <v>2110</v>
      </c>
      <c r="C24" s="137">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2547.4699999999998</v>
      </c>
      <c r="C1" s="1742"/>
      <c r="D1" s="1742"/>
      <c r="E1" s="1742"/>
      <c r="F1" s="1742"/>
      <c r="G1" s="1740"/>
    </row>
    <row r="2" spans="1:10" ht="16.5">
      <c r="A2" s="1743" t="s">
        <v>1349</v>
      </c>
      <c r="B2" s="1743">
        <f>SUM(C14:C23)</f>
        <v>6139</v>
      </c>
      <c r="C2" s="1742"/>
      <c r="D2" s="1742"/>
      <c r="E2" s="1742"/>
      <c r="F2" s="1742"/>
      <c r="G2" s="1740"/>
    </row>
    <row r="3" spans="1:10" ht="16.5">
      <c r="A3" s="1743" t="s">
        <v>1358</v>
      </c>
      <c r="B3" s="1744">
        <f>项目基本情况!D3</f>
        <v>44015</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1010</v>
      </c>
      <c r="C5" s="1743">
        <f ca="1">ROUND(B5*10000/$B$1,0)</f>
        <v>3965</v>
      </c>
      <c r="D5" s="1743">
        <f ca="1">ROUND(B5*10000/$B$2,0)</f>
        <v>1645</v>
      </c>
      <c r="E5" s="1742"/>
      <c r="F5" s="1740"/>
      <c r="G5" s="1740"/>
    </row>
    <row r="6" spans="1:10" ht="16.5">
      <c r="A6" s="1743" t="s">
        <v>1352</v>
      </c>
      <c r="B6" s="1743">
        <f ca="1">SUM(G14:G23)</f>
        <v>1010</v>
      </c>
      <c r="C6" s="1743">
        <f ca="1">ROUND(B6*10000/$B$1,0)</f>
        <v>3965</v>
      </c>
      <c r="D6" s="1743">
        <f ca="1">ROUND(B6*10000/$B$2,0)</f>
        <v>1645</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2547.4699999999998</v>
      </c>
      <c r="C14" s="1741">
        <f>结果表!C118</f>
        <v>6139</v>
      </c>
      <c r="D14" s="1741">
        <f ca="1">结果表!H118</f>
        <v>1010</v>
      </c>
      <c r="E14" s="1741">
        <f ca="1">ROUND(D14*10000/B14,0)</f>
        <v>3965</v>
      </c>
      <c r="F14" s="1741">
        <f ca="1">ROUND(D14*10000/C14,0)</f>
        <v>1645</v>
      </c>
      <c r="G14" s="1741">
        <f ca="1">结果表!D122</f>
        <v>1010</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9" zoomScale="90" zoomScaleNormal="100" zoomScaleSheetLayoutView="90" zoomScalePageLayoutView="80" workbookViewId="0">
      <selection activeCell="I118" sqref="B118:I118"/>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2" t="s">
        <v>2111</v>
      </c>
      <c r="B1" s="2415"/>
      <c r="C1" s="2416"/>
      <c r="D1" s="2415"/>
      <c r="E1" s="2415"/>
      <c r="F1" s="2417" t="s">
        <v>2112</v>
      </c>
      <c r="G1" s="2067" t="s">
        <v>3060</v>
      </c>
      <c r="H1" s="2418" t="str">
        <f>IF(G1="现房","——","估价对象范围")</f>
        <v>——</v>
      </c>
      <c r="I1" s="2419"/>
    </row>
    <row r="2" spans="1:12" ht="21.75" customHeight="1" thickBot="1">
      <c r="A2" s="3134" t="str">
        <f>项目基本情况!S2</f>
        <v>河北省廊坊市开发区全兴路西工业用房房地产</v>
      </c>
      <c r="B2" s="3135"/>
      <c r="C2" s="3135"/>
      <c r="D2" s="3135"/>
      <c r="E2" s="3135"/>
      <c r="F2" s="3135"/>
      <c r="G2" s="3135"/>
      <c r="H2" s="3135"/>
      <c r="I2" s="3136"/>
    </row>
    <row r="3" spans="1:12" ht="12.75">
      <c r="A3" s="3137" t="s">
        <v>2113</v>
      </c>
      <c r="B3" s="3138"/>
      <c r="C3" s="3138"/>
      <c r="D3" s="3138"/>
      <c r="E3" s="3138"/>
      <c r="F3" s="3138"/>
      <c r="G3" s="3138"/>
      <c r="H3" s="3138"/>
      <c r="I3" s="3138"/>
    </row>
    <row r="4" spans="1:12" ht="14.25">
      <c r="A4" s="2422" t="s">
        <v>2114</v>
      </c>
      <c r="B4" s="2423" t="s">
        <v>2115</v>
      </c>
      <c r="C4" s="2424" t="s">
        <v>3115</v>
      </c>
      <c r="D4" s="2424" t="s">
        <v>3069</v>
      </c>
      <c r="E4" s="3118" t="s">
        <v>2116</v>
      </c>
      <c r="F4" s="3131"/>
      <c r="G4" s="3131"/>
      <c r="H4" s="3131"/>
      <c r="I4" s="3119"/>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09" t="s">
        <v>2117</v>
      </c>
      <c r="B5" s="3035">
        <v>25</v>
      </c>
      <c r="C5" s="3139"/>
      <c r="D5" s="3127"/>
      <c r="E5" s="140" t="s">
        <v>2118</v>
      </c>
      <c r="F5" s="2426"/>
      <c r="G5" s="2426"/>
      <c r="H5" s="2426"/>
      <c r="I5" s="1831"/>
    </row>
    <row r="6" spans="1:12" ht="12.75">
      <c r="A6" s="3109"/>
      <c r="B6" s="3035"/>
      <c r="C6" s="3141"/>
      <c r="D6" s="3127"/>
      <c r="E6" s="140" t="s">
        <v>2119</v>
      </c>
      <c r="F6" s="2426"/>
      <c r="G6" s="2426"/>
      <c r="H6" s="2426"/>
      <c r="I6" s="1831"/>
    </row>
    <row r="7" spans="1:12" ht="12.75">
      <c r="A7" s="3109"/>
      <c r="B7" s="3035"/>
      <c r="C7" s="3140"/>
      <c r="D7" s="3127"/>
      <c r="E7" s="140" t="s">
        <v>2120</v>
      </c>
      <c r="F7" s="2426"/>
      <c r="G7" s="2426"/>
      <c r="H7" s="2426"/>
      <c r="I7" s="1831"/>
    </row>
    <row r="8" spans="1:12" ht="12.75">
      <c r="A8" s="3109" t="s">
        <v>2121</v>
      </c>
      <c r="B8" s="3035">
        <v>15</v>
      </c>
      <c r="C8" s="3139"/>
      <c r="D8" s="3127"/>
      <c r="E8" s="140" t="s">
        <v>2122</v>
      </c>
      <c r="F8" s="2426"/>
      <c r="G8" s="2426"/>
      <c r="H8" s="2426"/>
      <c r="I8" s="1831"/>
    </row>
    <row r="9" spans="1:12" ht="12.75">
      <c r="A9" s="3109"/>
      <c r="B9" s="3035"/>
      <c r="C9" s="3140"/>
      <c r="D9" s="3127"/>
      <c r="E9" s="140" t="s">
        <v>2123</v>
      </c>
      <c r="F9" s="2426"/>
      <c r="G9" s="2426"/>
      <c r="H9" s="2426"/>
      <c r="I9" s="1831"/>
    </row>
    <row r="10" spans="1:12" ht="12.75">
      <c r="A10" s="3109" t="s">
        <v>2124</v>
      </c>
      <c r="B10" s="3035">
        <v>15</v>
      </c>
      <c r="C10" s="3139"/>
      <c r="D10" s="3127"/>
      <c r="E10" s="140" t="s">
        <v>2125</v>
      </c>
      <c r="F10" s="2426"/>
      <c r="G10" s="2426"/>
      <c r="H10" s="2426"/>
      <c r="I10" s="1831"/>
    </row>
    <row r="11" spans="1:12" ht="12.75">
      <c r="A11" s="3109"/>
      <c r="B11" s="3035"/>
      <c r="C11" s="3140"/>
      <c r="D11" s="3127"/>
      <c r="E11" s="140" t="s">
        <v>2126</v>
      </c>
      <c r="F11" s="2426"/>
      <c r="G11" s="2426"/>
      <c r="H11" s="2426"/>
      <c r="I11" s="1831"/>
    </row>
    <row r="12" spans="1:12" ht="12.75">
      <c r="A12" s="3109" t="s">
        <v>2127</v>
      </c>
      <c r="B12" s="3035">
        <v>15</v>
      </c>
      <c r="C12" s="3139"/>
      <c r="D12" s="3127"/>
      <c r="E12" s="140" t="s">
        <v>2128</v>
      </c>
      <c r="F12" s="2426"/>
      <c r="G12" s="2426"/>
      <c r="H12" s="2426"/>
      <c r="I12" s="1831"/>
    </row>
    <row r="13" spans="1:12" ht="12.75">
      <c r="A13" s="3109"/>
      <c r="B13" s="3035"/>
      <c r="C13" s="3140"/>
      <c r="D13" s="3127"/>
      <c r="E13" s="140" t="s">
        <v>2129</v>
      </c>
      <c r="F13" s="2426"/>
      <c r="G13" s="2426"/>
      <c r="H13" s="2426"/>
      <c r="I13" s="1831"/>
    </row>
    <row r="14" spans="1:12" ht="12.75">
      <c r="A14" s="3109" t="s">
        <v>2130</v>
      </c>
      <c r="B14" s="3035">
        <v>30</v>
      </c>
      <c r="C14" s="3139">
        <v>5</v>
      </c>
      <c r="D14" s="3127">
        <v>5</v>
      </c>
      <c r="E14" s="140" t="s">
        <v>2131</v>
      </c>
      <c r="F14" s="2426"/>
      <c r="G14" s="2426"/>
      <c r="H14" s="2426"/>
      <c r="I14" s="1831"/>
    </row>
    <row r="15" spans="1:12" ht="12.75">
      <c r="A15" s="3109"/>
      <c r="B15" s="3035"/>
      <c r="C15" s="3141"/>
      <c r="D15" s="3127"/>
      <c r="E15" s="140" t="s">
        <v>2132</v>
      </c>
      <c r="F15" s="2426"/>
      <c r="G15" s="2426"/>
      <c r="H15" s="2426"/>
      <c r="I15" s="1831"/>
    </row>
    <row r="16" spans="1:12" ht="12.75">
      <c r="A16" s="3109"/>
      <c r="B16" s="3035"/>
      <c r="C16" s="3140"/>
      <c r="D16" s="3127"/>
      <c r="E16" s="140" t="s">
        <v>2133</v>
      </c>
      <c r="F16" s="2426"/>
      <c r="G16" s="2426"/>
      <c r="H16" s="2426"/>
      <c r="I16" s="1831"/>
    </row>
    <row r="17" spans="1:35" ht="15">
      <c r="A17" s="2427" t="s">
        <v>2134</v>
      </c>
      <c r="B17" s="64"/>
      <c r="C17" s="141">
        <f>SUM(C5:C16)</f>
        <v>5</v>
      </c>
      <c r="D17" s="141">
        <f>SUM(D5:D16)</f>
        <v>5</v>
      </c>
      <c r="E17" s="138"/>
      <c r="F17" s="138"/>
      <c r="G17" s="138"/>
      <c r="H17" s="138"/>
      <c r="I17" s="138"/>
      <c r="K17" s="2425"/>
      <c r="L17" s="2428" t="s">
        <v>2135</v>
      </c>
      <c r="M17" s="2428" t="s">
        <v>2136</v>
      </c>
    </row>
    <row r="18" spans="1:35" ht="15.75" thickBot="1">
      <c r="A18" s="2429" t="s">
        <v>2137</v>
      </c>
      <c r="B18" s="2430"/>
      <c r="C18" s="142">
        <f>ROUND(C17/SUM(C17:D17),2)</f>
        <v>0.5</v>
      </c>
      <c r="D18" s="142">
        <f>1-C18</f>
        <v>0.5</v>
      </c>
      <c r="E18" s="138"/>
      <c r="F18" s="138"/>
      <c r="G18" s="138"/>
      <c r="H18" s="138"/>
      <c r="I18" s="138"/>
      <c r="K18" s="2425" t="s">
        <v>2138</v>
      </c>
      <c r="L18" s="2425">
        <f>IF(C1="",'数据-汇总表'!E3,SUMIF(项目类型,C1,'数据-汇总表'!E17:E26)+SUMIF(项目类型,C1,'数据-汇总表'!I17:I26))</f>
        <v>2547.4699999999998</v>
      </c>
      <c r="M18" s="2425">
        <f>IF(C1="",'数据-汇总表'!E3,SUMIF(项目类型,C1,'数据-汇总表'!E17:E26))</f>
        <v>2547.4699999999998</v>
      </c>
    </row>
    <row r="19" spans="1:35" ht="15">
      <c r="A19" s="2431" t="s">
        <v>2139</v>
      </c>
      <c r="B19" s="2432" t="s">
        <v>2140</v>
      </c>
      <c r="C19" s="143">
        <f ca="1">SUMIF(INDIRECT("'"&amp;C4&amp;"'"&amp;"!A:A"),结果表!B19,INDIRECT("'"&amp;C4&amp;"'"&amp;"!B:B"))</f>
        <v>998</v>
      </c>
      <c r="D19" s="144">
        <f ca="1">SUMIF(INDIRECT("'"&amp;D4&amp;"'"&amp;"!A:A"),结果表!B19,INDIRECT("'"&amp;D4&amp;"'"&amp;"!B:B"))</f>
        <v>1022</v>
      </c>
      <c r="E19" s="2431" t="s">
        <v>2141</v>
      </c>
      <c r="F19" s="2432" t="s">
        <v>2140</v>
      </c>
      <c r="G19" s="145">
        <f ca="1">ROUND(C19*$C$18+D19*$D$18,0)</f>
        <v>1010</v>
      </c>
      <c r="H19" s="2433" t="s">
        <v>2142</v>
      </c>
      <c r="I19" s="138"/>
      <c r="J19" s="2958"/>
      <c r="K19" s="2425" t="s">
        <v>2143</v>
      </c>
      <c r="L19" s="2425">
        <f>IF(C1="",'数据-汇总表'!D3,SUMIF(项目类型,C1,'数据-汇总表'!D17:D26)+SUMIF(项目类型,C1,'数据-汇总表'!H17:H27))</f>
        <v>6139</v>
      </c>
      <c r="M19" s="2425">
        <f>IF(C1="",'数据-汇总表'!D3,SUMIF(项目类型,C1,'数据-汇总表'!D17:D26))</f>
        <v>6139</v>
      </c>
    </row>
    <row r="20" spans="1:35" ht="15">
      <c r="A20" s="2434"/>
      <c r="B20" s="1247" t="s">
        <v>2144</v>
      </c>
      <c r="C20" s="146">
        <f ca="1">SUMIF(INDIRECT("'"&amp;C4&amp;"'"&amp;"!A:A"),结果表!B20,INDIRECT("'"&amp;C4&amp;"'"&amp;"!B:B"))</f>
        <v>3918</v>
      </c>
      <c r="D20" s="147">
        <f ca="1">SUMIF(INDIRECT("'"&amp;D4&amp;"'"&amp;"!A:A"),结果表!B20,INDIRECT("'"&amp;D4&amp;"'"&amp;"!B:B"))</f>
        <v>4218</v>
      </c>
      <c r="E20" s="2434"/>
      <c r="F20" s="1247" t="s">
        <v>2144</v>
      </c>
      <c r="G20" s="148">
        <f ca="1">ROUND(C20*$C$18+D20*$D$18,0)</f>
        <v>4068</v>
      </c>
      <c r="H20" s="980" t="s">
        <v>2145</v>
      </c>
      <c r="I20" s="138"/>
      <c r="J20" s="2958"/>
      <c r="K20" s="2958"/>
    </row>
    <row r="21" spans="1:35" ht="15" customHeight="1" thickBot="1">
      <c r="A21" s="1000"/>
      <c r="B21" s="2435" t="s">
        <v>2146</v>
      </c>
      <c r="C21" s="789">
        <f ca="1">ROUND(C19*10000/L19,0)</f>
        <v>1626</v>
      </c>
      <c r="D21" s="790">
        <f ca="1">ROUND(D19*10000/L19,0)</f>
        <v>1665</v>
      </c>
      <c r="E21" s="1000"/>
      <c r="F21" s="2435" t="s">
        <v>2146</v>
      </c>
      <c r="G21" s="149">
        <f ca="1">ROUND(G19*10000/L19,0)</f>
        <v>1645</v>
      </c>
      <c r="H21" s="2436" t="s">
        <v>2145</v>
      </c>
      <c r="I21" s="138"/>
      <c r="J21" s="2958"/>
      <c r="K21" s="2958"/>
    </row>
    <row r="22" spans="1:35" ht="15" thickBot="1">
      <c r="A22" s="2278" t="s">
        <v>2147</v>
      </c>
      <c r="B22" s="2437"/>
      <c r="C22" s="2438"/>
      <c r="D22" s="791">
        <f ca="1">IF(C19&lt;D19,D19/C19-1,C19/D19-1)</f>
        <v>2.4048096192384794E-2</v>
      </c>
      <c r="E22" s="138"/>
      <c r="F22" s="138"/>
      <c r="G22" s="138"/>
      <c r="H22" s="138"/>
      <c r="I22" s="138"/>
      <c r="J22" s="2958"/>
      <c r="K22" s="2958"/>
    </row>
    <row r="23" spans="1:35" ht="13.5" thickBot="1">
      <c r="A23" s="2415"/>
      <c r="B23" s="2415"/>
      <c r="C23" s="2415"/>
      <c r="D23" s="2415"/>
      <c r="E23" s="138"/>
      <c r="F23" s="138"/>
      <c r="G23" s="138"/>
      <c r="H23" s="138"/>
      <c r="I23" s="138"/>
    </row>
    <row r="24" spans="1:35" ht="14.25">
      <c r="A24" s="3148" t="s">
        <v>2148</v>
      </c>
      <c r="B24" s="2432" t="s">
        <v>2140</v>
      </c>
      <c r="C24" s="145">
        <f>IF(B30=0,0,D30)</f>
        <v>0</v>
      </c>
      <c r="D24" s="2439"/>
      <c r="E24" s="138"/>
      <c r="F24" s="138"/>
      <c r="G24" s="138"/>
      <c r="H24" s="138"/>
      <c r="I24" s="138"/>
    </row>
    <row r="25" spans="1:35" ht="14.25">
      <c r="A25" s="3149"/>
      <c r="B25" s="1247" t="s">
        <v>2144</v>
      </c>
      <c r="C25" s="150">
        <f>IF(B30=0,0,C30)</f>
        <v>0</v>
      </c>
      <c r="D25" s="2440"/>
      <c r="E25" s="138"/>
      <c r="F25" s="138"/>
      <c r="G25" s="138"/>
      <c r="H25" s="138"/>
      <c r="I25" s="138"/>
    </row>
    <row r="26" spans="1:35" ht="13.5" customHeight="1">
      <c r="A26" s="2441" t="s">
        <v>2149</v>
      </c>
      <c r="B26" s="151" t="s">
        <v>2150</v>
      </c>
      <c r="C26" s="151" t="s">
        <v>2151</v>
      </c>
      <c r="D26" s="152" t="s">
        <v>2152</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2153</v>
      </c>
      <c r="B30" s="151"/>
      <c r="C30" s="151"/>
      <c r="D30" s="151"/>
      <c r="E30" s="2914" t="s">
        <v>3026</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2154</v>
      </c>
      <c r="B32" s="2445"/>
      <c r="C32" s="153">
        <f ca="1">IF(D32="总价",G19-C24,G20-C25)</f>
        <v>1010</v>
      </c>
      <c r="D32" s="2446" t="s">
        <v>2155</v>
      </c>
      <c r="E32" s="138"/>
      <c r="F32" s="138"/>
      <c r="G32" s="138"/>
      <c r="H32" s="138"/>
      <c r="I32" s="138"/>
    </row>
    <row r="33" spans="1:15" ht="15">
      <c r="A33" s="957" t="s">
        <v>2156</v>
      </c>
      <c r="B33" s="2447"/>
      <c r="C33" s="2448" t="s">
        <v>3116</v>
      </c>
      <c r="D33" s="2449" t="s">
        <v>3115</v>
      </c>
      <c r="E33" s="2450" t="s">
        <v>2157</v>
      </c>
      <c r="F33" s="2451" t="str">
        <f>IF(D32="楼面单价","取值（单价）","取值（总价）")</f>
        <v>取值（总价）</v>
      </c>
      <c r="G33" s="138"/>
      <c r="H33" s="138"/>
      <c r="I33" s="138"/>
    </row>
    <row r="34" spans="1:15" ht="15">
      <c r="A34" s="2452"/>
      <c r="B34" s="2453" t="s">
        <v>2158</v>
      </c>
      <c r="C34" s="157">
        <f ca="1">IF(C33="自定义",F34,C32-C35)</f>
        <v>434</v>
      </c>
      <c r="D34" s="1055">
        <f ca="1">IF(C33="自定义",ROUND(C34/C32,3),IF(C33="收益比率",SUMIF(INDIRECT("'"&amp;D33&amp;"'"&amp;"!b:b"),"土地收益比率",INDIRECT("'"&amp;D33&amp;"'"&amp;"!c:c")),SUMIF(INDIRECT("'"&amp;D33&amp;"'"&amp;"!b:b"),"土地成本比率",INDIRECT("'"&amp;D33&amp;"'"&amp;"!c:c"))))</f>
        <v>0.43000000000000005</v>
      </c>
      <c r="E34" s="2454" t="s">
        <v>2159</v>
      </c>
      <c r="F34" s="1736"/>
      <c r="G34" s="138"/>
      <c r="H34" s="138"/>
      <c r="I34" s="138"/>
    </row>
    <row r="35" spans="1:15" ht="15.75" thickBot="1">
      <c r="A35" s="2455"/>
      <c r="B35" s="2456" t="s">
        <v>2160</v>
      </c>
      <c r="C35" s="1441">
        <f ca="1">IF(C33="自定义",F35,ROUND(C32*D35,0))</f>
        <v>576</v>
      </c>
      <c r="D35" s="1442">
        <f ca="1">IF(C33="自定义",ROUND(C35/C32,3),IF(C33="收益比率",SUMIF(INDIRECT("'"&amp;D33&amp;"'"&amp;"!b:b"),"建筑物收益比率",INDIRECT("'"&amp;D33&amp;"'"&amp;"!c:c")),SUMIF(INDIRECT("'"&amp;D33&amp;"'"&amp;"!b:b"),"建筑物成本比率",INDIRECT("'"&amp;D33&amp;"'"&amp;"!c:c"))))</f>
        <v>0.56999999999999995</v>
      </c>
      <c r="E35" s="2457" t="s">
        <v>2161</v>
      </c>
      <c r="F35" s="163"/>
      <c r="G35" s="138"/>
      <c r="H35" s="138"/>
      <c r="I35" s="138"/>
    </row>
    <row r="36" spans="1:15" ht="15.75" thickBot="1">
      <c r="A36" s="3128" t="s">
        <v>2162</v>
      </c>
      <c r="B36" s="2458" t="s">
        <v>2163</v>
      </c>
      <c r="C36" s="154"/>
      <c r="D36" s="2459"/>
      <c r="E36" s="2460"/>
      <c r="F36" s="2461"/>
      <c r="G36" s="138"/>
      <c r="H36" s="138"/>
      <c r="I36" s="138"/>
    </row>
    <row r="37" spans="1:15" ht="15.75" thickBot="1">
      <c r="A37" s="3129"/>
      <c r="B37" s="2264" t="s">
        <v>2164</v>
      </c>
      <c r="C37" s="156"/>
      <c r="D37" s="1392"/>
      <c r="E37" s="1392"/>
      <c r="F37" s="2461"/>
      <c r="G37" s="138"/>
      <c r="H37" s="138"/>
      <c r="I37" s="138"/>
    </row>
    <row r="38" spans="1:15" ht="15.75" thickBot="1">
      <c r="A38" s="3130"/>
      <c r="B38" s="2462" t="s">
        <v>2165</v>
      </c>
      <c r="C38" s="727"/>
      <c r="D38" s="2463" t="s">
        <v>2166</v>
      </c>
      <c r="E38" s="1392"/>
      <c r="F38" s="2461"/>
      <c r="G38" s="138"/>
      <c r="H38" s="138"/>
      <c r="I38" s="138"/>
    </row>
    <row r="39" spans="1:15" ht="15">
      <c r="A39" s="2434" t="s">
        <v>2167</v>
      </c>
      <c r="B39" s="2464" t="s">
        <v>2168</v>
      </c>
      <c r="C39" s="2465" t="s">
        <v>2169</v>
      </c>
      <c r="D39" s="2465" t="s">
        <v>2170</v>
      </c>
      <c r="E39" s="2466" t="s">
        <v>2171</v>
      </c>
      <c r="F39" s="2461"/>
      <c r="G39" s="138"/>
      <c r="H39" s="138"/>
      <c r="I39" s="138"/>
    </row>
    <row r="40" spans="1:15" ht="14.25">
      <c r="A40" s="2467" t="s">
        <v>2172</v>
      </c>
      <c r="B40" s="158"/>
      <c r="C40" s="159"/>
      <c r="D40" s="159"/>
      <c r="E40" s="160"/>
      <c r="F40" s="2461"/>
      <c r="G40" s="138"/>
      <c r="H40" s="138"/>
      <c r="I40" s="138"/>
    </row>
    <row r="41" spans="1:15" ht="14.25">
      <c r="A41" s="2467" t="s">
        <v>2173</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2"/>
      <c r="B43" s="2162"/>
      <c r="C43" s="2162"/>
      <c r="D43" s="2162"/>
      <c r="E43" s="2162"/>
      <c r="F43" s="2469"/>
      <c r="G43" s="2469"/>
      <c r="H43" s="2469"/>
      <c r="I43" s="2470"/>
    </row>
    <row r="44" spans="1:15" ht="18.75">
      <c r="A44" s="2471" t="s">
        <v>2174</v>
      </c>
      <c r="B44" s="2472"/>
      <c r="C44" s="2472"/>
      <c r="D44" s="2473"/>
      <c r="E44" s="2473"/>
      <c r="F44" s="2474"/>
      <c r="G44" s="2474"/>
      <c r="H44" s="2474"/>
      <c r="I44" s="2474"/>
      <c r="J44" s="2475" t="s">
        <v>2175</v>
      </c>
      <c r="K44" s="2476"/>
      <c r="L44" s="2476"/>
      <c r="M44" s="2476"/>
      <c r="N44" s="2476"/>
      <c r="O44" s="2476"/>
    </row>
    <row r="45" spans="1:15" ht="14.25" customHeight="1" thickBot="1">
      <c r="A45" s="3145" t="s">
        <v>2176</v>
      </c>
      <c r="B45" s="3146"/>
      <c r="C45" s="3147"/>
      <c r="D45" s="164">
        <f ca="1">ROUND(H101*F45,0)</f>
        <v>1010</v>
      </c>
      <c r="E45" s="165" t="s">
        <v>2177</v>
      </c>
      <c r="F45" s="166">
        <v>1</v>
      </c>
      <c r="G45" s="167" t="s">
        <v>2178</v>
      </c>
      <c r="H45" s="138"/>
      <c r="I45" s="138"/>
      <c r="J45" s="3064" t="s">
        <v>2179</v>
      </c>
      <c r="K45" s="3064"/>
      <c r="L45" s="3064"/>
      <c r="M45" s="3064"/>
      <c r="N45" s="3064"/>
      <c r="O45" s="3064"/>
    </row>
    <row r="46" spans="1:15" ht="14.25" customHeight="1">
      <c r="A46" s="3142" t="s">
        <v>2180</v>
      </c>
      <c r="B46" s="3143"/>
      <c r="C46" s="3143"/>
      <c r="D46" s="3143"/>
      <c r="E46" s="3143"/>
      <c r="F46" s="3143"/>
      <c r="G46" s="3144"/>
      <c r="H46" s="2477"/>
      <c r="I46" s="168"/>
      <c r="J46" s="1809">
        <v>1</v>
      </c>
      <c r="K46" s="3064" t="s">
        <v>2181</v>
      </c>
      <c r="L46" s="3064"/>
      <c r="M46" s="3065"/>
      <c r="N46" s="3065"/>
      <c r="O46" s="3065"/>
    </row>
    <row r="47" spans="1:15" ht="12" customHeight="1">
      <c r="A47" s="169" t="s">
        <v>2182</v>
      </c>
      <c r="B47" s="170"/>
      <c r="C47" s="171"/>
      <c r="D47" s="172" t="s">
        <v>2183</v>
      </c>
      <c r="E47" s="24" t="s">
        <v>2184</v>
      </c>
      <c r="F47" s="173" t="s">
        <v>2185</v>
      </c>
      <c r="G47" s="174" t="s">
        <v>2186</v>
      </c>
      <c r="H47" s="2477"/>
      <c r="I47" s="168"/>
      <c r="J47" s="1809">
        <v>2</v>
      </c>
      <c r="K47" s="3064" t="s">
        <v>2187</v>
      </c>
      <c r="L47" s="3064"/>
      <c r="M47" s="3066">
        <f>'数据-取费表'!B2</f>
        <v>44015</v>
      </c>
      <c r="N47" s="3066"/>
      <c r="O47" s="3066"/>
    </row>
    <row r="48" spans="1:15" ht="25.5">
      <c r="A48" s="3132" t="s">
        <v>2188</v>
      </c>
      <c r="B48" s="3133"/>
      <c r="C48" s="3133"/>
      <c r="D48" s="140">
        <f>IF(H48="情况1",0,IF(H48="情况2",D52,IF(H48="情况3",D53,IF(H48="情况4",D54))))</f>
        <v>0</v>
      </c>
      <c r="E48" s="1798" t="str">
        <f>IF(H48="情况4","(销售额-原购置价)×税（费）率","销售额×税（费）率")</f>
        <v>销售额×税（费）率</v>
      </c>
      <c r="F48" s="175" t="str">
        <f>IF(H48="情况1","免征",'数据-取费表'!B41)</f>
        <v>免征</v>
      </c>
      <c r="G48" s="2478" t="s">
        <v>2189</v>
      </c>
      <c r="H48" s="2479" t="s">
        <v>2190</v>
      </c>
      <c r="I48" s="2477"/>
      <c r="J48" s="1809">
        <v>3</v>
      </c>
      <c r="K48" s="3064" t="s">
        <v>2191</v>
      </c>
      <c r="L48" s="3064"/>
      <c r="M48" s="3067">
        <f ca="1">H101</f>
        <v>1010</v>
      </c>
      <c r="N48" s="3067"/>
      <c r="O48" s="3067"/>
    </row>
    <row r="49" spans="1:35" ht="25.5" customHeight="1">
      <c r="A49" s="176" t="s">
        <v>2192</v>
      </c>
      <c r="B49" s="3112" t="s">
        <v>2193</v>
      </c>
      <c r="C49" s="3112"/>
      <c r="D49" s="177">
        <v>0</v>
      </c>
      <c r="E49" s="23" t="s">
        <v>2194</v>
      </c>
      <c r="F49" s="28" t="s">
        <v>34</v>
      </c>
      <c r="G49" s="3093"/>
      <c r="H49" s="138"/>
      <c r="I49" s="2480"/>
      <c r="J49" s="1809">
        <v>4</v>
      </c>
      <c r="K49" s="3064" t="str">
        <f>IF(项目基本情况!E8="房地产抵押价值","房地产抵押价值","抵押担保权已注销时的房地产抵押价值")</f>
        <v>房地产抵押价值</v>
      </c>
      <c r="L49" s="3064"/>
      <c r="M49" s="3067">
        <f ca="1">IF(项目基本情况!E8="房地产抵押价值",H107,H109)</f>
        <v>1010</v>
      </c>
      <c r="N49" s="3067"/>
      <c r="O49" s="3067"/>
    </row>
    <row r="50" spans="1:35" ht="25.5" customHeight="1">
      <c r="A50" s="178"/>
      <c r="B50" s="3112" t="s">
        <v>2195</v>
      </c>
      <c r="C50" s="3112"/>
      <c r="D50" s="179"/>
      <c r="E50" s="31"/>
      <c r="F50" s="180"/>
      <c r="G50" s="3094"/>
      <c r="H50" s="138"/>
      <c r="I50" s="2480"/>
      <c r="J50" s="3064" t="s">
        <v>2196</v>
      </c>
      <c r="K50" s="3064"/>
      <c r="L50" s="3064"/>
      <c r="M50" s="3064"/>
      <c r="N50" s="3064"/>
      <c r="O50" s="3064"/>
    </row>
    <row r="51" spans="1:35" ht="12" customHeight="1">
      <c r="A51" s="181"/>
      <c r="B51" s="3112" t="s">
        <v>2197</v>
      </c>
      <c r="C51" s="3112"/>
      <c r="D51" s="182"/>
      <c r="E51" s="30"/>
      <c r="F51" s="180"/>
      <c r="G51" s="3095"/>
      <c r="H51" s="138"/>
      <c r="I51" s="2480"/>
      <c r="J51" s="2481" t="s">
        <v>2198</v>
      </c>
      <c r="K51" s="3064" t="s">
        <v>2199</v>
      </c>
      <c r="L51" s="3064"/>
      <c r="M51" s="2481" t="s">
        <v>2200</v>
      </c>
      <c r="N51" s="2481" t="s">
        <v>2201</v>
      </c>
      <c r="O51" s="2481" t="s">
        <v>2202</v>
      </c>
    </row>
    <row r="52" spans="1:35" ht="24" customHeight="1">
      <c r="A52" s="183" t="s">
        <v>2203</v>
      </c>
      <c r="B52" s="3112" t="s">
        <v>2204</v>
      </c>
      <c r="C52" s="3112"/>
      <c r="D52" s="182">
        <f ca="1">ROUND(D45*'数据-取费表'!B41/(1+'数据-取费表'!C42),0)</f>
        <v>54</v>
      </c>
      <c r="E52" s="11" t="s">
        <v>2205</v>
      </c>
      <c r="F52" s="184">
        <f>'数据-取费表'!B41</f>
        <v>5.6000000000000001E-2</v>
      </c>
      <c r="G52" s="2482"/>
      <c r="H52" s="138"/>
      <c r="I52" s="2480"/>
      <c r="J52" s="1809">
        <v>1</v>
      </c>
      <c r="K52" s="3087" t="s">
        <v>2206</v>
      </c>
      <c r="L52" s="3087"/>
      <c r="M52" s="1751">
        <f>D48</f>
        <v>0</v>
      </c>
      <c r="N52" s="1809" t="str">
        <f>E48</f>
        <v>销售额×税（费）率</v>
      </c>
      <c r="O52" s="1752" t="str">
        <f>F48</f>
        <v>免征</v>
      </c>
    </row>
    <row r="53" spans="1:35" ht="12" customHeight="1">
      <c r="A53" s="183" t="s">
        <v>2207</v>
      </c>
      <c r="B53" s="3113" t="s">
        <v>2208</v>
      </c>
      <c r="C53" s="3114"/>
      <c r="D53" s="182">
        <f ca="1">ROUND(D45*'数据-取费表'!B41/(1+'数据-取费表'!C42),0)</f>
        <v>54</v>
      </c>
      <c r="E53" s="11" t="s">
        <v>2205</v>
      </c>
      <c r="F53" s="184">
        <f>'数据-取费表'!B41</f>
        <v>5.6000000000000001E-2</v>
      </c>
      <c r="G53" s="2482"/>
      <c r="H53" s="138"/>
      <c r="I53" s="2480"/>
      <c r="J53" s="1809">
        <v>2</v>
      </c>
      <c r="K53" s="3087" t="s">
        <v>2209</v>
      </c>
      <c r="L53" s="3087"/>
      <c r="M53" s="1751">
        <f t="shared" ref="M53:O54" ca="1" si="0">D55</f>
        <v>1</v>
      </c>
      <c r="N53" s="1809" t="str">
        <f t="shared" si="0"/>
        <v>销售额×税（费）率</v>
      </c>
      <c r="O53" s="1752">
        <f t="shared" si="0"/>
        <v>5.0000000000000001E-4</v>
      </c>
    </row>
    <row r="54" spans="1:35" ht="12" customHeight="1">
      <c r="A54" s="183" t="s">
        <v>2210</v>
      </c>
      <c r="B54" s="3113" t="s">
        <v>2211</v>
      </c>
      <c r="C54" s="3114"/>
      <c r="D54" s="182">
        <f ca="1">C68</f>
        <v>54</v>
      </c>
      <c r="E54" s="30" t="s">
        <v>2212</v>
      </c>
      <c r="F54" s="184">
        <f>'数据-取费表'!B41</f>
        <v>5.6000000000000001E-2</v>
      </c>
      <c r="G54" s="2482"/>
      <c r="H54" s="2483"/>
      <c r="I54" s="2480"/>
      <c r="J54" s="1809">
        <v>3</v>
      </c>
      <c r="K54" s="3087" t="s">
        <v>2213</v>
      </c>
      <c r="L54" s="3087"/>
      <c r="M54" s="1751">
        <f t="shared" ca="1" si="0"/>
        <v>572</v>
      </c>
      <c r="N54" s="1809" t="str">
        <f t="shared" si="0"/>
        <v>增值额×税（费）率</v>
      </c>
      <c r="O54" s="1753" t="str">
        <f t="shared" si="0"/>
        <v>——</v>
      </c>
    </row>
    <row r="55" spans="1:35" ht="24" customHeight="1">
      <c r="A55" s="3151" t="s">
        <v>2214</v>
      </c>
      <c r="B55" s="3133"/>
      <c r="C55" s="3133"/>
      <c r="D55" s="185">
        <f ca="1">IF(H55="个人住宅",0,ROUND(D45*I55,0))</f>
        <v>1</v>
      </c>
      <c r="E55" s="11" t="s">
        <v>2215</v>
      </c>
      <c r="F55" s="184">
        <f>IF(H55="正常",I55,"免征")</f>
        <v>5.0000000000000001E-4</v>
      </c>
      <c r="G55" s="2482"/>
      <c r="H55" s="2479" t="s">
        <v>2216</v>
      </c>
      <c r="I55" s="186">
        <f>'数据-取费表'!B49</f>
        <v>5.0000000000000001E-4</v>
      </c>
      <c r="J55" s="1809" t="str">
        <f>IF(H59="非个人房产","",4)</f>
        <v/>
      </c>
      <c r="K55" s="3087" t="str">
        <f>IF(H59="非个人房产","——","个人所得税")</f>
        <v>——</v>
      </c>
      <c r="L55" s="3087"/>
      <c r="M55" s="1754" t="str">
        <f>D59</f>
        <v>——</v>
      </c>
      <c r="N55" s="1807" t="str">
        <f>E59</f>
        <v>——</v>
      </c>
      <c r="O55" s="1755" t="str">
        <f>F59</f>
        <v>——</v>
      </c>
    </row>
    <row r="56" spans="1:35" ht="24.75">
      <c r="A56" s="3151" t="s">
        <v>2217</v>
      </c>
      <c r="B56" s="3133"/>
      <c r="C56" s="3133"/>
      <c r="D56" s="185">
        <f ca="1">IF(H56="个人住宅",D57,D58)</f>
        <v>572</v>
      </c>
      <c r="E56" s="11" t="s">
        <v>2218</v>
      </c>
      <c r="F56" s="184" t="str">
        <f>IF(H56="正常",F58,"免征")</f>
        <v>——</v>
      </c>
      <c r="G56" s="2484" t="s">
        <v>2219</v>
      </c>
      <c r="H56" s="2485" t="s">
        <v>2216</v>
      </c>
      <c r="I56" s="2486"/>
      <c r="J56" s="1809" t="str">
        <f>IF(项目基本情况!K6="上海银行",IF(J55="",4,J55+1),"")</f>
        <v/>
      </c>
      <c r="K56" s="3070" t="str">
        <f>IF(项目基本情况!K6="上海银行","其他处置费用","")</f>
        <v/>
      </c>
      <c r="L56" s="3071"/>
      <c r="M56" s="1751" t="str">
        <f>IF(项目基本情况!K6="上海银行",M69,"")</f>
        <v/>
      </c>
      <c r="N56" s="3073" t="str">
        <f>IF(项目基本情况!K6="上海银行","包含处置中涉及的律师、诉讼、拍卖、评估等费用","")</f>
        <v/>
      </c>
      <c r="O56" s="3074"/>
    </row>
    <row r="57" spans="1:35" ht="12.75">
      <c r="A57" s="183" t="s">
        <v>2192</v>
      </c>
      <c r="B57" s="3118" t="s">
        <v>2220</v>
      </c>
      <c r="C57" s="3119"/>
      <c r="D57" s="187">
        <v>0</v>
      </c>
      <c r="E57" s="23" t="s">
        <v>2194</v>
      </c>
      <c r="F57" s="155"/>
      <c r="G57" s="2482"/>
      <c r="H57" s="2486"/>
      <c r="I57" s="2486"/>
      <c r="J57" s="3087">
        <f>IF(AND(J55="",J56=""),4,IF(项目基本情况!K6="上海银行",结果表!J56+1,结果表!J55+1))</f>
        <v>4</v>
      </c>
      <c r="K57" s="3087" t="s">
        <v>2221</v>
      </c>
      <c r="L57" s="2487" t="s">
        <v>2222</v>
      </c>
      <c r="M57" s="1756"/>
      <c r="N57" s="1757">
        <f ca="1">SUMIF(M52:M56,"&lt;9e307")</f>
        <v>573</v>
      </c>
      <c r="O57" s="2488"/>
      <c r="P57" s="1750">
        <f ca="1">N57/M49</f>
        <v>0.56732673267326728</v>
      </c>
    </row>
    <row r="58" spans="1:35" ht="24.75">
      <c r="A58" s="183" t="s">
        <v>2203</v>
      </c>
      <c r="B58" s="3118" t="s">
        <v>2223</v>
      </c>
      <c r="C58" s="3131"/>
      <c r="D58" s="185">
        <f ca="1">IF(H58="转让取得",C81,C97)</f>
        <v>572</v>
      </c>
      <c r="E58" s="11" t="s">
        <v>2218</v>
      </c>
      <c r="F58" s="24" t="s">
        <v>34</v>
      </c>
      <c r="G58" s="2482"/>
      <c r="H58" s="2485" t="s">
        <v>2224</v>
      </c>
      <c r="I58" s="2486"/>
      <c r="J58" s="3087"/>
      <c r="K58" s="3087"/>
      <c r="L58" s="2487" t="s">
        <v>2225</v>
      </c>
      <c r="M58" s="1758"/>
      <c r="N58" s="2489" t="str">
        <f ca="1">NUMBERSTRING(INT(N57*10000),2)&amp;"元整"</f>
        <v>伍佰柒拾叁万元整</v>
      </c>
      <c r="O58" s="2490"/>
    </row>
    <row r="59" spans="1:35" ht="24.75" thickBot="1">
      <c r="A59" s="3091" t="s">
        <v>2226</v>
      </c>
      <c r="B59" s="3092"/>
      <c r="C59" s="3092"/>
      <c r="D59" s="188" t="str">
        <f>IF(H59="非个人房产","——",IF(H59="个人住宅",0,ROUND(D45*I59,0)))</f>
        <v>——</v>
      </c>
      <c r="E59" s="189" t="str">
        <f>IF(H59="非个人房产","——","销售额×税（费）率")</f>
        <v>——</v>
      </c>
      <c r="F59" s="190" t="str">
        <f>IF(H59="非个人房产","——",IF(H59="个人住宅","免征",I59))</f>
        <v>——</v>
      </c>
      <c r="G59" s="2491" t="s">
        <v>2219</v>
      </c>
      <c r="H59" s="2485" t="s">
        <v>2227</v>
      </c>
      <c r="I59" s="191">
        <v>0.01</v>
      </c>
      <c r="J59" s="3089">
        <f>J57+1</f>
        <v>5</v>
      </c>
      <c r="K59" s="3087" t="s">
        <v>2228</v>
      </c>
      <c r="L59" s="1809" t="s">
        <v>2222</v>
      </c>
      <c r="M59" s="1759"/>
      <c r="N59" s="1760">
        <f ca="1">M49-N57</f>
        <v>437</v>
      </c>
      <c r="O59" s="2492"/>
    </row>
    <row r="60" spans="1:35" ht="12" customHeight="1">
      <c r="A60" s="2493"/>
      <c r="B60" s="2415"/>
      <c r="C60" s="2415"/>
      <c r="D60" s="2415"/>
      <c r="E60" s="2163"/>
      <c r="F60" s="2486"/>
      <c r="G60" s="2486"/>
      <c r="H60" s="2494"/>
      <c r="I60" s="138"/>
      <c r="J60" s="3090"/>
      <c r="K60" s="3087"/>
      <c r="L60" s="2487" t="s">
        <v>2225</v>
      </c>
      <c r="M60" s="1758"/>
      <c r="N60" s="2489" t="str">
        <f ca="1">NUMBERSTRING(INT(N59*10000),2)&amp;"元整"</f>
        <v>肆佰叁拾柒万元整</v>
      </c>
      <c r="O60" s="2490"/>
    </row>
    <row r="61" spans="1:35" ht="13.5" thickBot="1">
      <c r="A61" s="3150" t="s">
        <v>2229</v>
      </c>
      <c r="B61" s="3150"/>
      <c r="C61" s="3150"/>
      <c r="D61" s="3150"/>
      <c r="E61" s="3150"/>
      <c r="F61" s="2486"/>
      <c r="G61" s="2486"/>
      <c r="H61" s="2494"/>
      <c r="I61" s="138"/>
      <c r="J61" s="1809">
        <f>J59+1</f>
        <v>6</v>
      </c>
      <c r="K61" s="3087" t="s">
        <v>2230</v>
      </c>
      <c r="L61" s="3087"/>
      <c r="M61" s="1761"/>
      <c r="N61" s="1762">
        <f ca="1">ROUND(N59*10000/'数据-汇总表'!E3,0)</f>
        <v>1715</v>
      </c>
      <c r="O61" s="2495"/>
    </row>
    <row r="62" spans="1:35" ht="12.75">
      <c r="A62" s="3107" t="s">
        <v>2231</v>
      </c>
      <c r="B62" s="3108"/>
      <c r="C62" s="1801"/>
      <c r="D62" s="1801" t="s">
        <v>2232</v>
      </c>
      <c r="E62" s="192" t="s">
        <v>2233</v>
      </c>
      <c r="F62" s="2486"/>
      <c r="G62" s="2486"/>
      <c r="H62" s="2494"/>
      <c r="I62" s="138"/>
    </row>
    <row r="63" spans="1:35" ht="12.75">
      <c r="A63" s="203" t="s">
        <v>775</v>
      </c>
      <c r="B63" s="193" t="s">
        <v>2234</v>
      </c>
      <c r="C63" s="194">
        <f ca="1">ROUND((C64+C65)/(1+'数据-取费表'!C42),0)</f>
        <v>962</v>
      </c>
      <c r="D63" s="195"/>
      <c r="E63" s="196"/>
      <c r="F63" s="2486"/>
      <c r="G63" s="2486"/>
      <c r="H63" s="2494"/>
      <c r="I63" s="138"/>
      <c r="J63" s="3072" t="s">
        <v>2235</v>
      </c>
      <c r="K63" s="2496" t="s">
        <v>2236</v>
      </c>
      <c r="L63" s="1749">
        <f ca="1">IF(M49&gt;10000,M49*0.5%,IF(AND(M49&gt;1000,M49&lt;=10000),M49*1%,IF(AND(M49&gt;100,M49&lt;=1000),M49*3%,IF(AND(M49&gt;10,M49&lt;=100),M49*5%,M49*8%))))</f>
        <v>10.1</v>
      </c>
      <c r="M63" s="24">
        <f ca="1">ROUND(L63,1)</f>
        <v>10.1</v>
      </c>
      <c r="Z63" s="2420"/>
      <c r="AI63" s="2421"/>
    </row>
    <row r="64" spans="1:35" ht="14.25" customHeight="1">
      <c r="A64" s="197" t="s">
        <v>770</v>
      </c>
      <c r="B64" s="198" t="s">
        <v>2237</v>
      </c>
      <c r="C64" s="199">
        <f ca="1">D45</f>
        <v>1010</v>
      </c>
      <c r="D64" s="200" t="s">
        <v>32</v>
      </c>
      <c r="E64" s="201"/>
      <c r="F64" s="2486"/>
      <c r="G64" s="2486"/>
      <c r="H64" s="2494"/>
      <c r="I64" s="138"/>
      <c r="J64" s="3072"/>
      <c r="K64" s="2496" t="s">
        <v>2238</v>
      </c>
      <c r="L64" s="1749">
        <f ca="1">IF(M49&gt;2000,M49*0.5%,IF(AND(M49&gt;1000,M49&lt;=2000),M49*0.6%,IF(AND(M49&gt;500,M49&lt;=1000),M49*0.7%,IF(AND(M49&gt;200,M49&lt;=500),M49*0.8%,IF(AND(M49&gt;100,M49&lt;=200),M49*0.9%,IF(AND(M49&gt;50,M49&lt;=100),M49*1%,IF(AND(M49&gt;20,M49&lt;=50),M49*1.5%,IF(AND(M49&gt;10,M49&lt;=20),M49*2%,IF(AND(M49&gt;1,M49&lt;=10),M49*2.5%)))))))))</f>
        <v>6.0600000000000005</v>
      </c>
      <c r="M64" s="24">
        <f t="shared" ref="M64:M65" ca="1" si="1">ROUND(L64,1)</f>
        <v>6.1</v>
      </c>
      <c r="N64" s="138" t="s">
        <v>2239</v>
      </c>
      <c r="Z64" s="2420"/>
      <c r="AI64" s="2421"/>
    </row>
    <row r="65" spans="1:35" ht="14.25" customHeight="1">
      <c r="A65" s="197" t="s">
        <v>771</v>
      </c>
      <c r="B65" s="198" t="s">
        <v>2240</v>
      </c>
      <c r="C65" s="202"/>
      <c r="D65" s="200"/>
      <c r="E65" s="201"/>
      <c r="F65" s="2486"/>
      <c r="G65" s="2486"/>
      <c r="H65" s="2494"/>
      <c r="I65" s="138"/>
      <c r="J65" s="3072"/>
      <c r="K65" s="2496" t="s">
        <v>2241</v>
      </c>
      <c r="L65" s="1749">
        <f ca="1">IF(M49&gt;1000,M49*0.1%,IF(AND(M49&gt;500,M49&lt;=1000),M49*0.5%,IF(AND(M49&gt;50,M49&lt;=500),M49*1%,IF(AND(M49&gt;1,M49&lt;=50),M49*1.5%))))</f>
        <v>1.01</v>
      </c>
      <c r="M65" s="24">
        <f t="shared" ca="1" si="1"/>
        <v>1</v>
      </c>
      <c r="N65" s="138" t="s">
        <v>2239</v>
      </c>
      <c r="Z65" s="2420"/>
      <c r="AI65" s="2421"/>
    </row>
    <row r="66" spans="1:35" ht="14.25" customHeight="1">
      <c r="A66" s="203" t="s">
        <v>772</v>
      </c>
      <c r="B66" s="204" t="s">
        <v>2242</v>
      </c>
      <c r="C66" s="205"/>
      <c r="D66" s="206" t="s">
        <v>32</v>
      </c>
      <c r="E66" s="1773" t="s">
        <v>1367</v>
      </c>
      <c r="F66" s="2486"/>
      <c r="G66" s="2486"/>
      <c r="H66" s="2494"/>
      <c r="I66" s="138"/>
      <c r="J66" s="3072"/>
      <c r="K66" s="2496" t="s">
        <v>2243</v>
      </c>
      <c r="L66" s="1749">
        <f ca="1">M49*0.5%</f>
        <v>5.05</v>
      </c>
      <c r="M66" s="24">
        <f ca="1">IF(L66&gt;0.5,0.5,ROUND(L66,0))</f>
        <v>0.5</v>
      </c>
      <c r="N66" s="138" t="s">
        <v>2244</v>
      </c>
      <c r="Z66" s="2420"/>
      <c r="AI66" s="2421"/>
    </row>
    <row r="67" spans="1:35" ht="14.25" customHeight="1">
      <c r="A67" s="203" t="s">
        <v>773</v>
      </c>
      <c r="B67" s="204" t="s">
        <v>2245</v>
      </c>
      <c r="C67" s="207">
        <f ca="1">C63-C66</f>
        <v>962</v>
      </c>
      <c r="D67" s="200" t="s">
        <v>32</v>
      </c>
      <c r="E67" s="201"/>
      <c r="F67" s="2486"/>
      <c r="G67" s="2486"/>
      <c r="H67" s="2494"/>
      <c r="I67" s="138"/>
      <c r="J67" s="3072"/>
      <c r="K67" s="2496" t="s">
        <v>2246</v>
      </c>
      <c r="L67" s="1749">
        <f ca="1">IF(M49&gt;=10000,(8.25+(M49-10000)*0.01%),IF(AND(M49&gt;=8000,M49&lt;10000),(7.85+(M49-8000)*0.02%),IF(AND(M49&gt;=5000,M49&lt;8000),(6.65+(M49-5000)*0.04%),IF(AND(M49&gt;=2000,M49&lt;5000),(4.25+(PM49-2000)*0.08%),IF(AND(M49&gt;=1000,M49&lt;2000),(2.75+(M49-1000)*0.15%),IF(AND(M49&gt;=100,M49&lt;1000),(0.5+(M49-100)*0.25%),IF(AND(M49&gt;0,M49&lt;100),M49*0.5%)))))))</f>
        <v>2.7650000000000001</v>
      </c>
      <c r="M67" s="24">
        <f ca="1">ROUND(L67*0.9,1)</f>
        <v>2.5</v>
      </c>
      <c r="Z67" s="2420"/>
      <c r="AI67" s="2421"/>
    </row>
    <row r="68" spans="1:35" ht="14.25" customHeight="1" thickBot="1">
      <c r="A68" s="208" t="s">
        <v>774</v>
      </c>
      <c r="B68" s="209" t="s">
        <v>2247</v>
      </c>
      <c r="C68" s="210">
        <f ca="1">IF(C67&lt;=0,0,ROUND(C67*D68,0))</f>
        <v>54</v>
      </c>
      <c r="D68" s="211">
        <f>'数据-取费表'!B41</f>
        <v>5.6000000000000001E-2</v>
      </c>
      <c r="E68" s="212"/>
      <c r="F68" s="2486"/>
      <c r="G68" s="2486"/>
      <c r="H68" s="2494"/>
      <c r="I68" s="138"/>
      <c r="J68" s="3072"/>
      <c r="K68" s="2496" t="s">
        <v>2248</v>
      </c>
      <c r="L68" s="1749">
        <f ca="1">IF(M49&gt;10000,M49*0.5%,IF(AND(M49&gt;5000,M49&lt;=10000),M49*1%,IF(AND(M49&gt;1000,M49&lt;=5000),M49*2%,IF(AND(M49&gt;200,M49&lt;=1000),M49*3%,M49*5%))))</f>
        <v>20.2</v>
      </c>
      <c r="M68" s="24">
        <f ca="1">ROUND(L68,1)</f>
        <v>20.2</v>
      </c>
      <c r="Z68" s="2420"/>
      <c r="AI68" s="2421"/>
    </row>
    <row r="69" spans="1:35" s="2443" customFormat="1" ht="16.5" customHeight="1">
      <c r="A69" s="2497"/>
      <c r="B69" s="2498"/>
      <c r="C69" s="2499"/>
      <c r="D69" s="2500"/>
      <c r="E69" s="2501"/>
      <c r="F69" s="2163"/>
      <c r="G69" s="2163"/>
      <c r="H69" s="2162"/>
      <c r="I69" s="2415"/>
      <c r="J69" s="3072"/>
      <c r="K69" s="2496" t="s">
        <v>2249</v>
      </c>
      <c r="L69" s="2502"/>
      <c r="M69" s="24">
        <f ca="1">ROUND(SUM(M63:M68),0)</f>
        <v>40</v>
      </c>
      <c r="N69" s="1750">
        <f ca="1">M69/M49</f>
        <v>3.9603960396039604E-2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16" t="s">
        <v>2250</v>
      </c>
      <c r="B70" s="3117"/>
      <c r="C70" s="3117"/>
      <c r="D70" s="3117"/>
      <c r="E70" s="3117"/>
      <c r="F70" s="3117"/>
      <c r="G70" s="3117"/>
      <c r="H70" s="3117"/>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07" t="s">
        <v>2231</v>
      </c>
      <c r="B71" s="3108"/>
      <c r="C71" s="1801"/>
      <c r="D71" s="1801" t="s">
        <v>2232</v>
      </c>
      <c r="E71" s="213" t="s">
        <v>2233</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2251</v>
      </c>
      <c r="C72" s="207">
        <f ca="1">ROUND(D45/(1+'数据-取费表'!C42),0)</f>
        <v>962</v>
      </c>
      <c r="D72" s="200" t="s">
        <v>32</v>
      </c>
      <c r="E72" s="1800"/>
      <c r="F72" s="1794"/>
      <c r="G72" s="1794"/>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2252</v>
      </c>
      <c r="C73" s="207">
        <f ca="1">C74+C78</f>
        <v>6</v>
      </c>
      <c r="D73" s="200" t="s">
        <v>32</v>
      </c>
      <c r="E73" s="1800"/>
      <c r="F73" s="1794"/>
      <c r="G73" s="1794"/>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2253</v>
      </c>
      <c r="C74" s="200">
        <f>ROUND(IF(G77="2016年5月1日后购买",C75/(1+'数据-取费表'!C42)+C76+C77,C75+C76+C77),0)</f>
        <v>0</v>
      </c>
      <c r="D74" s="200" t="s">
        <v>32</v>
      </c>
      <c r="E74" s="1800"/>
      <c r="F74" s="1794"/>
      <c r="G74" s="1794"/>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2254</v>
      </c>
      <c r="C75" s="218"/>
      <c r="D75" s="200" t="s">
        <v>32</v>
      </c>
      <c r="E75" s="219" t="s">
        <v>2255</v>
      </c>
      <c r="F75" s="2508" t="s">
        <v>2256</v>
      </c>
      <c r="G75" s="219" t="s">
        <v>2257</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2258</v>
      </c>
      <c r="C76" s="200">
        <f>IF(F75="购房发票",ROUND(C75*H75*D76,0),0)</f>
        <v>0</v>
      </c>
      <c r="D76" s="222">
        <v>0.05</v>
      </c>
      <c r="E76" s="3113" t="s">
        <v>2259</v>
      </c>
      <c r="F76" s="3112"/>
      <c r="G76" s="3112"/>
      <c r="H76" s="3115"/>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2260</v>
      </c>
      <c r="C77" s="200">
        <f>ROUND(IF(G77="个人住宅",0,IF(G77="2016年5月1日前购买",C75*D77,C75*D77/(1+'数据-取费表'!C42))),0)</f>
        <v>0</v>
      </c>
      <c r="D77" s="223">
        <f>'数据-取费表'!B48+'数据-取费表'!B49</f>
        <v>4.0500000000000001E-2</v>
      </c>
      <c r="E77" s="15" t="s">
        <v>2261</v>
      </c>
      <c r="F77" s="224"/>
      <c r="G77" s="2510" t="s">
        <v>2262</v>
      </c>
      <c r="H77" s="1805"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2263</v>
      </c>
      <c r="C78" s="225">
        <f ca="1">ROUND(D45*D78/(1+'数据-取费表'!C42),0)</f>
        <v>6</v>
      </c>
      <c r="D78" s="226">
        <f>'数据-取费表'!B43</f>
        <v>6.000000000000001E-3</v>
      </c>
      <c r="E78" s="3104" t="s">
        <v>2264</v>
      </c>
      <c r="F78" s="3105"/>
      <c r="G78" s="3105"/>
      <c r="H78" s="3106"/>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2265</v>
      </c>
      <c r="C79" s="207">
        <f ca="1">C72-C73</f>
        <v>956</v>
      </c>
      <c r="D79" s="200" t="s">
        <v>32</v>
      </c>
      <c r="E79" s="1800"/>
      <c r="F79" s="1794"/>
      <c r="G79" s="1794"/>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2266</v>
      </c>
      <c r="C80" s="227">
        <f ca="1">IF(C79&lt;=0,0,C79/C73)</f>
        <v>159.33333333333334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2267</v>
      </c>
      <c r="C81" s="228">
        <f ca="1">ROUND(IF(C79&lt;=0,0,IF(C80&gt;=200%,C79*60%-C73*35%,IF(C80&gt;=100%,C79*50%-C73*15%,IF(C80&gt;=50%,C79*40%-C73*5%,IF(C80&lt;50%,C79*30%,0))))),0)</f>
        <v>572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16" t="s">
        <v>2268</v>
      </c>
      <c r="B83" s="3117"/>
      <c r="C83" s="3117"/>
      <c r="D83" s="3117"/>
      <c r="E83" s="3117"/>
      <c r="F83" s="3117"/>
      <c r="G83" s="3117"/>
      <c r="H83" s="3117"/>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07" t="s">
        <v>2231</v>
      </c>
      <c r="B84" s="3108"/>
      <c r="C84" s="1801"/>
      <c r="D84" s="1801" t="s">
        <v>2232</v>
      </c>
      <c r="E84" s="213" t="s">
        <v>2233</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2251</v>
      </c>
      <c r="C85" s="207">
        <f ca="1">ROUND(D45/(1+'数据-取费表'!C42),0)</f>
        <v>962</v>
      </c>
      <c r="D85" s="200" t="s">
        <v>32</v>
      </c>
      <c r="E85" s="1800"/>
      <c r="F85" s="1794"/>
      <c r="G85" s="1794"/>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2252</v>
      </c>
      <c r="C86" s="207">
        <f ca="1">IF(H88="仅含出让金",C87+C90+C91+C92+C93+C94,C87+C91+C92+C93+C94)</f>
        <v>6</v>
      </c>
      <c r="D86" s="235"/>
      <c r="E86" s="1800"/>
      <c r="F86" s="1794"/>
      <c r="G86" s="1794"/>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2269</v>
      </c>
      <c r="C87" s="225">
        <f>C88+C89</f>
        <v>0</v>
      </c>
      <c r="D87" s="226"/>
      <c r="E87" s="1796"/>
      <c r="F87" s="1797"/>
      <c r="G87" s="1797"/>
      <c r="H87" s="1799"/>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2270</v>
      </c>
      <c r="C88" s="236"/>
      <c r="D88" s="226"/>
      <c r="E88" s="237" t="s">
        <v>2271</v>
      </c>
      <c r="F88" s="1797"/>
      <c r="G88" s="238" t="s">
        <v>2272</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2260</v>
      </c>
      <c r="C89" s="225">
        <f>ROUND(C88*D89,0)</f>
        <v>0</v>
      </c>
      <c r="D89" s="226">
        <f>'数据-取费表'!B48+'数据-取费表'!B49</f>
        <v>4.0500000000000001E-2</v>
      </c>
      <c r="E89" s="237" t="s">
        <v>2273</v>
      </c>
      <c r="F89" s="1797"/>
      <c r="G89" s="1797"/>
      <c r="H89" s="1799"/>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2274</v>
      </c>
      <c r="C90" s="236"/>
      <c r="D90" s="226"/>
      <c r="E90" s="237" t="str">
        <f>IF(H88="-","土地取得成本中已包含该笔费用"," ")</f>
        <v xml:space="preserve"> </v>
      </c>
      <c r="F90" s="1797"/>
      <c r="G90" s="1797"/>
      <c r="H90" s="1799"/>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2275</v>
      </c>
      <c r="B91" s="198" t="s">
        <v>2276</v>
      </c>
      <c r="C91" s="225">
        <f>IF(H91="——",成本法!C33,I91)</f>
        <v>0</v>
      </c>
      <c r="D91" s="226"/>
      <c r="E91" s="3104" t="s">
        <v>2277</v>
      </c>
      <c r="F91" s="3105"/>
      <c r="G91" s="3105"/>
      <c r="H91" s="2515" t="s">
        <v>2278</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2279</v>
      </c>
      <c r="B92" s="198" t="s">
        <v>2280</v>
      </c>
      <c r="C92" s="225">
        <f>ROUND((C87+C90+C91)*D92,0)</f>
        <v>0</v>
      </c>
      <c r="D92" s="226">
        <v>0.1</v>
      </c>
      <c r="E92" s="3104" t="s">
        <v>2281</v>
      </c>
      <c r="F92" s="3105"/>
      <c r="G92" s="3105"/>
      <c r="H92" s="3106"/>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2282</v>
      </c>
      <c r="B93" s="198" t="s">
        <v>2263</v>
      </c>
      <c r="C93" s="225">
        <f ca="1">ROUND(D45*D93/(1+'数据-取费表'!C42),0)</f>
        <v>6</v>
      </c>
      <c r="D93" s="226">
        <f>'数据-取费表'!B43</f>
        <v>6.000000000000001E-3</v>
      </c>
      <c r="E93" s="3104" t="s">
        <v>2264</v>
      </c>
      <c r="F93" s="3105"/>
      <c r="G93" s="3105"/>
      <c r="H93" s="3106"/>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2283</v>
      </c>
      <c r="B94" s="198" t="s">
        <v>2284</v>
      </c>
      <c r="C94" s="236">
        <f>ROUND((C87+C90+C91)*D94,0)</f>
        <v>0</v>
      </c>
      <c r="D94" s="226">
        <v>0.2</v>
      </c>
      <c r="E94" s="3152" t="s">
        <v>2285</v>
      </c>
      <c r="F94" s="3153"/>
      <c r="G94" s="3153"/>
      <c r="H94" s="3154"/>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2265</v>
      </c>
      <c r="C95" s="207">
        <f ca="1">ROUND(C85-C86,0)</f>
        <v>956</v>
      </c>
      <c r="D95" s="200" t="s">
        <v>32</v>
      </c>
      <c r="E95" s="1800"/>
      <c r="F95" s="1794"/>
      <c r="G95" s="1794"/>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2266</v>
      </c>
      <c r="C96" s="227">
        <f ca="1">IF(C95&lt;=0,0,C95/C86)</f>
        <v>159.33333333333334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2267</v>
      </c>
      <c r="C97" s="228">
        <f ca="1">ROUND(IF(C95&lt;=0,0,IF(C96&gt;=200%,C95*60%-C86*35%,IF(C96&gt;=100%,C95*50%-C86*15%,IF(C96&gt;=50%,C95*40%-C86*5%,IF(C96&lt;50%,C95*30%,0))))),0)</f>
        <v>572</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3"/>
      <c r="F98" s="2163"/>
      <c r="G98" s="2163"/>
      <c r="H98" s="2162"/>
      <c r="I98" s="138"/>
    </row>
    <row r="99" spans="1:35" ht="21.75" customHeight="1" thickBot="1">
      <c r="A99" s="2471" t="s">
        <v>2286</v>
      </c>
      <c r="B99" s="2415"/>
      <c r="C99" s="2415"/>
      <c r="D99" s="2415"/>
      <c r="E99" s="2163"/>
      <c r="F99" s="2163"/>
      <c r="G99" s="2163"/>
      <c r="H99" s="2162"/>
      <c r="I99" s="138"/>
    </row>
    <row r="100" spans="1:35" ht="18.75" customHeight="1">
      <c r="A100" s="3056" t="s">
        <v>2287</v>
      </c>
      <c r="B100" s="3057"/>
      <c r="C100" s="3057"/>
      <c r="D100" s="3088"/>
      <c r="E100" s="3057" t="s">
        <v>2288</v>
      </c>
      <c r="F100" s="3057"/>
      <c r="G100" s="3057"/>
      <c r="H100" s="3088"/>
      <c r="I100" s="138"/>
    </row>
    <row r="101" spans="1:35" ht="18.75" customHeight="1">
      <c r="A101" s="3096" t="s">
        <v>2289</v>
      </c>
      <c r="B101" s="3097"/>
      <c r="C101" s="736" t="str">
        <f>C4</f>
        <v>成本法</v>
      </c>
      <c r="D101" s="737" t="str">
        <f>D4</f>
        <v>收益法</v>
      </c>
      <c r="E101" s="3068" t="s">
        <v>2290</v>
      </c>
      <c r="F101" s="3069"/>
      <c r="G101" s="2517" t="s">
        <v>2291</v>
      </c>
      <c r="H101" s="1045">
        <f ca="1">H118</f>
        <v>1010</v>
      </c>
      <c r="I101" s="138"/>
    </row>
    <row r="102" spans="1:35" ht="18.75" customHeight="1">
      <c r="A102" s="3098" t="s">
        <v>2292</v>
      </c>
      <c r="B102" s="2517" t="s">
        <v>2291</v>
      </c>
      <c r="C102" s="736">
        <f ca="1">C19</f>
        <v>998</v>
      </c>
      <c r="D102" s="737">
        <f ca="1">D19</f>
        <v>1022</v>
      </c>
      <c r="E102" s="3068"/>
      <c r="F102" s="3069"/>
      <c r="G102" s="2517" t="s">
        <v>2293</v>
      </c>
      <c r="H102" s="371">
        <f ca="1">I118</f>
        <v>3965</v>
      </c>
      <c r="I102" s="138"/>
    </row>
    <row r="103" spans="1:35" ht="42.75" customHeight="1">
      <c r="A103" s="3098"/>
      <c r="B103" s="2517" t="s">
        <v>2293</v>
      </c>
      <c r="C103" s="738">
        <f ca="1">C20</f>
        <v>3918</v>
      </c>
      <c r="D103" s="739">
        <f ca="1">D20</f>
        <v>4218</v>
      </c>
      <c r="E103" s="3062" t="s">
        <v>2294</v>
      </c>
      <c r="F103" s="3063"/>
      <c r="G103" s="2518" t="s">
        <v>2295</v>
      </c>
      <c r="H103" s="1045">
        <f>IF(D36="正常操作",H104+H105+H106,H105+H106)</f>
        <v>0</v>
      </c>
      <c r="I103" s="138"/>
    </row>
    <row r="104" spans="1:35" ht="18.75" customHeight="1">
      <c r="A104" s="3098" t="s">
        <v>2296</v>
      </c>
      <c r="B104" s="2519" t="s">
        <v>2291</v>
      </c>
      <c r="C104" s="740">
        <f ca="1">H118</f>
        <v>1010</v>
      </c>
      <c r="D104" s="741"/>
      <c r="E104" s="2264" t="s">
        <v>2297</v>
      </c>
      <c r="F104" s="2255"/>
      <c r="G104" s="2518" t="s">
        <v>2295</v>
      </c>
      <c r="H104" s="1046">
        <f>IF(D36="同一抵押权人同一抵押物续贷",C36&amp;"（未扣减，详见特别提示）",C36)</f>
        <v>0</v>
      </c>
      <c r="I104" s="138"/>
    </row>
    <row r="105" spans="1:35" ht="18.75" customHeight="1" thickBot="1">
      <c r="A105" s="3110"/>
      <c r="B105" s="2520" t="s">
        <v>2293</v>
      </c>
      <c r="C105" s="742">
        <f ca="1">I118</f>
        <v>3965</v>
      </c>
      <c r="D105" s="743"/>
      <c r="E105" s="2264" t="s">
        <v>2298</v>
      </c>
      <c r="F105" s="2255"/>
      <c r="G105" s="2518" t="s">
        <v>2295</v>
      </c>
      <c r="H105" s="1046">
        <f>C37</f>
        <v>0</v>
      </c>
      <c r="I105" s="138"/>
    </row>
    <row r="106" spans="1:35" ht="18.75" customHeight="1">
      <c r="A106" s="2415" t="s">
        <v>2299</v>
      </c>
      <c r="B106" s="2415"/>
      <c r="C106" s="2415"/>
      <c r="D106" s="2415"/>
      <c r="E106" s="2521" t="s">
        <v>2300</v>
      </c>
      <c r="F106" s="2255"/>
      <c r="G106" s="2518" t="s">
        <v>2295</v>
      </c>
      <c r="H106" s="1046">
        <f>C38</f>
        <v>0</v>
      </c>
      <c r="I106" s="138"/>
    </row>
    <row r="107" spans="1:35" ht="18.75" customHeight="1">
      <c r="A107" s="138"/>
      <c r="B107" s="138"/>
      <c r="C107" s="138"/>
      <c r="D107" s="138"/>
      <c r="E107" s="3099" t="str">
        <f>IF(项目基本情况!E8="已注销","——","3.房地产抵押价值")</f>
        <v>3.房地产抵押价值</v>
      </c>
      <c r="F107" s="3069"/>
      <c r="G107" s="2517" t="s">
        <v>2291</v>
      </c>
      <c r="H107" s="1045">
        <f ca="1">IF(E107="——","——",H101-H103)</f>
        <v>1010</v>
      </c>
      <c r="I107" s="138"/>
    </row>
    <row r="108" spans="1:35" ht="18.75" customHeight="1">
      <c r="A108" s="138"/>
      <c r="B108" s="138"/>
      <c r="C108" s="138"/>
      <c r="D108" s="138"/>
      <c r="E108" s="3099"/>
      <c r="F108" s="3069"/>
      <c r="G108" s="2517" t="s">
        <v>2293</v>
      </c>
      <c r="H108" s="371">
        <f ca="1">ROUND(H107*10000/'数据-汇总表'!E3,0)</f>
        <v>3965</v>
      </c>
      <c r="I108" s="138"/>
    </row>
    <row r="109" spans="1:35" ht="18.75" customHeight="1">
      <c r="A109" s="138"/>
      <c r="B109" s="138"/>
      <c r="C109" s="138"/>
      <c r="D109" s="138"/>
      <c r="E109" s="3099" t="str">
        <f>IF(项目基本情况!E8="已注销及未注销","4.抵押担保权已注销时的房地产抵押价值",IF(项目基本情况!E8="已注销","3.抵押担保权已注销时的房地产抵押价值","——"))</f>
        <v>——</v>
      </c>
      <c r="F109" s="3069"/>
      <c r="G109" s="2517" t="s">
        <v>2291</v>
      </c>
      <c r="H109" s="348" t="str">
        <f>IF(E109="——","——",H101-H105-H106)</f>
        <v>——</v>
      </c>
      <c r="I109" s="138"/>
    </row>
    <row r="110" spans="1:35" ht="18.75" customHeight="1">
      <c r="A110" s="138"/>
      <c r="B110" s="138"/>
      <c r="C110" s="138"/>
      <c r="D110" s="138"/>
      <c r="E110" s="3099"/>
      <c r="F110" s="3069"/>
      <c r="G110" s="2517" t="s">
        <v>2293</v>
      </c>
      <c r="H110" s="371" t="str">
        <f>IF(H109="——","——",ROUND(H109*10000/'数据-汇总表'!E3,0))</f>
        <v>——</v>
      </c>
      <c r="I110" s="138"/>
    </row>
    <row r="111" spans="1:35" ht="18.75" customHeight="1">
      <c r="A111" s="138"/>
      <c r="B111" s="138"/>
      <c r="C111" s="138"/>
      <c r="D111" s="138"/>
      <c r="E111" s="3100" t="str">
        <f>IF(项目基本情况!E9="抵押净值",IF(OR(项目基本情况!E8="已注销",项目基本情况!E8="房地产抵押价值"),"4.抵押净值","5.抵押净值"),"——")</f>
        <v>——</v>
      </c>
      <c r="F111" s="3101"/>
      <c r="G111" s="2517" t="s">
        <v>2291</v>
      </c>
      <c r="H111" s="1045" t="str">
        <f>IF(E111="——","——",N59)</f>
        <v>——</v>
      </c>
      <c r="I111" s="138"/>
    </row>
    <row r="112" spans="1:35" ht="18.75" customHeight="1" thickBot="1">
      <c r="A112" s="138"/>
      <c r="B112" s="138"/>
      <c r="C112" s="138"/>
      <c r="D112" s="138"/>
      <c r="E112" s="3102"/>
      <c r="F112" s="3103"/>
      <c r="G112" s="2522" t="s">
        <v>2293</v>
      </c>
      <c r="H112" s="790" t="str">
        <f>IF(E111="——","——",N61)</f>
        <v>——</v>
      </c>
      <c r="I112" s="138"/>
    </row>
    <row r="113" spans="1:11" ht="18.75" customHeight="1">
      <c r="A113" s="138"/>
      <c r="B113" s="138"/>
      <c r="C113" s="138"/>
      <c r="D113" s="138"/>
      <c r="E113" s="3111" t="s">
        <v>2299</v>
      </c>
      <c r="F113" s="3111"/>
      <c r="G113" s="3111"/>
      <c r="H113" s="3111"/>
      <c r="I113" s="138"/>
    </row>
    <row r="114" spans="1:11" ht="3.75" customHeight="1">
      <c r="A114" s="2415"/>
      <c r="B114" s="2415"/>
      <c r="C114" s="2415"/>
      <c r="D114" s="2415"/>
      <c r="E114" s="2493"/>
      <c r="F114" s="2493"/>
      <c r="G114" s="2493"/>
      <c r="H114" s="2493"/>
      <c r="I114" s="2415"/>
    </row>
    <row r="115" spans="1:11" ht="18.75" customHeight="1">
      <c r="A115" s="3124" t="s">
        <v>2301</v>
      </c>
      <c r="B115" s="3125"/>
      <c r="C115" s="3125"/>
      <c r="D115" s="3125"/>
      <c r="E115" s="3125"/>
      <c r="F115" s="3125"/>
      <c r="G115" s="3125"/>
      <c r="H115" s="3125"/>
      <c r="I115" s="3126"/>
    </row>
    <row r="116" spans="1:11" ht="27" customHeight="1">
      <c r="A116" s="3035" t="s">
        <v>2302</v>
      </c>
      <c r="B116" s="3078" t="s">
        <v>3123</v>
      </c>
      <c r="C116" s="3078" t="s">
        <v>3122</v>
      </c>
      <c r="D116" s="3084" t="s">
        <v>2303</v>
      </c>
      <c r="E116" s="3085"/>
      <c r="F116" s="3120" t="s">
        <v>3121</v>
      </c>
      <c r="G116" s="3120"/>
      <c r="H116" s="3035" t="s">
        <v>2304</v>
      </c>
      <c r="I116" s="3035"/>
    </row>
    <row r="117" spans="1:11" ht="18.75" customHeight="1">
      <c r="A117" s="3035"/>
      <c r="B117" s="3079"/>
      <c r="C117" s="3079"/>
      <c r="D117" s="1795" t="s">
        <v>2305</v>
      </c>
      <c r="E117" s="1795" t="s">
        <v>2306</v>
      </c>
      <c r="F117" s="1795" t="s">
        <v>2305</v>
      </c>
      <c r="G117" s="1795" t="s">
        <v>2307</v>
      </c>
      <c r="H117" s="1795" t="s">
        <v>2305</v>
      </c>
      <c r="I117" s="1795" t="s">
        <v>2307</v>
      </c>
    </row>
    <row r="118" spans="1:11" ht="24.75" customHeight="1">
      <c r="A118" s="2523" t="str">
        <f>项目基本情况!S2</f>
        <v>河北省廊坊市开发区全兴路西工业用房房地产</v>
      </c>
      <c r="B118" s="1795">
        <f>M18</f>
        <v>2547.4699999999998</v>
      </c>
      <c r="C118" s="1795">
        <f>M19</f>
        <v>6139</v>
      </c>
      <c r="D118" s="1795">
        <f ca="1">ROUND(IF(D32="总价",C34,E118*B118/10000),0)</f>
        <v>434</v>
      </c>
      <c r="E118" s="1795">
        <f ca="1">ROUND(IF(C33="自定义",IF(D32="楼面单价",C34,D118*10000/B118),I118-G118),0)</f>
        <v>1704</v>
      </c>
      <c r="F118" s="1795">
        <f ca="1">ROUND(IF(D32="总价",C35,G118*B118/10000),0)</f>
        <v>576</v>
      </c>
      <c r="G118" s="1795">
        <f ca="1">ROUND(IF(D32="楼面单价",C35,F118*10000/B118),0)</f>
        <v>2261</v>
      </c>
      <c r="H118" s="1795">
        <f ca="1">ROUND(IF(D32="总价",C32,I118*B118/10000),0)</f>
        <v>1010</v>
      </c>
      <c r="I118" s="1795">
        <f ca="1">ROUND(IF(D32="楼面单价",C32,H118*10000/B118),0)</f>
        <v>3965</v>
      </c>
    </row>
    <row r="119" spans="1:11" ht="18.75" customHeight="1">
      <c r="A119" s="3035" t="s">
        <v>2308</v>
      </c>
      <c r="B119" s="3035"/>
      <c r="C119" s="3035"/>
      <c r="D119" s="3080" t="str">
        <f ca="1">NUMBERSTRING(INT(D118*10000),2)&amp;"元整"</f>
        <v>肆佰叁拾肆万元整</v>
      </c>
      <c r="E119" s="3081"/>
      <c r="F119" s="3080" t="str">
        <f ca="1">NUMBERSTRING(INT(F118*10000),2)&amp;"元整"</f>
        <v>伍佰柒拾陆万元整</v>
      </c>
      <c r="G119" s="3081"/>
      <c r="H119" s="3080" t="str">
        <f ca="1">NUMBERSTRING(INT(H118*10000),2)&amp;"元整"</f>
        <v>壹仟零壹拾万元整</v>
      </c>
      <c r="I119" s="3081"/>
    </row>
    <row r="120" spans="1:11" ht="18.75" customHeight="1">
      <c r="A120" s="3075" t="str">
        <f>IF(项目基本情况!B9="房地产市场价值","",MID(E103,3,LEN(E103)-2))</f>
        <v>估价师知悉的法定优先受偿款</v>
      </c>
      <c r="B120" s="3076"/>
      <c r="C120" s="3077"/>
      <c r="D120" s="3075">
        <f>H103</f>
        <v>0</v>
      </c>
      <c r="E120" s="3076"/>
      <c r="F120" s="3076"/>
      <c r="G120" s="3076"/>
      <c r="H120" s="3076"/>
      <c r="I120" s="3077"/>
      <c r="K120" s="2420" t="str">
        <f>IF(D120=0,"故，本次评估不存在"&amp;A120,"故，本次评估"&amp;A120&amp;"为人民币"&amp;D120&amp;"万元整。")</f>
        <v>故，本次评估不存在估价师知悉的法定优先受偿款</v>
      </c>
    </row>
    <row r="121" spans="1:11" ht="18.75" customHeight="1">
      <c r="A121" s="3121" t="s">
        <v>2308</v>
      </c>
      <c r="B121" s="3122"/>
      <c r="C121" s="3123"/>
      <c r="D121" s="3080" t="str">
        <f>IF(D120=0,"零元整",NUMBERSTRING(INT(D120*10000),2)&amp;"元整")</f>
        <v>零元整</v>
      </c>
      <c r="E121" s="3082"/>
      <c r="F121" s="3082"/>
      <c r="G121" s="3082"/>
      <c r="H121" s="3082"/>
      <c r="I121" s="3081"/>
    </row>
    <row r="122" spans="1:11" ht="18.75" customHeight="1">
      <c r="A122" s="3086" t="str">
        <f>IF(项目基本情况!B9="房地产市场价值","",MID(E107,3,LEN(E107)-2))</f>
        <v>房地产抵押价值</v>
      </c>
      <c r="B122" s="3086"/>
      <c r="C122" s="3086"/>
      <c r="D122" s="3075">
        <f ca="1">H107</f>
        <v>1010</v>
      </c>
      <c r="E122" s="3076"/>
      <c r="F122" s="3076"/>
      <c r="G122" s="3076"/>
      <c r="H122" s="3076"/>
      <c r="I122" s="3077"/>
    </row>
    <row r="123" spans="1:11" ht="18.75" customHeight="1">
      <c r="A123" s="3035" t="s">
        <v>2308</v>
      </c>
      <c r="B123" s="3035"/>
      <c r="C123" s="3035"/>
      <c r="D123" s="3080" t="str">
        <f ca="1">NUMBERSTRING(INT(D122*10000),2)&amp;"元整"</f>
        <v>壹仟零壹拾万元整</v>
      </c>
      <c r="E123" s="3082"/>
      <c r="F123" s="3082"/>
      <c r="G123" s="3082"/>
      <c r="H123" s="3082"/>
      <c r="I123" s="3081"/>
    </row>
    <row r="124" spans="1:11" ht="18.75" customHeight="1">
      <c r="A124" s="3086" t="str">
        <f>IF(项目基本情况!B9="房地产市场价值","",MID(E109,3,LEN(E109)-2))</f>
        <v/>
      </c>
      <c r="B124" s="3086"/>
      <c r="C124" s="3086"/>
      <c r="D124" s="3075" t="str">
        <f>H109</f>
        <v>——</v>
      </c>
      <c r="E124" s="3076"/>
      <c r="F124" s="3076"/>
      <c r="G124" s="3076"/>
      <c r="H124" s="3076"/>
      <c r="I124" s="3077"/>
    </row>
    <row r="125" spans="1:11" ht="18.75" customHeight="1">
      <c r="A125" s="3035" t="s">
        <v>2308</v>
      </c>
      <c r="B125" s="3035"/>
      <c r="C125" s="3035"/>
      <c r="D125" s="3080" t="e">
        <f>NUMBERSTRING(INT(D124*10000),2)&amp;"元整"</f>
        <v>#VALUE!</v>
      </c>
      <c r="E125" s="3082"/>
      <c r="F125" s="3082"/>
      <c r="G125" s="3082"/>
      <c r="H125" s="3082"/>
      <c r="I125" s="3081"/>
    </row>
    <row r="126" spans="1:11" ht="18.75" customHeight="1">
      <c r="A126" s="3086" t="str">
        <f>IF(项目基本情况!B9="房地产市场价值","",MID(E111,3,LEN(E111)-2))</f>
        <v/>
      </c>
      <c r="B126" s="3086"/>
      <c r="C126" s="3086"/>
      <c r="D126" s="3075" t="str">
        <f>H111</f>
        <v>——</v>
      </c>
      <c r="E126" s="3076"/>
      <c r="F126" s="3076"/>
      <c r="G126" s="3076"/>
      <c r="H126" s="3076"/>
      <c r="I126" s="3077"/>
    </row>
    <row r="127" spans="1:11" ht="18.75" customHeight="1">
      <c r="A127" s="3035" t="s">
        <v>2308</v>
      </c>
      <c r="B127" s="3035"/>
      <c r="C127" s="3035"/>
      <c r="D127" s="3080" t="e">
        <f>NUMBERSTRING(INT(D126*10000),2)&amp;"元整"</f>
        <v>#VALUE!</v>
      </c>
      <c r="E127" s="3082"/>
      <c r="F127" s="3082"/>
      <c r="G127" s="3082"/>
      <c r="H127" s="3082"/>
      <c r="I127" s="3081"/>
    </row>
    <row r="128" spans="1:11" ht="21.75" customHeight="1">
      <c r="A128" s="3083" t="s">
        <v>2309</v>
      </c>
      <c r="B128" s="3083"/>
      <c r="C128" s="3083"/>
      <c r="D128" s="3083"/>
      <c r="E128" s="3083"/>
      <c r="F128" s="3083"/>
      <c r="G128" s="3083"/>
      <c r="H128" s="3083"/>
      <c r="I128" s="3083"/>
    </row>
    <row r="129" spans="1:35" ht="21.75" customHeight="1">
      <c r="A129" s="2524" t="s">
        <v>2310</v>
      </c>
      <c r="B129" s="2525"/>
      <c r="C129" s="2526" t="s">
        <v>2311</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2312</v>
      </c>
      <c r="G135" s="2541"/>
      <c r="H135" s="2541"/>
      <c r="I135" s="2542" t="s">
        <v>2313</v>
      </c>
    </row>
    <row r="136" spans="1:35" ht="21.75" customHeight="1">
      <c r="A136" s="795"/>
      <c r="B136" s="2543"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2315</v>
      </c>
    </row>
    <row r="139" spans="1:35" ht="21.75" customHeight="1">
      <c r="A139" s="795"/>
      <c r="B139" s="2543" t="s">
        <v>2316</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2315</v>
      </c>
    </row>
    <row r="142" spans="1:35" ht="21.75" customHeight="1">
      <c r="A142" s="795"/>
      <c r="B142" s="2543"/>
      <c r="C142" s="2544"/>
      <c r="D142" s="2545"/>
      <c r="E142" s="2545"/>
      <c r="F142" s="2338"/>
      <c r="G142" s="795"/>
      <c r="H142" s="795"/>
      <c r="I142" s="795"/>
    </row>
    <row r="143" spans="1:35" s="139" customFormat="1" ht="21.75" customHeight="1">
      <c r="A143" s="795"/>
      <c r="B143" s="2543"/>
      <c r="C143" s="2544"/>
      <c r="D143" s="2545"/>
      <c r="E143" s="2545"/>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topLeftCell="A19"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36"/>
      <c r="C1" s="242"/>
      <c r="D1" s="242"/>
      <c r="E1" s="242"/>
      <c r="F1" s="242"/>
      <c r="G1" s="1379">
        <f>MATCH(B1,'数据-取费表'!A6:A16,0)+5</f>
        <v>7</v>
      </c>
    </row>
    <row r="2" spans="1:9" s="244" customFormat="1" ht="18" customHeight="1">
      <c r="A2" s="245" t="s">
        <v>2318</v>
      </c>
      <c r="B2" s="246">
        <f ca="1">IF(D2="——",C52,C52-E2)</f>
        <v>998</v>
      </c>
      <c r="C2" s="243" t="s">
        <v>2319</v>
      </c>
      <c r="D2" s="2546" t="s">
        <v>70</v>
      </c>
      <c r="E2" s="1440" t="e">
        <f ca="1">SUMIF(INDIRECT("'"&amp;G2&amp;"'"&amp;"!A:A"),"承租人权益价值",INDIRECT("'"&amp;G2&amp;"'"&amp;"!c:c"))</f>
        <v>#REF!</v>
      </c>
      <c r="F2" s="2547" t="s">
        <v>2319</v>
      </c>
      <c r="G2" s="2548"/>
    </row>
    <row r="3" spans="1:9" s="244" customFormat="1" ht="18" customHeight="1" thickBot="1">
      <c r="A3" s="247" t="s">
        <v>2320</v>
      </c>
      <c r="B3" s="248">
        <f ca="1">ROUND(B2*10000/(IF(B1="",'数据-汇总表'!E3,INDIRECT("'数据-取费表'!k"&amp;$G$1))),0)</f>
        <v>3918</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C6+C7+C8</f>
        <v>364</v>
      </c>
      <c r="D5" s="255" t="s">
        <v>2325</v>
      </c>
      <c r="E5" s="256" t="s">
        <v>2326</v>
      </c>
      <c r="F5" s="256" t="s">
        <v>2327</v>
      </c>
      <c r="G5" s="257"/>
    </row>
    <row r="6" spans="1:9" s="258" customFormat="1" ht="13.5" customHeight="1">
      <c r="A6" s="949" t="s">
        <v>2328</v>
      </c>
      <c r="B6" s="259" t="s">
        <v>2329</v>
      </c>
      <c r="C6" s="260">
        <f>'土地比较法-工业'!B2</f>
        <v>344</v>
      </c>
      <c r="D6" s="261"/>
      <c r="E6" s="262"/>
      <c r="F6" s="262"/>
      <c r="G6" s="263"/>
    </row>
    <row r="7" spans="1:9" s="258" customFormat="1" ht="13.5" customHeight="1">
      <c r="A7" s="949" t="s">
        <v>2330</v>
      </c>
      <c r="B7" s="259" t="s">
        <v>2331</v>
      </c>
      <c r="C7" s="264">
        <f>ROUND(C6*F7,0)</f>
        <v>14</v>
      </c>
      <c r="D7" s="264"/>
      <c r="E7" s="262"/>
      <c r="F7" s="265">
        <f>IF(项目基本情况!B8="出让",0,'数据-取费表'!B48+'数据-取费表'!B49)</f>
        <v>4.0500000000000001E-2</v>
      </c>
      <c r="G7" s="263"/>
    </row>
    <row r="8" spans="1:9" s="267" customFormat="1">
      <c r="A8" s="949" t="s">
        <v>2332</v>
      </c>
      <c r="B8" s="259" t="s">
        <v>2333</v>
      </c>
      <c r="C8" s="269">
        <f>IF(G8="已包含在土地购买价格中","0",IF(B1="",'数据-取费表'!B29,IF(G9="全部缴纳",C9+C10,H9)))</f>
        <v>6</v>
      </c>
      <c r="D8" s="266"/>
      <c r="E8" s="264"/>
      <c r="F8" s="265"/>
      <c r="G8" s="2549" t="s">
        <v>3124</v>
      </c>
    </row>
    <row r="9" spans="1:9" s="258" customFormat="1" ht="13.5" customHeight="1">
      <c r="A9" s="950" t="s">
        <v>800</v>
      </c>
      <c r="B9" s="268" t="s">
        <v>2334</v>
      </c>
      <c r="C9" s="269">
        <f ca="1">ROUND(D9*E9/10000,0)</f>
        <v>0</v>
      </c>
      <c r="D9" s="1032">
        <f ca="1">IF(B1="",'数据-汇总表'!E5,IF(INDIRECT("'数据-取费表'!c"&amp;$G$1)="住宅",INDIRECT("'数据-取费表'!k"&amp;$G$1),0))</f>
        <v>0</v>
      </c>
      <c r="E9" s="269">
        <f>'数据-取费表'!B27</f>
        <v>0</v>
      </c>
      <c r="F9" s="265"/>
      <c r="G9" s="2550"/>
      <c r="H9" s="1390"/>
      <c r="I9" s="2551" t="s">
        <v>2335</v>
      </c>
    </row>
    <row r="10" spans="1:9" s="258" customFormat="1" ht="13.5" customHeight="1">
      <c r="A10" s="950" t="s">
        <v>801</v>
      </c>
      <c r="B10" s="268" t="s">
        <v>2336</v>
      </c>
      <c r="C10" s="269">
        <f ca="1">ROUND(D10*E10/10000,0)</f>
        <v>6</v>
      </c>
      <c r="D10" s="1032">
        <f ca="1">IF(B1="",'数据-汇总表'!E6,IF(INDIRECT("'数据-取费表'!c"&amp;$G$1)="住宅",INDIRECT("'数据-取费表'!s"&amp;$G$1),INDIRECT("'数据-取费表'!k"&amp;$G$1)+INDIRECT("'数据-取费表'!s"&amp;$G$1)))</f>
        <v>2547.4699999999998</v>
      </c>
      <c r="E10" s="269">
        <f>'数据-取费表'!B28</f>
        <v>21.6</v>
      </c>
      <c r="F10" s="265"/>
      <c r="G10" s="270"/>
    </row>
    <row r="11" spans="1:9" s="258" customFormat="1" ht="13.5" hidden="1" customHeight="1">
      <c r="A11" s="271" t="s">
        <v>7</v>
      </c>
      <c r="B11" s="259" t="s">
        <v>2337</v>
      </c>
      <c r="C11" s="255"/>
      <c r="D11" s="1034"/>
      <c r="E11" s="262"/>
      <c r="F11" s="262"/>
      <c r="G11" s="263"/>
    </row>
    <row r="12" spans="1:9" s="258" customFormat="1" ht="13.5" hidden="1" customHeight="1">
      <c r="A12" s="271" t="s">
        <v>8</v>
      </c>
      <c r="B12" s="259" t="s">
        <v>2338</v>
      </c>
      <c r="C12" s="255">
        <v>0</v>
      </c>
      <c r="D12" s="1034"/>
      <c r="E12" s="272"/>
      <c r="F12" s="265">
        <v>3.0499999999999999E-2</v>
      </c>
      <c r="G12" s="263"/>
    </row>
    <row r="13" spans="1:9" s="258" customFormat="1" ht="13.5" hidden="1" customHeight="1">
      <c r="A13" s="271" t="s">
        <v>9</v>
      </c>
      <c r="B13" s="259" t="s">
        <v>2339</v>
      </c>
      <c r="C13" s="255"/>
      <c r="D13" s="1034"/>
      <c r="E13" s="262"/>
      <c r="F13" s="262"/>
      <c r="G13" s="263"/>
    </row>
    <row r="14" spans="1:9" s="258" customFormat="1" ht="13.5" hidden="1" customHeight="1">
      <c r="A14" s="271" t="s">
        <v>10</v>
      </c>
      <c r="B14" s="259" t="s">
        <v>2340</v>
      </c>
      <c r="C14" s="255"/>
      <c r="D14" s="1034"/>
      <c r="E14" s="262"/>
      <c r="F14" s="262"/>
      <c r="G14" s="263" t="s">
        <v>2341</v>
      </c>
    </row>
    <row r="15" spans="1:9" s="258" customFormat="1" ht="13.5" hidden="1" customHeight="1">
      <c r="A15" s="271" t="s">
        <v>11</v>
      </c>
      <c r="B15" s="259" t="s">
        <v>2342</v>
      </c>
      <c r="C15" s="264"/>
      <c r="D15" s="1034"/>
      <c r="E15" s="262"/>
      <c r="F15" s="262"/>
      <c r="G15" s="263" t="s">
        <v>2343</v>
      </c>
    </row>
    <row r="16" spans="1:9" s="258" customFormat="1" ht="13.5" hidden="1" customHeight="1">
      <c r="A16" s="271" t="s">
        <v>12</v>
      </c>
      <c r="B16" s="259" t="s">
        <v>2340</v>
      </c>
      <c r="C16" s="264"/>
      <c r="D16" s="1034"/>
      <c r="E16" s="262"/>
      <c r="F16" s="262"/>
      <c r="G16" s="263"/>
    </row>
    <row r="17" spans="1:7" s="258" customFormat="1" ht="13.5" hidden="1" customHeight="1">
      <c r="A17" s="271" t="s">
        <v>13</v>
      </c>
      <c r="B17" s="259" t="s">
        <v>2344</v>
      </c>
      <c r="C17" s="273"/>
      <c r="D17" s="1035"/>
      <c r="E17" s="273"/>
      <c r="F17" s="273"/>
      <c r="G17" s="263" t="s">
        <v>2343</v>
      </c>
    </row>
    <row r="18" spans="1:7" s="258" customFormat="1" ht="13.5" hidden="1" customHeight="1">
      <c r="A18" s="271" t="s">
        <v>14</v>
      </c>
      <c r="B18" s="259" t="s">
        <v>2345</v>
      </c>
      <c r="C18" s="264">
        <v>0</v>
      </c>
      <c r="D18" s="1034"/>
      <c r="E18" s="262"/>
      <c r="F18" s="265">
        <v>3.0499999999999999E-2</v>
      </c>
      <c r="G18" s="263" t="s">
        <v>2346</v>
      </c>
    </row>
    <row r="19" spans="1:7" s="267" customFormat="1" ht="13.5" customHeight="1">
      <c r="A19" s="299" t="s">
        <v>2347</v>
      </c>
      <c r="B19" s="254" t="s">
        <v>2348</v>
      </c>
      <c r="C19" s="255" t="str">
        <f>IF(G19="已包含在土地取得成本中","0",ROUND(D19*E19/10000,0))</f>
        <v>0</v>
      </c>
      <c r="D19" s="1036">
        <f ca="1">D9+D10</f>
        <v>2547.4699999999998</v>
      </c>
      <c r="E19" s="255">
        <f>'数据-取费表'!B31</f>
        <v>200</v>
      </c>
      <c r="F19" s="275"/>
      <c r="G19" s="2549" t="s">
        <v>3114</v>
      </c>
    </row>
    <row r="20" spans="1:7" s="258" customFormat="1" ht="13.5" customHeight="1">
      <c r="A20" s="299" t="s">
        <v>2349</v>
      </c>
      <c r="B20" s="254" t="s">
        <v>2350</v>
      </c>
      <c r="C20" s="276">
        <f>ROUND((C5+C19)*F20,0)</f>
        <v>4</v>
      </c>
      <c r="D20" s="276"/>
      <c r="E20" s="276"/>
      <c r="F20" s="277">
        <f>'数据-取费表'!B37</f>
        <v>0.01</v>
      </c>
      <c r="G20" s="278" t="s">
        <v>2351</v>
      </c>
    </row>
    <row r="21" spans="1:7" s="258" customFormat="1" ht="13.5" customHeight="1">
      <c r="A21" s="299" t="s">
        <v>2352</v>
      </c>
      <c r="B21" s="254" t="s">
        <v>2353</v>
      </c>
      <c r="C21" s="279">
        <f>F21</f>
        <v>0.01</v>
      </c>
      <c r="D21" s="280" t="s">
        <v>2354</v>
      </c>
      <c r="E21" s="276"/>
      <c r="F21" s="277">
        <f>'数据-取费表'!B38</f>
        <v>0.01</v>
      </c>
      <c r="G21" s="278" t="s">
        <v>2355</v>
      </c>
    </row>
    <row r="22" spans="1:7" s="258" customFormat="1" ht="13.5" customHeight="1">
      <c r="A22" s="299" t="s">
        <v>2356</v>
      </c>
      <c r="B22" s="254" t="s">
        <v>2357</v>
      </c>
      <c r="C22" s="1354">
        <f ca="1">ROUND(SUM(C23:C25),0)</f>
        <v>16</v>
      </c>
      <c r="D22" s="279">
        <f ca="1">C26</f>
        <v>2.0000000000000001E-4</v>
      </c>
      <c r="E22" s="280" t="s">
        <v>2354</v>
      </c>
      <c r="F22" s="281">
        <f ca="1">'数据-取费表'!B40</f>
        <v>4.3499999999999997E-2</v>
      </c>
      <c r="G22" s="278" t="str">
        <f>IF('数据-取费表'!B22&lt;=1,"单利计息","复利计息")</f>
        <v>单利计息</v>
      </c>
    </row>
    <row r="23" spans="1:7" s="258" customFormat="1" ht="13.5" customHeight="1">
      <c r="A23" s="951" t="s">
        <v>2358</v>
      </c>
      <c r="B23" s="259" t="s">
        <v>2359</v>
      </c>
      <c r="C23" s="1355">
        <f ca="1">ROUND(IF('数据-取费表'!B22&lt;=1,C5*F22*'数据-取费表'!B23,C5*(POWER((1+F22),'数据-取费表'!B23)-1)),0)</f>
        <v>16</v>
      </c>
      <c r="D23" s="282"/>
      <c r="E23" s="282"/>
      <c r="F23" s="283"/>
      <c r="G23" s="284" t="s">
        <v>2360</v>
      </c>
    </row>
    <row r="24" spans="1:7" s="258" customFormat="1" ht="13.5" customHeight="1">
      <c r="A24" s="951" t="s">
        <v>2361</v>
      </c>
      <c r="B24" s="259" t="s">
        <v>2362</v>
      </c>
      <c r="C24" s="1355">
        <f ca="1">ROUND(IF('数据-取费表'!B22&lt;=1,C19*F22*('数据-取费表'!B19/2+'数据-取费表'!B21),C19*(POWER((1+F22),('数据-取费表'!B19/2+'数据-取费表'!B21))-1)),0)</f>
        <v>0</v>
      </c>
      <c r="D24" s="282"/>
      <c r="E24" s="282"/>
      <c r="F24" s="283"/>
      <c r="G24" s="284" t="s">
        <v>2363</v>
      </c>
    </row>
    <row r="25" spans="1:7" s="258" customFormat="1" ht="24">
      <c r="A25" s="951" t="s">
        <v>2364</v>
      </c>
      <c r="B25" s="259" t="s">
        <v>2365</v>
      </c>
      <c r="C25" s="1355">
        <f ca="1">ROUND(IF('数据-取费表'!B22&lt;=1,C20*F22*'数据-取费表'!B23/2,C20*(POWER((1+F22),'数据-取费表'!B23/2)-1)),0)</f>
        <v>0</v>
      </c>
      <c r="D25" s="282"/>
      <c r="E25" s="285"/>
      <c r="F25" s="283"/>
      <c r="G25" s="286" t="s">
        <v>2366</v>
      </c>
    </row>
    <row r="26" spans="1:7" s="258" customFormat="1">
      <c r="A26" s="951" t="s">
        <v>795</v>
      </c>
      <c r="B26" s="259" t="s">
        <v>2367</v>
      </c>
      <c r="C26" s="282">
        <f ca="1">ROUND(IF('数据-取费表'!B22&lt;=1,F21*F22*'数据-取费表'!B23/2,F21*(POWER((1+F22),'数据-取费表'!B23/2)-1)),4)</f>
        <v>2.0000000000000001E-4</v>
      </c>
      <c r="D26" s="282"/>
      <c r="E26" s="285"/>
      <c r="F26" s="283"/>
      <c r="G26" s="287"/>
    </row>
    <row r="27" spans="1:7" s="258" customFormat="1" ht="24.75">
      <c r="A27" s="299" t="s">
        <v>2368</v>
      </c>
      <c r="B27" s="288" t="s">
        <v>2369</v>
      </c>
      <c r="C27" s="289">
        <f ca="1">C28</f>
        <v>18</v>
      </c>
      <c r="D27" s="279">
        <f ca="1">C29</f>
        <v>5.0000000000000001E-4</v>
      </c>
      <c r="E27" s="280" t="s">
        <v>2370</v>
      </c>
      <c r="F27" s="290">
        <f ca="1">IF(B1="",'数据-取费表'!Q16,INDIRECT("'数据-取费表'!q"&amp;$G$1))</f>
        <v>0.05</v>
      </c>
      <c r="G27" s="291" t="s">
        <v>2371</v>
      </c>
    </row>
    <row r="28" spans="1:7" s="258" customFormat="1" ht="13.5" customHeight="1">
      <c r="A28" s="951" t="s">
        <v>791</v>
      </c>
      <c r="B28" s="292" t="s">
        <v>2372</v>
      </c>
      <c r="C28" s="293">
        <f ca="1">ROUND((C5+C19+C20)*F27*'数据-取费表'!B21/'数据-取费表'!B20,0)</f>
        <v>18</v>
      </c>
      <c r="D28" s="279"/>
      <c r="E28" s="280"/>
      <c r="F28" s="290"/>
      <c r="G28" s="291"/>
    </row>
    <row r="29" spans="1:7" s="258" customFormat="1" ht="13.5" customHeight="1">
      <c r="A29" s="951" t="s">
        <v>792</v>
      </c>
      <c r="B29" s="292" t="s">
        <v>2373</v>
      </c>
      <c r="C29" s="282">
        <f ca="1">ROUND(C21*F27*'数据-取费表'!B21/'数据-取费表'!B20,4)</f>
        <v>5.0000000000000001E-4</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429</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631</v>
      </c>
      <c r="D33" s="276"/>
      <c r="E33" s="256"/>
      <c r="F33" s="285"/>
      <c r="G33" s="278"/>
    </row>
    <row r="34" spans="1:7" s="302" customFormat="1" ht="13.5" customHeight="1">
      <c r="A34" s="951" t="s">
        <v>791</v>
      </c>
      <c r="B34" s="259" t="s">
        <v>2381</v>
      </c>
      <c r="C34" s="264">
        <f ca="1">IF(B1="",IF(F34=100%,'数据-取费表'!M16,'数据-取费表'!O16),IF(F34=100%,INDIRECT("'数据-取费表'!m"&amp;$G$1)+INDIRECT("'数据-取费表'!t"&amp;$G$1),INDIRECT("'数据-取费表'!o"&amp;$G$1)+INDIRECT("'数据-取费表'!aq"&amp;$G$1)))</f>
        <v>555</v>
      </c>
      <c r="D34" s="261"/>
      <c r="E34" s="264"/>
      <c r="F34" s="301">
        <f ca="1">IF('数据-取费表'!B24=0,1,IF(B1="",'数据-取费表'!N16,INDIRECT("'数据-取费表'!n"&amp;$G$1)))</f>
        <v>1</v>
      </c>
      <c r="G34" s="263" t="s">
        <v>2382</v>
      </c>
    </row>
    <row r="35" spans="1:7" ht="13.5" customHeight="1">
      <c r="A35" s="951" t="s">
        <v>796</v>
      </c>
      <c r="B35" s="259" t="s">
        <v>2383</v>
      </c>
      <c r="C35" s="264">
        <f ca="1">ROUND(C34*F35,0)</f>
        <v>17</v>
      </c>
      <c r="D35" s="264"/>
      <c r="E35" s="264"/>
      <c r="F35" s="303">
        <f>'数据-取费表'!B33</f>
        <v>0.03</v>
      </c>
      <c r="G35" s="263" t="s">
        <v>2384</v>
      </c>
    </row>
    <row r="36" spans="1:7" ht="24">
      <c r="A36" s="951"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7" s="302" customFormat="1" ht="13.5" customHeight="1">
      <c r="A37" s="951" t="s">
        <v>798</v>
      </c>
      <c r="B37" s="259" t="s">
        <v>2387</v>
      </c>
      <c r="C37" s="293">
        <f ca="1">ROUND(E37*D37*F34/10000,0)</f>
        <v>51</v>
      </c>
      <c r="D37" s="261">
        <f ca="1">D19</f>
        <v>2547.4699999999998</v>
      </c>
      <c r="E37" s="293">
        <f>'数据-取费表'!B35</f>
        <v>200</v>
      </c>
      <c r="F37" s="303"/>
      <c r="G37" s="305" t="s">
        <v>2388</v>
      </c>
    </row>
    <row r="38" spans="1:7" ht="13.5" customHeight="1">
      <c r="A38" s="951" t="s">
        <v>799</v>
      </c>
      <c r="B38" s="259" t="s">
        <v>2389</v>
      </c>
      <c r="C38" s="264">
        <f ca="1">ROUND(C34*F38,0)</f>
        <v>8</v>
      </c>
      <c r="D38" s="264"/>
      <c r="E38" s="264"/>
      <c r="F38" s="303">
        <f>'数据-取费表'!B36</f>
        <v>1.4999999999999999E-2</v>
      </c>
      <c r="G38" s="263" t="s">
        <v>2384</v>
      </c>
    </row>
    <row r="39" spans="1:7" s="258" customFormat="1" ht="13.5" customHeight="1">
      <c r="A39" s="299" t="s">
        <v>2390</v>
      </c>
      <c r="B39" s="254" t="s">
        <v>2391</v>
      </c>
      <c r="C39" s="276">
        <f ca="1">ROUND(C33*F20,0)</f>
        <v>6</v>
      </c>
      <c r="D39" s="276"/>
      <c r="E39" s="276"/>
      <c r="F39" s="277"/>
      <c r="G39" s="278" t="s">
        <v>2392</v>
      </c>
    </row>
    <row r="40" spans="1:7" s="258" customFormat="1" ht="13.5" customHeight="1">
      <c r="A40" s="299" t="s">
        <v>2393</v>
      </c>
      <c r="B40" s="254" t="s">
        <v>2394</v>
      </c>
      <c r="C40" s="1728">
        <f>F21</f>
        <v>0.01</v>
      </c>
      <c r="D40" s="280" t="s">
        <v>2395</v>
      </c>
      <c r="E40" s="276"/>
      <c r="F40" s="277"/>
      <c r="G40" s="278" t="s">
        <v>2396</v>
      </c>
    </row>
    <row r="41" spans="1:7" s="258" customFormat="1" ht="13.5" customHeight="1">
      <c r="A41" s="299" t="s">
        <v>2397</v>
      </c>
      <c r="B41" s="254" t="s">
        <v>2398</v>
      </c>
      <c r="C41" s="276">
        <f ca="1">ROUND(SUM(C42:C43),0)</f>
        <v>14</v>
      </c>
      <c r="D41" s="279">
        <f ca="1">C44</f>
        <v>2.0000000000000001E-4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ROUND(IF('数据-取费表'!B22&lt;=1,C33*F22*'数据-取费表'!B21/2,C33*(POWER((1+F22),'数据-取费表'!B21/2)-1)),0)</f>
        <v>14</v>
      </c>
      <c r="D42" s="282"/>
      <c r="E42" s="282"/>
      <c r="F42" s="283"/>
      <c r="G42" s="3155" t="s">
        <v>2400</v>
      </c>
    </row>
    <row r="43" spans="1:7" ht="13.5" customHeight="1">
      <c r="A43" s="951" t="s">
        <v>792</v>
      </c>
      <c r="B43" s="259" t="s">
        <v>2401</v>
      </c>
      <c r="C43" s="282">
        <f ca="1">ROUND(IF('数据-取费表'!B22&lt;=1,C39*F22*'数据-取费表'!B21/2,C39*(POWER((1+F22),'数据-取费表'!B21/2)-1)),0)</f>
        <v>0</v>
      </c>
      <c r="D43" s="282"/>
      <c r="E43" s="282"/>
      <c r="F43" s="283"/>
      <c r="G43" s="3156"/>
    </row>
    <row r="44" spans="1:7" ht="13.5" customHeight="1">
      <c r="A44" s="951" t="s">
        <v>793</v>
      </c>
      <c r="B44" s="259" t="s">
        <v>2402</v>
      </c>
      <c r="C44" s="282">
        <f ca="1">ROUND(IF('数据-取费表'!B22&lt;=1,C40*F22*'数据-取费表'!B21/2,C40*(POWER((1+F22),'数据-取费表'!B21/2)-1)),4)</f>
        <v>2.0000000000000001E-4</v>
      </c>
      <c r="D44" s="282"/>
      <c r="E44" s="282"/>
      <c r="F44" s="283"/>
      <c r="G44" s="3157"/>
    </row>
    <row r="45" spans="1:7" s="258" customFormat="1" ht="13.5" customHeight="1">
      <c r="A45" s="299" t="s">
        <v>2403</v>
      </c>
      <c r="B45" s="288" t="s">
        <v>2369</v>
      </c>
      <c r="C45" s="289">
        <f ca="1">C46</f>
        <v>32</v>
      </c>
      <c r="D45" s="279">
        <f ca="1">C47</f>
        <v>5.0000000000000001E-4</v>
      </c>
      <c r="E45" s="280" t="s">
        <v>2395</v>
      </c>
      <c r="F45" s="290"/>
      <c r="G45" s="291" t="s">
        <v>2404</v>
      </c>
    </row>
    <row r="46" spans="1:7" s="258" customFormat="1" ht="13.5" customHeight="1">
      <c r="A46" s="951" t="s">
        <v>791</v>
      </c>
      <c r="B46" s="292" t="s">
        <v>2405</v>
      </c>
      <c r="C46" s="293">
        <f ca="1">ROUND((C33+C39)*F27,0)</f>
        <v>32</v>
      </c>
      <c r="D46" s="307"/>
      <c r="E46" s="280"/>
      <c r="F46" s="290"/>
      <c r="G46" s="291"/>
    </row>
    <row r="47" spans="1:7" s="258" customFormat="1" ht="13.5" customHeight="1">
      <c r="A47" s="951" t="s">
        <v>792</v>
      </c>
      <c r="B47" s="292" t="s">
        <v>2406</v>
      </c>
      <c r="C47" s="282">
        <f ca="1">ROUND(C40*F27,4)</f>
        <v>5.0000000000000001E-4</v>
      </c>
      <c r="D47" s="307"/>
      <c r="E47" s="280"/>
      <c r="F47" s="290"/>
      <c r="G47" s="291"/>
    </row>
    <row r="48" spans="1:7" s="258" customFormat="1" ht="13.5" customHeight="1">
      <c r="A48" s="299" t="s">
        <v>2368</v>
      </c>
      <c r="B48" s="254" t="s">
        <v>2407</v>
      </c>
      <c r="C48" s="1728">
        <f>ROUND(F30/(1+'数据-取费表'!C42),4)</f>
        <v>5.33E-2</v>
      </c>
      <c r="D48" s="280" t="s">
        <v>2395</v>
      </c>
      <c r="E48" s="276"/>
      <c r="F48" s="281"/>
      <c r="G48" s="278" t="s">
        <v>2408</v>
      </c>
    </row>
    <row r="49" spans="1:7" ht="16.5" customHeight="1">
      <c r="A49" s="299" t="s">
        <v>2374</v>
      </c>
      <c r="B49" s="254" t="s">
        <v>2409</v>
      </c>
      <c r="C49" s="276">
        <f ca="1">ROUND((C33+C39+C41+C45)/(1-C40-D41-D45-C48),0)</f>
        <v>730</v>
      </c>
      <c r="D49" s="276"/>
      <c r="E49" s="276"/>
      <c r="F49" s="308"/>
      <c r="G49" s="278" t="s">
        <v>2410</v>
      </c>
    </row>
    <row r="50" spans="1:7" s="302" customFormat="1" ht="24">
      <c r="A50" s="299" t="s">
        <v>2411</v>
      </c>
      <c r="B50" s="254" t="s">
        <v>2412</v>
      </c>
      <c r="C50" s="276"/>
      <c r="D50" s="276"/>
      <c r="E50" s="276"/>
      <c r="F50" s="308">
        <f>IF('数据-取费表'!B24=0,'数据-取费表'!N16,1)</f>
        <v>0.78</v>
      </c>
      <c r="G50" s="291" t="s">
        <v>2413</v>
      </c>
    </row>
    <row r="51" spans="1:7" ht="16.5" customHeight="1">
      <c r="A51" s="299" t="s">
        <v>2414</v>
      </c>
      <c r="B51" s="254" t="s">
        <v>2415</v>
      </c>
      <c r="C51" s="276">
        <f ca="1">ROUND(C49*F50,0)</f>
        <v>569</v>
      </c>
      <c r="D51" s="276"/>
      <c r="E51" s="276"/>
      <c r="F51" s="308"/>
      <c r="G51" s="278" t="s">
        <v>2416</v>
      </c>
    </row>
    <row r="52" spans="1:7" s="252" customFormat="1" ht="16.5" thickBot="1">
      <c r="A52" s="309" t="s">
        <v>2417</v>
      </c>
      <c r="B52" s="310"/>
      <c r="C52" s="311">
        <f ca="1">C31+C51</f>
        <v>998</v>
      </c>
      <c r="D52" s="310"/>
      <c r="E52" s="310"/>
      <c r="F52" s="310"/>
      <c r="G52" s="312"/>
    </row>
    <row r="55" spans="1:7" ht="15">
      <c r="B55" s="314" t="s">
        <v>2418</v>
      </c>
      <c r="C55" s="315"/>
    </row>
    <row r="56" spans="1:7">
      <c r="B56" s="317" t="s">
        <v>1508</v>
      </c>
      <c r="C56" s="319">
        <f ca="1">1-C57</f>
        <v>0.43000000000000005</v>
      </c>
    </row>
    <row r="57" spans="1:7">
      <c r="B57" s="317" t="s">
        <v>1509</v>
      </c>
      <c r="C57" s="318">
        <f ca="1">ROUND(C51/C52,3)</f>
        <v>0.56999999999999995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9" t="str">
        <f>项目基本情况!B1</f>
        <v>河北省廊坊市开发区全兴路西工业用房房地产抵押价值预评估</v>
      </c>
      <c r="C37" s="2969"/>
      <c r="D37" s="2969"/>
      <c r="E37" s="2969"/>
      <c r="F37" s="2969"/>
      <c r="G37" s="2969"/>
      <c r="H37" s="2969"/>
      <c r="I37" s="2969"/>
    </row>
    <row r="38" spans="1:9">
      <c r="A38" s="1016"/>
      <c r="B38" s="1016"/>
    </row>
    <row r="39" spans="1:9">
      <c r="A39" s="1014" t="s">
        <v>818</v>
      </c>
      <c r="B39" s="1014" t="s">
        <v>820</v>
      </c>
    </row>
    <row r="40" spans="1:9">
      <c r="A40" s="1014"/>
      <c r="B40" s="1941" t="str">
        <f>项目基本情况!B5</f>
        <v>河北复兴药业有限公司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崔锴（注册号：1120100036)、郑燚（注册号：1120070131)</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36"/>
      <c r="C1" s="2552" t="s">
        <v>2419</v>
      </c>
      <c r="D1" s="242"/>
      <c r="E1" s="242"/>
      <c r="F1" s="242"/>
      <c r="G1" s="1379">
        <f>MATCH(B1,'数据-取费表'!A6:A16,0)+5</f>
        <v>7</v>
      </c>
      <c r="H1" s="1282" t="str">
        <f>IF(ISERROR(FIND("住宅",B1)),"非住宅","住宅")</f>
        <v>非住宅</v>
      </c>
    </row>
    <row r="2" spans="1:8" s="244" customFormat="1" ht="18" customHeight="1">
      <c r="A2" s="245" t="s">
        <v>2318</v>
      </c>
      <c r="B2" s="246">
        <f ca="1">ROUND(IF(D2="——",C52/10000,C52/10000-E2),0)</f>
        <v>636</v>
      </c>
      <c r="C2" s="243" t="s">
        <v>2319</v>
      </c>
      <c r="D2" s="2546" t="s">
        <v>70</v>
      </c>
      <c r="E2" s="1440" t="e">
        <f ca="1">SUMIF(INDIRECT("'"&amp;G2&amp;"'"&amp;"!A:A"),"承租人权益价值",INDIRECT("'"&amp;G2&amp;"'"&amp;"!c:c"))</f>
        <v>#REF!</v>
      </c>
      <c r="F2" s="2547" t="s">
        <v>2319</v>
      </c>
      <c r="G2" s="2548"/>
    </row>
    <row r="3" spans="1:8" s="244" customFormat="1" ht="18" customHeight="1" thickBot="1">
      <c r="A3" s="247" t="s">
        <v>2320</v>
      </c>
      <c r="B3" s="248">
        <f ca="1">ROUND(B2*10000/(IF(B1="",'数据-汇总表'!E3,INDIRECT("'数据-取费表'!k"&amp;$G$1))),0)</f>
        <v>2497</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55025</v>
      </c>
      <c r="D5" s="255" t="s">
        <v>2325</v>
      </c>
      <c r="E5" s="256" t="s">
        <v>2326</v>
      </c>
      <c r="F5" s="256" t="s">
        <v>2327</v>
      </c>
      <c r="G5" s="257"/>
    </row>
    <row r="6" spans="1:8" s="258" customFormat="1" ht="13.5" customHeight="1">
      <c r="A6" s="949" t="s">
        <v>2328</v>
      </c>
      <c r="B6" s="259" t="s">
        <v>2329</v>
      </c>
      <c r="C6" s="260"/>
      <c r="D6" s="261"/>
      <c r="E6" s="262"/>
      <c r="F6" s="262"/>
      <c r="G6" s="263"/>
    </row>
    <row r="7" spans="1:8" s="258" customFormat="1" ht="13.5" customHeight="1">
      <c r="A7" s="949" t="s">
        <v>2330</v>
      </c>
      <c r="B7" s="259" t="s">
        <v>2331</v>
      </c>
      <c r="C7" s="264">
        <f>ROUND(C6*F7,0)</f>
        <v>0</v>
      </c>
      <c r="D7" s="264"/>
      <c r="E7" s="262"/>
      <c r="F7" s="265">
        <f>IF(项目基本情况!B8="出让",0,'数据-取费表'!B48+'数据-取费表'!B49)</f>
        <v>4.0500000000000001E-2</v>
      </c>
      <c r="G7" s="263"/>
    </row>
    <row r="8" spans="1:8" s="267" customFormat="1">
      <c r="A8" s="949" t="s">
        <v>2332</v>
      </c>
      <c r="B8" s="259" t="s">
        <v>2333</v>
      </c>
      <c r="C8" s="264">
        <f ca="1">IF(G8="已包含在土地购买价格中",0,C9+C10)</f>
        <v>55025</v>
      </c>
      <c r="D8" s="266"/>
      <c r="E8" s="264"/>
      <c r="F8" s="265"/>
      <c r="G8" s="2549"/>
    </row>
    <row r="9" spans="1:8" s="258" customFormat="1" ht="13.5" customHeight="1">
      <c r="A9" s="950" t="s">
        <v>800</v>
      </c>
      <c r="B9" s="268" t="s">
        <v>2334</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2336</v>
      </c>
      <c r="C10" s="269">
        <f ca="1">ROUND(D10*E10,0)</f>
        <v>55025</v>
      </c>
      <c r="D10" s="1032">
        <f ca="1">IF(B1="",'数据-汇总表'!E6,IF(INDIRECT("'数据-取费表'!c"&amp;$G$1)="住宅",INDIRECT("'数据-取费表'!s"&amp;$G$1),INDIRECT("'数据-取费表'!k"&amp;$G$1)+INDIRECT("'数据-取费表'!s"&amp;$G$1)))</f>
        <v>2547.4699999999998</v>
      </c>
      <c r="E10" s="269">
        <f>'数据-取费表'!B28</f>
        <v>21.6</v>
      </c>
      <c r="F10" s="265"/>
      <c r="G10" s="270"/>
    </row>
    <row r="11" spans="1:8" s="258" customFormat="1" ht="13.5" hidden="1" customHeight="1">
      <c r="A11" s="271" t="s">
        <v>7</v>
      </c>
      <c r="B11" s="259" t="s">
        <v>2337</v>
      </c>
      <c r="C11" s="255"/>
      <c r="D11" s="1034"/>
      <c r="E11" s="262"/>
      <c r="F11" s="262"/>
      <c r="G11" s="263"/>
    </row>
    <row r="12" spans="1:8" s="258" customFormat="1" ht="13.5" hidden="1" customHeight="1">
      <c r="A12" s="271" t="s">
        <v>8</v>
      </c>
      <c r="B12" s="259" t="s">
        <v>2420</v>
      </c>
      <c r="C12" s="255">
        <v>0</v>
      </c>
      <c r="D12" s="1034"/>
      <c r="E12" s="272"/>
      <c r="F12" s="265">
        <v>3.0499999999999999E-2</v>
      </c>
      <c r="G12" s="263"/>
    </row>
    <row r="13" spans="1:8" s="258" customFormat="1" ht="13.5" hidden="1" customHeight="1">
      <c r="A13" s="271" t="s">
        <v>9</v>
      </c>
      <c r="B13" s="259" t="s">
        <v>2421</v>
      </c>
      <c r="C13" s="255"/>
      <c r="D13" s="1034"/>
      <c r="E13" s="262"/>
      <c r="F13" s="262"/>
      <c r="G13" s="263"/>
    </row>
    <row r="14" spans="1:8" s="258" customFormat="1" ht="13.5" hidden="1" customHeight="1">
      <c r="A14" s="271" t="s">
        <v>10</v>
      </c>
      <c r="B14" s="259" t="s">
        <v>2333</v>
      </c>
      <c r="C14" s="255"/>
      <c r="D14" s="1034"/>
      <c r="E14" s="262"/>
      <c r="F14" s="262"/>
      <c r="G14" s="263" t="s">
        <v>2422</v>
      </c>
    </row>
    <row r="15" spans="1:8" s="258" customFormat="1" ht="13.5" hidden="1" customHeight="1">
      <c r="A15" s="271" t="s">
        <v>11</v>
      </c>
      <c r="B15" s="259" t="s">
        <v>2423</v>
      </c>
      <c r="C15" s="264"/>
      <c r="D15" s="1034"/>
      <c r="E15" s="262"/>
      <c r="F15" s="262"/>
      <c r="G15" s="263" t="s">
        <v>2424</v>
      </c>
    </row>
    <row r="16" spans="1:8" s="258" customFormat="1" ht="13.5" hidden="1" customHeight="1">
      <c r="A16" s="271" t="s">
        <v>12</v>
      </c>
      <c r="B16" s="259" t="s">
        <v>2333</v>
      </c>
      <c r="C16" s="264"/>
      <c r="D16" s="1034"/>
      <c r="E16" s="262"/>
      <c r="F16" s="262"/>
      <c r="G16" s="263"/>
    </row>
    <row r="17" spans="1:7" s="258" customFormat="1" ht="13.5" hidden="1" customHeight="1">
      <c r="A17" s="271" t="s">
        <v>13</v>
      </c>
      <c r="B17" s="259" t="s">
        <v>2425</v>
      </c>
      <c r="C17" s="273"/>
      <c r="D17" s="1035"/>
      <c r="E17" s="273"/>
      <c r="F17" s="273"/>
      <c r="G17" s="263" t="s">
        <v>2424</v>
      </c>
    </row>
    <row r="18" spans="1:7" s="258" customFormat="1" ht="13.5" hidden="1" customHeight="1">
      <c r="A18" s="271" t="s">
        <v>14</v>
      </c>
      <c r="B18" s="259" t="s">
        <v>2426</v>
      </c>
      <c r="C18" s="264">
        <v>0</v>
      </c>
      <c r="D18" s="1034"/>
      <c r="E18" s="262"/>
      <c r="F18" s="265">
        <v>3.0499999999999999E-2</v>
      </c>
      <c r="G18" s="263" t="s">
        <v>2427</v>
      </c>
    </row>
    <row r="19" spans="1:7" s="267" customFormat="1" ht="13.5" customHeight="1">
      <c r="A19" s="299" t="s">
        <v>2428</v>
      </c>
      <c r="B19" s="254" t="s">
        <v>2429</v>
      </c>
      <c r="C19" s="255">
        <f ca="1">IF(G19="已包含在土地取得成本中","0",ROUND(D19*E19,0))</f>
        <v>509494</v>
      </c>
      <c r="D19" s="1036">
        <f ca="1">D9+D10</f>
        <v>2547.4699999999998</v>
      </c>
      <c r="E19" s="255">
        <f>'数据-取费表'!B31</f>
        <v>200</v>
      </c>
      <c r="F19" s="275"/>
      <c r="G19" s="2549"/>
    </row>
    <row r="20" spans="1:7" s="258" customFormat="1" ht="13.5" customHeight="1">
      <c r="A20" s="299" t="s">
        <v>2430</v>
      </c>
      <c r="B20" s="254" t="s">
        <v>2431</v>
      </c>
      <c r="C20" s="276">
        <f ca="1">ROUND((C5+C19)*F20,0)</f>
        <v>5645</v>
      </c>
      <c r="D20" s="276"/>
      <c r="E20" s="276"/>
      <c r="F20" s="277">
        <f>'数据-取费表'!B37</f>
        <v>0.01</v>
      </c>
      <c r="G20" s="278" t="s">
        <v>2432</v>
      </c>
    </row>
    <row r="21" spans="1:7" s="258" customFormat="1" ht="13.5" customHeight="1">
      <c r="A21" s="299" t="s">
        <v>2433</v>
      </c>
      <c r="B21" s="254" t="s">
        <v>2434</v>
      </c>
      <c r="C21" s="279">
        <f>F21</f>
        <v>0.01</v>
      </c>
      <c r="D21" s="280" t="s">
        <v>2435</v>
      </c>
      <c r="E21" s="276"/>
      <c r="F21" s="277">
        <f>'数据-取费表'!B38</f>
        <v>0.01</v>
      </c>
      <c r="G21" s="278" t="s">
        <v>2436</v>
      </c>
    </row>
    <row r="22" spans="1:7" s="258" customFormat="1" ht="13.5" customHeight="1">
      <c r="A22" s="299" t="s">
        <v>2437</v>
      </c>
      <c r="B22" s="254" t="s">
        <v>2438</v>
      </c>
      <c r="C22" s="1380">
        <f ca="1">ROUND(SUM(C23:C25),0)</f>
        <v>24680</v>
      </c>
      <c r="D22" s="279">
        <f ca="1">C26</f>
        <v>2.0000000000000001E-4</v>
      </c>
      <c r="E22" s="280" t="s">
        <v>2435</v>
      </c>
      <c r="F22" s="281">
        <f ca="1">'数据-取费表'!B40</f>
        <v>4.3499999999999997E-2</v>
      </c>
      <c r="G22" s="278" t="str">
        <f>IF('数据-取费表'!B22&lt;=1,"单利计息","复利计息")</f>
        <v>单利计息</v>
      </c>
    </row>
    <row r="23" spans="1:7" s="258" customFormat="1" ht="13.5" customHeight="1">
      <c r="A23" s="951" t="s">
        <v>2328</v>
      </c>
      <c r="B23" s="259" t="s">
        <v>2439</v>
      </c>
      <c r="C23" s="1381">
        <f ca="1">ROUND(IF('数据-取费表'!B22&lt;=1,C5*F22*'数据-取费表'!B22,C5*(POWER((1+F22),'数据-取费表'!B22)-1)),0)</f>
        <v>2394</v>
      </c>
      <c r="D23" s="282"/>
      <c r="E23" s="282"/>
      <c r="F23" s="283"/>
      <c r="G23" s="284" t="s">
        <v>2440</v>
      </c>
    </row>
    <row r="24" spans="1:7" s="258" customFormat="1" ht="13.5" customHeight="1">
      <c r="A24" s="951" t="s">
        <v>2330</v>
      </c>
      <c r="B24" s="259" t="s">
        <v>2441</v>
      </c>
      <c r="C24" s="1381">
        <f ca="1">ROUND(IF('数据-取费表'!B22&lt;=1,C19*F22*('数据-取费表'!B19/2+'数据-取费表'!B20),C19*(POWER((1+F22),('数据-取费表'!B19/2+'数据-取费表'!B20))-1)),0)</f>
        <v>22163</v>
      </c>
      <c r="D24" s="282"/>
      <c r="E24" s="282"/>
      <c r="F24" s="283"/>
      <c r="G24" s="284" t="s">
        <v>2442</v>
      </c>
    </row>
    <row r="25" spans="1:7" s="258" customFormat="1" ht="24">
      <c r="A25" s="951" t="s">
        <v>2332</v>
      </c>
      <c r="B25" s="259" t="s">
        <v>2443</v>
      </c>
      <c r="C25" s="1381">
        <f ca="1">ROUND(IF('数据-取费表'!B22&lt;=1,C20*F22*'数据-取费表'!B22/2,C20*(POWER((1+F22),'数据-取费表'!B22/2)-1)),0)</f>
        <v>123</v>
      </c>
      <c r="D25" s="282"/>
      <c r="E25" s="285"/>
      <c r="F25" s="283"/>
      <c r="G25" s="286" t="s">
        <v>2444</v>
      </c>
    </row>
    <row r="26" spans="1:7" s="258" customFormat="1">
      <c r="A26" s="951" t="s">
        <v>795</v>
      </c>
      <c r="B26" s="259" t="s">
        <v>2367</v>
      </c>
      <c r="C26" s="282">
        <f ca="1">ROUND(IF('数据-取费表'!B22&lt;=1,F21*F22*'数据-取费表'!B22/2,F21*(POWER((1+F22),'数据-取费表'!B22/2)-1)),4)</f>
        <v>2.0000000000000001E-4</v>
      </c>
      <c r="D26" s="282"/>
      <c r="E26" s="285"/>
      <c r="F26" s="283"/>
      <c r="G26" s="287"/>
    </row>
    <row r="27" spans="1:7" s="258" customFormat="1" ht="24.75">
      <c r="A27" s="299" t="s">
        <v>2368</v>
      </c>
      <c r="B27" s="288" t="s">
        <v>2369</v>
      </c>
      <c r="C27" s="289">
        <f ca="1">C28</f>
        <v>28508</v>
      </c>
      <c r="D27" s="279">
        <f ca="1">C29</f>
        <v>5.0000000000000001E-4</v>
      </c>
      <c r="E27" s="280" t="s">
        <v>2370</v>
      </c>
      <c r="F27" s="290">
        <f ca="1">IF(B1="",'数据-取费表'!Q16,INDIRECT("'数据-取费表'!q"&amp;$G$1))</f>
        <v>0.05</v>
      </c>
      <c r="G27" s="291" t="s">
        <v>2371</v>
      </c>
    </row>
    <row r="28" spans="1:7" s="258" customFormat="1" ht="13.5" customHeight="1">
      <c r="A28" s="951" t="s">
        <v>791</v>
      </c>
      <c r="B28" s="292" t="s">
        <v>2372</v>
      </c>
      <c r="C28" s="293">
        <f ca="1">ROUND((C5+C19+C20)*F27,0)</f>
        <v>28508</v>
      </c>
      <c r="D28" s="279"/>
      <c r="E28" s="280"/>
      <c r="F28" s="290"/>
      <c r="G28" s="291"/>
    </row>
    <row r="29" spans="1:7" s="258" customFormat="1" ht="13.5" customHeight="1">
      <c r="A29" s="951" t="s">
        <v>792</v>
      </c>
      <c r="B29" s="292" t="s">
        <v>2373</v>
      </c>
      <c r="C29" s="282">
        <f ca="1">ROUND(C21*F27,4)</f>
        <v>5.0000000000000001E-4</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665974</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6313994</v>
      </c>
      <c r="D33" s="276"/>
      <c r="E33" s="256"/>
      <c r="F33" s="285"/>
      <c r="G33" s="278"/>
    </row>
    <row r="34" spans="1:7" s="302" customFormat="1" ht="13.5" customHeight="1">
      <c r="A34" s="951" t="s">
        <v>791</v>
      </c>
      <c r="B34" s="259" t="s">
        <v>2381</v>
      </c>
      <c r="C34" s="264">
        <f ca="1">ROUND(IF(B1="",SUMPRODUCT('数据-取费表'!K6:K14,'数据-取费表'!L6:L14),INDIRECT("'数据-取费表'!l"&amp;$G$1)*INDIRECT("'数据-取费表'!k"&amp;$G$1)+'数据-取费表'!L14*INDIRECT("'数据-取费表'!S"&amp;$G$1)),0)</f>
        <v>5554546</v>
      </c>
      <c r="D34" s="261"/>
      <c r="E34" s="264"/>
      <c r="F34" s="301"/>
      <c r="G34" s="263"/>
    </row>
    <row r="35" spans="1:7" ht="13.5" customHeight="1">
      <c r="A35" s="951" t="s">
        <v>796</v>
      </c>
      <c r="B35" s="259" t="s">
        <v>2383</v>
      </c>
      <c r="C35" s="264">
        <f ca="1">ROUND(C34*F35,0)</f>
        <v>166636</v>
      </c>
      <c r="D35" s="264"/>
      <c r="E35" s="264"/>
      <c r="F35" s="303">
        <f>'数据-取费表'!B33</f>
        <v>0.03</v>
      </c>
      <c r="G35" s="263" t="s">
        <v>2384</v>
      </c>
    </row>
    <row r="36" spans="1:7" ht="24">
      <c r="A36" s="951"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1" t="s">
        <v>798</v>
      </c>
      <c r="B37" s="259" t="s">
        <v>2387</v>
      </c>
      <c r="C37" s="293">
        <f ca="1">ROUND(E37*D37,0)</f>
        <v>509494</v>
      </c>
      <c r="D37" s="261">
        <f ca="1">D19</f>
        <v>2547.4699999999998</v>
      </c>
      <c r="E37" s="293">
        <f>'数据-取费表'!B35</f>
        <v>200</v>
      </c>
      <c r="F37" s="303"/>
      <c r="G37" s="305"/>
    </row>
    <row r="38" spans="1:7" ht="13.5" customHeight="1">
      <c r="A38" s="951" t="s">
        <v>799</v>
      </c>
      <c r="B38" s="259" t="s">
        <v>2389</v>
      </c>
      <c r="C38" s="264">
        <f ca="1">ROUND(C34*F38,0)</f>
        <v>83318</v>
      </c>
      <c r="D38" s="264"/>
      <c r="E38" s="264"/>
      <c r="F38" s="303">
        <f>'数据-取费表'!B36</f>
        <v>1.4999999999999999E-2</v>
      </c>
      <c r="G38" s="263" t="s">
        <v>2384</v>
      </c>
    </row>
    <row r="39" spans="1:7" s="258" customFormat="1" ht="13.5" customHeight="1">
      <c r="A39" s="299" t="s">
        <v>2390</v>
      </c>
      <c r="B39" s="254" t="s">
        <v>2391</v>
      </c>
      <c r="C39" s="276">
        <f ca="1">ROUND(C33*F20,0)</f>
        <v>63140</v>
      </c>
      <c r="D39" s="276"/>
      <c r="E39" s="276"/>
      <c r="F39" s="277"/>
      <c r="G39" s="278" t="s">
        <v>2392</v>
      </c>
    </row>
    <row r="40" spans="1:7" s="258" customFormat="1" ht="13.5" customHeight="1">
      <c r="A40" s="299" t="s">
        <v>2393</v>
      </c>
      <c r="B40" s="254" t="s">
        <v>2394</v>
      </c>
      <c r="C40" s="1728">
        <f>F21</f>
        <v>0.01</v>
      </c>
      <c r="D40" s="280" t="s">
        <v>2395</v>
      </c>
      <c r="E40" s="276"/>
      <c r="F40" s="277"/>
      <c r="G40" s="278" t="s">
        <v>2396</v>
      </c>
    </row>
    <row r="41" spans="1:7" s="258" customFormat="1" ht="13.5" customHeight="1">
      <c r="A41" s="299" t="s">
        <v>2397</v>
      </c>
      <c r="B41" s="254" t="s">
        <v>2398</v>
      </c>
      <c r="C41" s="276">
        <f ca="1">ROUND(SUM(C42:C43),0)</f>
        <v>138702</v>
      </c>
      <c r="D41" s="279">
        <f ca="1">C44</f>
        <v>2.0000000000000001E-4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ROUND(IF('数据-取费表'!B22&lt;=1,C33*F22*'数据-取费表'!B20/2,C33*(POWER((1+F22),'数据-取费表'!B20/2)-1)),0)</f>
        <v>137329</v>
      </c>
      <c r="D42" s="282"/>
      <c r="E42" s="282"/>
      <c r="F42" s="283"/>
      <c r="G42" s="3155" t="s">
        <v>2447</v>
      </c>
    </row>
    <row r="43" spans="1:7" ht="13.5" customHeight="1">
      <c r="A43" s="951" t="s">
        <v>792</v>
      </c>
      <c r="B43" s="259" t="s">
        <v>2401</v>
      </c>
      <c r="C43" s="282">
        <f ca="1">ROUND(IF('数据-取费表'!B22&lt;=1,C39*F22*'数据-取费表'!B20/2,C39*(POWER((1+F22),'数据-取费表'!B20/2)-1)),0)</f>
        <v>1373</v>
      </c>
      <c r="D43" s="282"/>
      <c r="E43" s="282"/>
      <c r="F43" s="283"/>
      <c r="G43" s="3156"/>
    </row>
    <row r="44" spans="1:7" ht="13.5" customHeight="1">
      <c r="A44" s="951" t="s">
        <v>793</v>
      </c>
      <c r="B44" s="259" t="s">
        <v>2402</v>
      </c>
      <c r="C44" s="282">
        <f ca="1">ROUND(IF('数据-取费表'!B22&lt;=1,C40*F22*'数据-取费表'!B20/2,C40*(POWER((1+F22),'数据-取费表'!B20/2)-1)),4)</f>
        <v>2.0000000000000001E-4</v>
      </c>
      <c r="D44" s="282"/>
      <c r="E44" s="282"/>
      <c r="F44" s="283"/>
      <c r="G44" s="3157"/>
    </row>
    <row r="45" spans="1:7" s="258" customFormat="1" ht="13.5" customHeight="1">
      <c r="A45" s="299" t="s">
        <v>2403</v>
      </c>
      <c r="B45" s="288" t="s">
        <v>2369</v>
      </c>
      <c r="C45" s="289">
        <f ca="1">C46</f>
        <v>318857</v>
      </c>
      <c r="D45" s="279">
        <f ca="1">C47</f>
        <v>5.0000000000000001E-4</v>
      </c>
      <c r="E45" s="280" t="s">
        <v>2395</v>
      </c>
      <c r="F45" s="290"/>
      <c r="G45" s="291" t="s">
        <v>2404</v>
      </c>
    </row>
    <row r="46" spans="1:7" s="258" customFormat="1" ht="13.5" customHeight="1">
      <c r="A46" s="951" t="s">
        <v>791</v>
      </c>
      <c r="B46" s="292" t="s">
        <v>2405</v>
      </c>
      <c r="C46" s="293">
        <f ca="1">ROUND((C33+C39)*F27,0)</f>
        <v>318857</v>
      </c>
      <c r="D46" s="307"/>
      <c r="E46" s="280"/>
      <c r="F46" s="290"/>
      <c r="G46" s="291"/>
    </row>
    <row r="47" spans="1:7" s="258" customFormat="1" ht="13.5" customHeight="1">
      <c r="A47" s="951" t="s">
        <v>792</v>
      </c>
      <c r="B47" s="292" t="s">
        <v>2406</v>
      </c>
      <c r="C47" s="282">
        <f ca="1">ROUND(C40*F27,4)</f>
        <v>5.0000000000000001E-4</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7302022</v>
      </c>
      <c r="D49" s="276"/>
      <c r="E49" s="276"/>
      <c r="F49" s="308"/>
      <c r="G49" s="278" t="s">
        <v>2410</v>
      </c>
    </row>
    <row r="50" spans="1:7" s="302" customFormat="1">
      <c r="A50" s="299" t="s">
        <v>2411</v>
      </c>
      <c r="B50" s="254" t="s">
        <v>2412</v>
      </c>
      <c r="C50" s="276"/>
      <c r="D50" s="276"/>
      <c r="E50" s="276"/>
      <c r="F50" s="308">
        <f>IF('数据-取费表'!B24=0,'数据-取费表'!N16,1)</f>
        <v>0.78</v>
      </c>
      <c r="G50" s="291"/>
    </row>
    <row r="51" spans="1:7" ht="16.5" customHeight="1">
      <c r="A51" s="299" t="s">
        <v>2414</v>
      </c>
      <c r="B51" s="254" t="s">
        <v>2449</v>
      </c>
      <c r="C51" s="276">
        <f ca="1">ROUND(C49*F50,0)</f>
        <v>5695577</v>
      </c>
      <c r="D51" s="276"/>
      <c r="E51" s="276"/>
      <c r="F51" s="308"/>
      <c r="G51" s="278" t="s">
        <v>2416</v>
      </c>
    </row>
    <row r="52" spans="1:7" s="252" customFormat="1" ht="16.5" thickBot="1">
      <c r="A52" s="309" t="s">
        <v>2417</v>
      </c>
      <c r="B52" s="310"/>
      <c r="C52" s="311">
        <f ca="1">C31+C51</f>
        <v>6361551</v>
      </c>
      <c r="D52" s="310"/>
      <c r="E52" s="310"/>
      <c r="F52" s="310"/>
      <c r="G52" s="312"/>
    </row>
    <row r="55" spans="1:7" ht="15">
      <c r="B55" s="314" t="s">
        <v>2418</v>
      </c>
      <c r="C55" s="315"/>
    </row>
    <row r="56" spans="1:7">
      <c r="B56" s="317" t="s">
        <v>1508</v>
      </c>
      <c r="C56" s="319">
        <f ca="1">1-C57</f>
        <v>0.10499999999999998</v>
      </c>
    </row>
    <row r="57" spans="1:7">
      <c r="B57" s="317" t="s">
        <v>1509</v>
      </c>
      <c r="C57" s="318">
        <f ca="1">ROUND(C51/C52,3)</f>
        <v>0.89500000000000002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2450</v>
      </c>
      <c r="B1" s="1581"/>
      <c r="C1" s="1582"/>
      <c r="D1" s="1580"/>
      <c r="E1" s="320"/>
      <c r="F1" s="320"/>
      <c r="G1" s="1581"/>
      <c r="H1" s="320"/>
      <c r="I1" s="320"/>
      <c r="J1" s="320"/>
      <c r="K1" s="320">
        <f>MATCH(C1,'数据-取费表'!A6:A16,0)+5</f>
        <v>7</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6" customFormat="1" ht="16.5" customHeight="1">
      <c r="A4" s="953" t="s">
        <v>2453</v>
      </c>
      <c r="B4" s="954"/>
      <c r="C4" s="996">
        <f>SUM(C8:K8)</f>
        <v>0</v>
      </c>
      <c r="D4" s="954"/>
      <c r="E4" s="954"/>
      <c r="F4" s="954"/>
      <c r="G4" s="954"/>
      <c r="H4" s="954"/>
      <c r="I4" s="954"/>
      <c r="J4" s="954"/>
      <c r="K4" s="955"/>
    </row>
    <row r="5" spans="1:33" s="960" customFormat="1" ht="24.75">
      <c r="A5" s="957" t="s">
        <v>2454</v>
      </c>
      <c r="B5" s="958" t="s">
        <v>2455</v>
      </c>
      <c r="C5" s="2553" t="s">
        <v>2456</v>
      </c>
      <c r="D5" s="2553" t="s">
        <v>2457</v>
      </c>
      <c r="E5" s="2553" t="s">
        <v>2458</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2462</v>
      </c>
      <c r="B8" s="177" t="s">
        <v>2463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2464</v>
      </c>
      <c r="B9" s="954"/>
      <c r="C9" s="954"/>
      <c r="D9" s="954"/>
      <c r="E9" s="954"/>
      <c r="F9" s="954"/>
      <c r="G9" s="954"/>
      <c r="H9" s="954"/>
      <c r="I9" s="954"/>
      <c r="J9" s="954"/>
      <c r="K9" s="955"/>
    </row>
    <row r="10" spans="1:33" s="970" customFormat="1" ht="13.5" customHeight="1">
      <c r="A10" s="957" t="s">
        <v>2465</v>
      </c>
      <c r="B10" s="8" t="s">
        <v>2466</v>
      </c>
      <c r="C10" s="966" t="s">
        <v>2467</v>
      </c>
      <c r="D10" s="967" t="s">
        <v>2468</v>
      </c>
      <c r="E10" s="967" t="s">
        <v>2469</v>
      </c>
      <c r="F10" s="967" t="s">
        <v>2470</v>
      </c>
      <c r="G10" s="8"/>
      <c r="H10" s="968"/>
      <c r="I10" s="968"/>
      <c r="J10" s="968"/>
      <c r="K10" s="969"/>
    </row>
    <row r="11" spans="1:33" s="975" customFormat="1" ht="13.5" customHeight="1">
      <c r="A11" s="971" t="s">
        <v>1330</v>
      </c>
      <c r="B11" s="972" t="s">
        <v>2471</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2472</v>
      </c>
      <c r="C12" s="24">
        <f ca="1">ROUND(C11*F12,0)</f>
        <v>0</v>
      </c>
      <c r="D12" s="973"/>
      <c r="E12" s="375"/>
      <c r="F12" s="976">
        <f>'数据-取费表'!B33</f>
        <v>0.03</v>
      </c>
      <c r="G12" s="8" t="s">
        <v>2473</v>
      </c>
      <c r="H12" s="968"/>
      <c r="I12" s="968"/>
      <c r="J12" s="968"/>
      <c r="K12" s="969"/>
    </row>
    <row r="13" spans="1:33" s="975" customFormat="1" ht="13.5" customHeight="1">
      <c r="A13" s="971" t="s">
        <v>1332</v>
      </c>
      <c r="B13" s="972" t="s">
        <v>2474</v>
      </c>
      <c r="C13" s="24">
        <f ca="1">ROUND(IF(C1="",SUMIF('数据-取费表'!C:C,"住宅",'数据-取费表'!P:P)*F13,IF(INDIRECT("'数据-取费表'!c"&amp;$K$1)="住宅",INDIRECT("'数据-取费表'!P"&amp;$K$1)*F13,0)),0)</f>
        <v>0</v>
      </c>
      <c r="D13" s="1033"/>
      <c r="E13" s="375"/>
      <c r="F13" s="976">
        <f>'数据-取费表'!B34</f>
        <v>0</v>
      </c>
      <c r="G13" s="8" t="s">
        <v>2475</v>
      </c>
      <c r="H13" s="968"/>
      <c r="I13" s="968"/>
      <c r="J13" s="968"/>
      <c r="K13" s="969"/>
    </row>
    <row r="14" spans="1:33" s="977" customFormat="1" ht="13.5" customHeight="1">
      <c r="A14" s="971" t="s">
        <v>1333</v>
      </c>
      <c r="B14" s="972" t="s">
        <v>2476</v>
      </c>
      <c r="C14" s="24">
        <f ca="1">ROUND(D14*E14*F11/10000,0)</f>
        <v>0</v>
      </c>
      <c r="D14" s="1033">
        <f ca="1">IF(C1="",'数据-汇总表'!E3,INDIRECT("'数据-取费表'!K"&amp;$K$1)+INDIRECT("'数据-取费表'!S"&amp;$K$1))</f>
        <v>2547.4699999999998</v>
      </c>
      <c r="E14" s="24">
        <f>'数据-取费表'!B35</f>
        <v>200</v>
      </c>
      <c r="F14" s="976"/>
      <c r="G14" s="8" t="s">
        <v>2477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2478</v>
      </c>
      <c r="C15" s="983">
        <f ca="1">ROUND(C11*F15,0)</f>
        <v>0</v>
      </c>
      <c r="D15" s="978"/>
      <c r="E15" s="983"/>
      <c r="F15" s="984">
        <f>'数据-取费表'!B36</f>
        <v>1.4999999999999999E-2</v>
      </c>
      <c r="G15" s="140" t="s">
        <v>2479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2480</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2481</v>
      </c>
      <c r="C17" s="24">
        <f ca="1">ROUND(D17*E17/10000,0)</f>
        <v>0</v>
      </c>
      <c r="D17" s="1033">
        <f ca="1">D14</f>
        <v>2547.4699999999998</v>
      </c>
      <c r="E17" s="24">
        <f>'数据-取费表'!B32</f>
        <v>0</v>
      </c>
      <c r="F17" s="978"/>
      <c r="G17" s="140" t="s">
        <v>2482</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2483</v>
      </c>
      <c r="C18" s="24">
        <f ca="1">C19+C20-IF(C1="",'数据-取费表'!B29,IF(G18="已全部缴纳",C19+C20,H18))</f>
        <v>0</v>
      </c>
      <c r="D18" s="1033"/>
      <c r="E18" s="24"/>
      <c r="F18" s="976"/>
      <c r="G18" s="2555"/>
      <c r="H18" s="1577"/>
      <c r="I18" s="2556" t="s">
        <v>2484</v>
      </c>
      <c r="J18" s="979"/>
      <c r="K18" s="980"/>
    </row>
    <row r="19" spans="1:33" s="975" customFormat="1" ht="13.5" customHeight="1">
      <c r="A19" s="971" t="s">
        <v>805</v>
      </c>
      <c r="B19" s="972" t="s">
        <v>2485</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2486</v>
      </c>
      <c r="C20" s="24">
        <f ca="1">ROUND(D20*E20/10000,0)</f>
        <v>6</v>
      </c>
      <c r="D20" s="1033">
        <f ca="1">IF(C1="",'数据-汇总表'!E6,IF(INDIRECT("'数据-取费表'!c"&amp;$K$1)="住宅",INDIRECT("'数据-取费表'!s"&amp;$K$1),INDIRECT("'数据-取费表'!k"&amp;$K$1)+INDIRECT("'数据-取费表'!s"&amp;$K$1)))</f>
        <v>2547.4699999999998</v>
      </c>
      <c r="E20" s="24">
        <f>'数据-取费表'!B28</f>
        <v>21.6</v>
      </c>
      <c r="F20" s="976"/>
      <c r="G20" s="15"/>
      <c r="H20" s="981"/>
      <c r="I20" s="981"/>
      <c r="J20" s="981"/>
      <c r="K20" s="982"/>
    </row>
    <row r="21" spans="1:33" s="975" customFormat="1" ht="13.5" customHeight="1">
      <c r="A21" s="961" t="s">
        <v>802</v>
      </c>
      <c r="B21" s="985" t="s">
        <v>2487</v>
      </c>
      <c r="C21" s="986">
        <f ca="1">C16+C17+C18</f>
        <v>0</v>
      </c>
      <c r="D21" s="987"/>
      <c r="E21" s="325"/>
      <c r="F21" s="325"/>
      <c r="G21" s="140" t="s">
        <v>2488</v>
      </c>
      <c r="H21" s="979"/>
      <c r="I21" s="979"/>
      <c r="J21" s="979"/>
      <c r="K21" s="980"/>
    </row>
    <row r="22" spans="1:33" s="975" customFormat="1" ht="13.5" customHeight="1">
      <c r="A22" s="961" t="s">
        <v>2460</v>
      </c>
      <c r="B22" s="985" t="s">
        <v>2489</v>
      </c>
      <c r="C22" s="986">
        <f ca="1">ROUND(C21*F22,0)</f>
        <v>0</v>
      </c>
      <c r="D22" s="325"/>
      <c r="E22" s="325"/>
      <c r="F22" s="988">
        <f>'数据-取费表'!B37</f>
        <v>0.01</v>
      </c>
      <c r="G22" s="8" t="s">
        <v>2490</v>
      </c>
      <c r="H22" s="968"/>
      <c r="I22" s="968"/>
      <c r="J22" s="968"/>
      <c r="K22" s="969"/>
    </row>
    <row r="23" spans="1:33" s="975" customFormat="1" ht="13.5" customHeight="1">
      <c r="A23" s="961" t="s">
        <v>2462</v>
      </c>
      <c r="B23" s="985" t="s">
        <v>2491</v>
      </c>
      <c r="C23" s="986">
        <f ca="1">ROUND(C4*F23*F11,0)</f>
        <v>0</v>
      </c>
      <c r="D23" s="325"/>
      <c r="E23" s="325"/>
      <c r="F23" s="988">
        <f>'数据-取费表'!B38</f>
        <v>0.01</v>
      </c>
      <c r="G23" s="8" t="s">
        <v>2492</v>
      </c>
      <c r="H23" s="968"/>
      <c r="I23" s="968"/>
      <c r="J23" s="968"/>
      <c r="K23" s="969"/>
    </row>
    <row r="24" spans="1:33" s="975" customFormat="1" ht="13.5" customHeight="1">
      <c r="A24" s="961" t="s">
        <v>2493</v>
      </c>
      <c r="B24" s="985" t="s">
        <v>2494</v>
      </c>
      <c r="C24" s="324">
        <f>ROUND(F24/(1+'数据-取费表'!C42),4)</f>
        <v>3.8600000000000002E-2</v>
      </c>
      <c r="D24" s="325" t="s">
        <v>15</v>
      </c>
      <c r="E24" s="325"/>
      <c r="F24" s="988">
        <f>IF(项目基本情况!B8="出让",0,'数据-取费表'!B48+'数据-取费表'!B49)</f>
        <v>4.0500000000000001E-2</v>
      </c>
      <c r="G24" s="8" t="s">
        <v>2495</v>
      </c>
      <c r="H24" s="990"/>
      <c r="I24" s="990"/>
      <c r="J24" s="990"/>
      <c r="K24" s="991"/>
    </row>
    <row r="25" spans="1:33" s="975" customFormat="1" ht="13.5" customHeight="1">
      <c r="A25" s="961" t="s">
        <v>2496</v>
      </c>
      <c r="B25" s="987" t="s">
        <v>2497</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2498</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2499</v>
      </c>
      <c r="C27" s="1358">
        <f ca="1">ROUND(IF('数据-取费表'!B22&lt;=1,(C21+C22+C23)*F25*'数据-取费表'!B24/2,(C21+C22+C23)*(POWER((1+F25),'数据-取费表'!B24/2)-1)),0)</f>
        <v>0</v>
      </c>
      <c r="D27" s="328"/>
      <c r="E27" s="329"/>
      <c r="F27" s="330"/>
      <c r="G27" s="2557" t="str">
        <f>IF('数据-取费表'!B22&lt;=1,"（1）-（3）项×年利率×建设期÷2","（1）-（3）项×((1+年利率)^(建设期÷2)-1)")</f>
        <v>（1）-（3）项×年利率×建设期÷2</v>
      </c>
      <c r="H27" s="979"/>
      <c r="I27" s="979"/>
      <c r="J27" s="979"/>
      <c r="K27" s="980"/>
    </row>
    <row r="28" spans="1:33" s="333" customFormat="1" ht="13.5" customHeight="1">
      <c r="A28" s="961" t="s">
        <v>2500</v>
      </c>
      <c r="B28" s="2558" t="s">
        <v>2501</v>
      </c>
      <c r="C28" s="331">
        <f ca="1">C30</f>
        <v>0</v>
      </c>
      <c r="D28" s="324">
        <f ca="1">C29</f>
        <v>0</v>
      </c>
      <c r="E28" s="326" t="s">
        <v>15</v>
      </c>
      <c r="F28" s="332">
        <f ca="1">IF(C1="",'数据-取费表'!Q16,INDIRECT("'数据-取费表'!q"&amp;$K$1))</f>
        <v>0.05</v>
      </c>
      <c r="G28" s="989"/>
      <c r="H28" s="990"/>
      <c r="I28" s="990"/>
      <c r="J28" s="990"/>
      <c r="K28" s="991"/>
    </row>
    <row r="29" spans="1:33" s="335" customFormat="1" ht="13.5" customHeight="1">
      <c r="A29" s="971" t="s">
        <v>803</v>
      </c>
      <c r="B29" s="994" t="s">
        <v>2502</v>
      </c>
      <c r="C29" s="328">
        <f ca="1">ROUND((1+C24)*F28*'数据-取费表'!B24/'数据-取费表'!B20,4)</f>
        <v>0</v>
      </c>
      <c r="D29" s="328"/>
      <c r="E29" s="329"/>
      <c r="F29" s="334"/>
      <c r="G29" s="140" t="s">
        <v>2503</v>
      </c>
      <c r="H29" s="979"/>
      <c r="I29" s="979"/>
      <c r="J29" s="979"/>
      <c r="K29" s="980"/>
    </row>
    <row r="30" spans="1:33" s="335" customFormat="1" ht="13.5" customHeight="1">
      <c r="A30" s="971" t="s">
        <v>804</v>
      </c>
      <c r="B30" s="994" t="s">
        <v>2504</v>
      </c>
      <c r="C30" s="336">
        <f ca="1">ROUND((C21+C22+C23)*F28,0)</f>
        <v>0</v>
      </c>
      <c r="D30" s="328"/>
      <c r="E30" s="329"/>
      <c r="F30" s="334"/>
      <c r="G30" s="140"/>
      <c r="H30" s="979"/>
      <c r="I30" s="979"/>
      <c r="J30" s="979"/>
      <c r="K30" s="980"/>
    </row>
    <row r="31" spans="1:33" s="975" customFormat="1" ht="13.5" customHeight="1" thickBot="1">
      <c r="A31" s="2559" t="s">
        <v>2505</v>
      </c>
      <c r="B31" s="1005" t="s">
        <v>2506</v>
      </c>
      <c r="C31" s="1006">
        <f>ROUND(C4*F31/(1+'数据-取费表'!C42),0)</f>
        <v>0</v>
      </c>
      <c r="D31" s="1007"/>
      <c r="E31" s="1008"/>
      <c r="F31" s="1009">
        <f>'数据-取费表'!B41</f>
        <v>5.6000000000000001E-2</v>
      </c>
      <c r="G31" s="1010" t="s">
        <v>2507</v>
      </c>
      <c r="H31" s="1011"/>
      <c r="I31" s="1011"/>
      <c r="J31" s="1011"/>
      <c r="K31" s="1012"/>
    </row>
    <row r="32" spans="1:33" s="970" customFormat="1" ht="13.5" customHeight="1" thickBot="1">
      <c r="A32" s="1000" t="s">
        <v>2508</v>
      </c>
      <c r="B32" s="1001"/>
      <c r="C32" s="1002">
        <f ca="1">ROUND((C4-C21-C22-C23-C25-C28-C31)/(1+C24+D25+D28),0)</f>
        <v>0</v>
      </c>
      <c r="D32" s="1001"/>
      <c r="E32" s="1001"/>
      <c r="F32" s="1001"/>
      <c r="G32" s="1003" t="s">
        <v>2509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18" zoomScale="80" zoomScaleNormal="80" workbookViewId="0">
      <selection activeCell="J35" sqref="J35"/>
    </sheetView>
  </sheetViews>
  <sheetFormatPr defaultColWidth="9" defaultRowHeight="14.25"/>
  <cols>
    <col min="1" max="1" width="14.37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2787</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f>F61</f>
        <v>344</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f>ROUND(IF(D3="",B2*10000/'数据-汇总表'!E3,B2*10000/D3),0)</f>
        <v>1350</v>
      </c>
      <c r="C3" s="247" t="s">
        <v>2737</v>
      </c>
      <c r="D3" s="1583">
        <f>'数据-基础表'!B3</f>
        <v>2547.4699999999998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9" t="s">
        <v>2639</v>
      </c>
      <c r="AC4" s="3168" t="s">
        <v>2640</v>
      </c>
    </row>
    <row r="5" spans="1:29" ht="15">
      <c r="A5" s="404"/>
      <c r="B5" s="405"/>
      <c r="C5" s="3192" t="s">
        <v>2533</v>
      </c>
      <c r="D5" s="3193"/>
      <c r="E5" s="3181" t="str">
        <f>土地案例!$A$5</f>
        <v>九干渠东侧,友谊路西侧</v>
      </c>
      <c r="F5" s="3182"/>
      <c r="G5" s="3192" t="str">
        <f>土地案例!$A$6</f>
        <v>经六路东侧,经七路西侧,中国石油天然气股份有限公司管道分公司北侧</v>
      </c>
      <c r="H5" s="3193"/>
      <c r="I5" s="3192" t="str">
        <f>土地案例!$A$7</f>
        <v>广阳道南侧,友谊路东侧,芙蓉道北侧</v>
      </c>
      <c r="J5" s="3193"/>
      <c r="K5" s="610"/>
      <c r="L5" s="1130"/>
      <c r="M5" s="1131"/>
      <c r="N5" s="1131"/>
      <c r="O5" s="1131"/>
      <c r="P5" s="3177"/>
      <c r="Q5" s="3178"/>
      <c r="R5" s="3190"/>
      <c r="S5" s="3191"/>
      <c r="T5" s="3190"/>
      <c r="U5" s="3191"/>
      <c r="V5" s="3163"/>
      <c r="W5" s="3163"/>
      <c r="X5" s="1813"/>
      <c r="Y5" s="3190"/>
      <c r="Z5" s="3191"/>
      <c r="AA5" s="3169"/>
      <c r="AB5" s="3169"/>
      <c r="AC5" s="3169"/>
    </row>
    <row r="6" spans="1:29" ht="15.75" thickBot="1">
      <c r="A6" s="406"/>
      <c r="B6" s="407"/>
      <c r="C6" s="3194" t="s">
        <v>2788</v>
      </c>
      <c r="D6" s="3195"/>
      <c r="E6" s="3197" t="s">
        <v>2788</v>
      </c>
      <c r="F6" s="3198"/>
      <c r="G6" s="3194" t="s">
        <v>2788</v>
      </c>
      <c r="H6" s="3195"/>
      <c r="I6" s="3194" t="s">
        <v>2788</v>
      </c>
      <c r="J6" s="3195"/>
      <c r="K6" s="610" t="s">
        <v>2538</v>
      </c>
      <c r="L6" s="1130"/>
      <c r="M6" s="1131"/>
      <c r="N6" s="1131"/>
      <c r="O6" s="1131"/>
      <c r="P6" s="3179"/>
      <c r="Q6" s="3180"/>
      <c r="R6" s="3190"/>
      <c r="S6" s="3191"/>
      <c r="T6" s="3199"/>
      <c r="U6" s="3200"/>
      <c r="V6" s="3163"/>
      <c r="W6" s="3163"/>
      <c r="X6" s="1813"/>
      <c r="Y6" s="3199"/>
      <c r="Z6" s="3200"/>
      <c r="AA6" s="3170"/>
      <c r="AB6" s="3170"/>
      <c r="AC6" s="3170"/>
    </row>
    <row r="7" spans="1:29" s="117" customFormat="1" ht="15.75" thickBot="1">
      <c r="A7" s="408" t="s">
        <v>2539</v>
      </c>
      <c r="B7" s="409"/>
      <c r="C7" s="410">
        <f>'数据-取费表'!B2</f>
        <v>44015</v>
      </c>
      <c r="D7" s="411">
        <v>100</v>
      </c>
      <c r="E7" s="412" t="str">
        <f>土地案例!$I$5</f>
        <v>2020-03-25</v>
      </c>
      <c r="F7" s="413">
        <f>SUMIF(65:65,YEAR(E7)&amp;"-"&amp;INT((MONTH(E7)+2)/3),66:66)</f>
        <v>99</v>
      </c>
      <c r="G7" s="2695" t="str">
        <f>土地案例!$I$6</f>
        <v>2019-12-30</v>
      </c>
      <c r="H7" s="411">
        <f>SUMIF(65:65,YEAR(G7)&amp;"-"&amp;INT((MONTH(G7)+2)/3),66:66)</f>
        <v>98.5</v>
      </c>
      <c r="I7" s="2695" t="str">
        <f>土地案例!$I$7</f>
        <v>2019-09-19</v>
      </c>
      <c r="J7" s="411">
        <f>SUMIF(65:65,YEAR(I7)&amp;"-"&amp;INT((MONTH(I7)+2)/3),66:66)</f>
        <v>98</v>
      </c>
      <c r="K7" s="611"/>
      <c r="L7" s="1132"/>
      <c r="M7" s="1133"/>
      <c r="N7" s="1133"/>
      <c r="O7" s="1133"/>
      <c r="P7" s="3183" t="s">
        <v>2540</v>
      </c>
      <c r="Q7" s="3196"/>
      <c r="R7" s="770" t="s">
        <v>17</v>
      </c>
      <c r="S7" s="771">
        <f t="shared" ref="S7:S15" si="0">F7</f>
        <v>99</v>
      </c>
      <c r="T7" s="770" t="s">
        <v>17</v>
      </c>
      <c r="U7" s="771">
        <f t="shared" ref="U7:U15" si="1">H7</f>
        <v>98.5</v>
      </c>
      <c r="V7" s="770" t="s">
        <v>17</v>
      </c>
      <c r="W7" s="771">
        <f t="shared" ref="W7:W15" si="2">J7</f>
        <v>98</v>
      </c>
      <c r="X7" s="772"/>
      <c r="Y7" s="3183" t="s">
        <v>2540</v>
      </c>
      <c r="Z7" s="3184"/>
      <c r="AA7" s="773">
        <f>D7/F7</f>
        <v>1.0101010101010102</v>
      </c>
      <c r="AB7" s="773">
        <f>D7/H7</f>
        <v>1.015228426395939</v>
      </c>
      <c r="AC7" s="773">
        <f>D7/J7</f>
        <v>1.0204081632653061</v>
      </c>
    </row>
    <row r="8" spans="1:29" s="117" customFormat="1" ht="15.75" thickBot="1">
      <c r="A8" s="408" t="s">
        <v>2541</v>
      </c>
      <c r="B8" s="409"/>
      <c r="C8" s="414" t="s">
        <v>2542</v>
      </c>
      <c r="D8" s="411">
        <v>100</v>
      </c>
      <c r="E8" s="414" t="s">
        <v>3113</v>
      </c>
      <c r="F8" s="413">
        <f>SUMIF(68:68,E8,69:69)-SUMIF(68:68,C8,69:69)+100</f>
        <v>100</v>
      </c>
      <c r="G8" s="414" t="s">
        <v>3113</v>
      </c>
      <c r="H8" s="411">
        <f>SUMIF(68:68,G8,69:69)-SUMIF(68:68,C8,69:69)+100</f>
        <v>100</v>
      </c>
      <c r="I8" s="414" t="s">
        <v>3113</v>
      </c>
      <c r="J8" s="411">
        <f>SUMIF(68:68,I8,69:69)-SUMIF(68:68,C8,69:69)+100</f>
        <v>100</v>
      </c>
      <c r="K8" s="611"/>
      <c r="L8" s="1132"/>
      <c r="M8" s="1133"/>
      <c r="N8" s="1133"/>
      <c r="O8" s="1133"/>
      <c r="P8" s="3183" t="s">
        <v>2543</v>
      </c>
      <c r="Q8" s="3184"/>
      <c r="R8" s="770" t="s">
        <v>17</v>
      </c>
      <c r="S8" s="771">
        <f t="shared" si="0"/>
        <v>100</v>
      </c>
      <c r="T8" s="770" t="s">
        <v>17</v>
      </c>
      <c r="U8" s="771">
        <f t="shared" si="1"/>
        <v>100</v>
      </c>
      <c r="V8" s="770" t="s">
        <v>17</v>
      </c>
      <c r="W8" s="771">
        <f t="shared" si="2"/>
        <v>100</v>
      </c>
      <c r="X8" s="772"/>
      <c r="Y8" s="3183" t="s">
        <v>2543</v>
      </c>
      <c r="Z8" s="3184"/>
      <c r="AA8" s="773">
        <f t="shared" ref="AA8:AA40" si="3">D8/F8</f>
        <v>1</v>
      </c>
      <c r="AB8" s="773">
        <f t="shared" ref="AB8:AB40" si="4">D8/H8</f>
        <v>1</v>
      </c>
      <c r="AC8" s="773">
        <f t="shared" ref="AC8:AC40" si="5">D8/J8</f>
        <v>1</v>
      </c>
    </row>
    <row r="9" spans="1:29" s="117" customFormat="1">
      <c r="A9" s="415" t="s">
        <v>2544</v>
      </c>
      <c r="B9" s="71" t="s">
        <v>2545</v>
      </c>
      <c r="C9" s="2698" t="s">
        <v>6</v>
      </c>
      <c r="D9" s="135">
        <v>100</v>
      </c>
      <c r="E9" s="2698" t="s">
        <v>6</v>
      </c>
      <c r="F9" s="135">
        <f>SUMIF(70:70,E9,71:71)-SUMIF(70:70,C9,71:71)+100</f>
        <v>100</v>
      </c>
      <c r="G9" s="2698" t="s">
        <v>6</v>
      </c>
      <c r="H9" s="135">
        <f>SUMIF(70:70,G9,71:71)-SUMIF(70:70,C9,71:71)+100</f>
        <v>100</v>
      </c>
      <c r="I9" s="2698" t="s">
        <v>6</v>
      </c>
      <c r="J9" s="135">
        <f>SUMIF(70:70,I9,71:71)-SUMIF(70:70,C9,71:71)+100</f>
        <v>100</v>
      </c>
      <c r="K9" s="611"/>
      <c r="L9" s="1132"/>
      <c r="M9" s="1133"/>
      <c r="N9" s="1133"/>
      <c r="O9" s="1134"/>
      <c r="P9" s="3161"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773">
        <f t="shared" si="5"/>
        <v>1</v>
      </c>
    </row>
    <row r="10" spans="1:29" s="427" customFormat="1" ht="27">
      <c r="A10" s="421"/>
      <c r="B10" s="422" t="s">
        <v>2548</v>
      </c>
      <c r="C10" s="432">
        <f>项目基本情况!I15</f>
        <v>30.86</v>
      </c>
      <c r="D10" s="136">
        <v>100</v>
      </c>
      <c r="E10" s="432">
        <v>50</v>
      </c>
      <c r="F10" s="136">
        <f>ROUND(100/'数据-取费表'!G16,0)</f>
        <v>117</v>
      </c>
      <c r="G10" s="432">
        <v>50</v>
      </c>
      <c r="H10" s="136">
        <f>ROUND(100/'数据-取费表'!G16,0)</f>
        <v>117</v>
      </c>
      <c r="I10" s="432">
        <v>50</v>
      </c>
      <c r="J10" s="136">
        <f>ROUND(100/'数据-取费表'!G16,0)</f>
        <v>117</v>
      </c>
      <c r="K10" s="672"/>
      <c r="L10" s="1135"/>
      <c r="M10" s="1136"/>
      <c r="N10" s="1136"/>
      <c r="O10" s="1137"/>
      <c r="P10" s="3161"/>
      <c r="Q10" s="1795" t="str">
        <f t="shared" si="6"/>
        <v>土地使用年限（年）</v>
      </c>
      <c r="R10" s="770" t="s">
        <v>17</v>
      </c>
      <c r="S10" s="771">
        <f t="shared" si="0"/>
        <v>117</v>
      </c>
      <c r="T10" s="770" t="s">
        <v>17</v>
      </c>
      <c r="U10" s="771">
        <f t="shared" si="1"/>
        <v>117</v>
      </c>
      <c r="V10" s="770" t="s">
        <v>17</v>
      </c>
      <c r="W10" s="771">
        <f t="shared" si="2"/>
        <v>117</v>
      </c>
      <c r="X10" s="772"/>
      <c r="Y10" s="3035"/>
      <c r="Z10" s="55" t="str">
        <f t="shared" si="7"/>
        <v>土地使用年限（年）</v>
      </c>
      <c r="AA10" s="773">
        <f t="shared" si="3"/>
        <v>0.85470085470085466</v>
      </c>
      <c r="AB10" s="773">
        <f t="shared" si="4"/>
        <v>0.85470085470085466</v>
      </c>
      <c r="AC10" s="773">
        <f t="shared" si="5"/>
        <v>0.85470085470085466</v>
      </c>
    </row>
    <row r="11" spans="1:29" ht="15.75" thickBot="1">
      <c r="A11" s="428"/>
      <c r="B11" s="422" t="s">
        <v>2549</v>
      </c>
      <c r="C11" s="429">
        <f>'数据-汇总表'!I6</f>
        <v>0.41</v>
      </c>
      <c r="D11" s="136">
        <v>100</v>
      </c>
      <c r="E11" s="429">
        <v>1.2</v>
      </c>
      <c r="F11" s="136">
        <f>LOOKUP(E11,75:75,76:76)-LOOKUP(C11,75:75,76:76)+100</f>
        <v>103</v>
      </c>
      <c r="G11" s="430">
        <v>1.2</v>
      </c>
      <c r="H11" s="136">
        <f>LOOKUP(G11,75:75,76:76)-LOOKUP(C11,75:75,76:76)+100</f>
        <v>103</v>
      </c>
      <c r="I11" s="429">
        <v>1.2</v>
      </c>
      <c r="J11" s="136">
        <f>LOOKUP(I11,75:75,76:76)-LOOKUP(C11,75:75,76:76)+100</f>
        <v>103</v>
      </c>
      <c r="K11" s="673">
        <v>3</v>
      </c>
      <c r="L11" s="1138"/>
      <c r="M11" s="1131"/>
      <c r="N11" s="1131"/>
      <c r="O11" s="1139"/>
      <c r="P11" s="3161"/>
      <c r="Q11" s="1795" t="str">
        <f t="shared" si="6"/>
        <v>容积率</v>
      </c>
      <c r="R11" s="770" t="s">
        <v>17</v>
      </c>
      <c r="S11" s="771">
        <f t="shared" si="0"/>
        <v>103</v>
      </c>
      <c r="T11" s="770" t="s">
        <v>17</v>
      </c>
      <c r="U11" s="771">
        <f t="shared" si="1"/>
        <v>103</v>
      </c>
      <c r="V11" s="770" t="s">
        <v>17</v>
      </c>
      <c r="W11" s="771">
        <f t="shared" si="2"/>
        <v>103</v>
      </c>
      <c r="X11" s="772"/>
      <c r="Y11" s="3035"/>
      <c r="Z11" s="55" t="str">
        <f t="shared" si="7"/>
        <v>容积率</v>
      </c>
      <c r="AA11" s="773">
        <f t="shared" si="3"/>
        <v>0.970873786407767</v>
      </c>
      <c r="AB11" s="773">
        <f t="shared" si="4"/>
        <v>0.970873786407767</v>
      </c>
      <c r="AC11" s="773">
        <f t="shared" si="5"/>
        <v>0.970873786407767</v>
      </c>
    </row>
    <row r="12" spans="1:29" s="117" customFormat="1" ht="15" hidden="1">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61"/>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hidden="1">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61"/>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hidden="1"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61"/>
      <c r="Q14" s="1795">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57">
      <c r="A15" s="440" t="s">
        <v>2550</v>
      </c>
      <c r="B15" s="629" t="s">
        <v>2789</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v>2</v>
      </c>
      <c r="L15" s="1140"/>
      <c r="M15" s="1131"/>
      <c r="N15" s="1131"/>
      <c r="O15" s="1139"/>
      <c r="P15" s="3164" t="s">
        <v>2551</v>
      </c>
      <c r="Q15" s="1810" t="str">
        <f t="shared" si="6"/>
        <v>产业集聚程度</v>
      </c>
      <c r="R15" s="774" t="s">
        <v>17</v>
      </c>
      <c r="S15" s="775">
        <f t="shared" si="0"/>
        <v>100</v>
      </c>
      <c r="T15" s="774" t="s">
        <v>17</v>
      </c>
      <c r="U15" s="775">
        <f t="shared" si="1"/>
        <v>100</v>
      </c>
      <c r="V15" s="774" t="s">
        <v>17</v>
      </c>
      <c r="W15" s="775">
        <f t="shared" si="2"/>
        <v>100</v>
      </c>
      <c r="X15" s="1813"/>
      <c r="Y15" s="3164" t="s">
        <v>2551</v>
      </c>
      <c r="Z15" s="1814" t="str">
        <f t="shared" si="7"/>
        <v>产业集聚程度</v>
      </c>
      <c r="AA15" s="1811">
        <f t="shared" si="3"/>
        <v>1</v>
      </c>
      <c r="AB15" s="1811">
        <f t="shared" si="4"/>
        <v>1</v>
      </c>
      <c r="AC15" s="1811">
        <f t="shared" si="5"/>
        <v>1</v>
      </c>
    </row>
    <row r="16" spans="1:29" ht="15">
      <c r="A16" s="428"/>
      <c r="B16" s="630"/>
      <c r="C16" s="447" t="s">
        <v>3094</v>
      </c>
      <c r="D16" s="448"/>
      <c r="E16" s="447" t="s">
        <v>3094</v>
      </c>
      <c r="F16" s="448"/>
      <c r="G16" s="447" t="s">
        <v>3094</v>
      </c>
      <c r="H16" s="450"/>
      <c r="I16" s="447" t="s">
        <v>3094</v>
      </c>
      <c r="J16" s="448"/>
      <c r="K16" s="672"/>
      <c r="L16" s="1140"/>
      <c r="M16" s="1131"/>
      <c r="N16" s="1131"/>
      <c r="O16" s="1139"/>
      <c r="P16" s="3165"/>
      <c r="Q16" s="1810"/>
      <c r="R16" s="774"/>
      <c r="S16" s="775"/>
      <c r="T16" s="774"/>
      <c r="U16" s="775"/>
      <c r="V16" s="774"/>
      <c r="W16" s="775"/>
      <c r="X16" s="1813"/>
      <c r="Y16" s="3165"/>
      <c r="Z16" s="1814"/>
      <c r="AA16" s="1811">
        <v>1</v>
      </c>
      <c r="AB16" s="1811">
        <v>1</v>
      </c>
      <c r="AC16" s="1811">
        <v>1</v>
      </c>
    </row>
    <row r="17" spans="1:29" ht="85.5">
      <c r="A17" s="428"/>
      <c r="B17" s="631" t="s">
        <v>2700</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v>2</v>
      </c>
      <c r="L17" s="1140"/>
      <c r="M17" s="1131"/>
      <c r="N17" s="1131"/>
      <c r="O17" s="1139"/>
      <c r="P17" s="3165"/>
      <c r="Q17" s="1810" t="str">
        <f>B17</f>
        <v>交通便捷度</v>
      </c>
      <c r="R17" s="774" t="s">
        <v>17</v>
      </c>
      <c r="S17" s="775">
        <f>F17</f>
        <v>100</v>
      </c>
      <c r="T17" s="774" t="s">
        <v>17</v>
      </c>
      <c r="U17" s="775">
        <f>H17</f>
        <v>100</v>
      </c>
      <c r="V17" s="774" t="s">
        <v>17</v>
      </c>
      <c r="W17" s="775">
        <f>J17</f>
        <v>100</v>
      </c>
      <c r="X17" s="1813"/>
      <c r="Y17" s="3165"/>
      <c r="Z17" s="1814" t="str">
        <f>Q17</f>
        <v>交通便捷度</v>
      </c>
      <c r="AA17" s="1811">
        <f t="shared" si="3"/>
        <v>1</v>
      </c>
      <c r="AB17" s="1811">
        <f t="shared" si="4"/>
        <v>1</v>
      </c>
      <c r="AC17" s="1811">
        <f t="shared" si="5"/>
        <v>1</v>
      </c>
    </row>
    <row r="18" spans="1:29" ht="15">
      <c r="A18" s="428"/>
      <c r="B18" s="632"/>
      <c r="C18" s="447" t="s">
        <v>3095</v>
      </c>
      <c r="D18" s="448"/>
      <c r="E18" s="2610" t="s">
        <v>3095</v>
      </c>
      <c r="F18" s="448"/>
      <c r="G18" s="2610" t="s">
        <v>3095</v>
      </c>
      <c r="H18" s="448"/>
      <c r="I18" s="2610" t="s">
        <v>3095</v>
      </c>
      <c r="J18" s="448"/>
      <c r="K18" s="672"/>
      <c r="L18" s="1140"/>
      <c r="M18" s="1131"/>
      <c r="N18" s="1131"/>
      <c r="O18" s="1139"/>
      <c r="P18" s="3165"/>
      <c r="Q18" s="1810"/>
      <c r="R18" s="774"/>
      <c r="S18" s="775"/>
      <c r="T18" s="774"/>
      <c r="U18" s="775"/>
      <c r="V18" s="774"/>
      <c r="W18" s="775"/>
      <c r="X18" s="1813"/>
      <c r="Y18" s="3165"/>
      <c r="Z18" s="1814"/>
      <c r="AA18" s="1811">
        <v>1</v>
      </c>
      <c r="AB18" s="1811">
        <v>1</v>
      </c>
      <c r="AC18" s="1811">
        <v>1</v>
      </c>
    </row>
    <row r="19" spans="1:29" ht="15">
      <c r="A19" s="428"/>
      <c r="B19" s="631" t="s">
        <v>2739</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v>1</v>
      </c>
      <c r="L19" s="1140"/>
      <c r="M19" s="1131"/>
      <c r="N19" s="1131"/>
      <c r="O19" s="1139"/>
      <c r="P19" s="3165"/>
      <c r="Q19" s="1810" t="str">
        <f t="shared" ref="Q19:Q33" si="8">B19</f>
        <v>区域土地利用方向</v>
      </c>
      <c r="R19" s="774" t="s">
        <v>17</v>
      </c>
      <c r="S19" s="775">
        <f>F19</f>
        <v>100</v>
      </c>
      <c r="T19" s="774" t="s">
        <v>17</v>
      </c>
      <c r="U19" s="775">
        <f>H19</f>
        <v>100</v>
      </c>
      <c r="V19" s="774" t="s">
        <v>17</v>
      </c>
      <c r="W19" s="775">
        <f>J19</f>
        <v>100</v>
      </c>
      <c r="X19" s="1813"/>
      <c r="Y19" s="3165"/>
      <c r="Z19" s="1814" t="str">
        <f>Q19</f>
        <v>区域土地利用方向</v>
      </c>
      <c r="AA19" s="1811">
        <f t="shared" si="3"/>
        <v>1</v>
      </c>
      <c r="AB19" s="1811">
        <f t="shared" si="4"/>
        <v>1</v>
      </c>
      <c r="AC19" s="1811">
        <f t="shared" si="5"/>
        <v>1</v>
      </c>
    </row>
    <row r="20" spans="1:29" ht="15">
      <c r="A20" s="404"/>
      <c r="B20" s="632"/>
      <c r="C20" s="447" t="s">
        <v>3094</v>
      </c>
      <c r="D20" s="448"/>
      <c r="E20" s="447" t="s">
        <v>3094</v>
      </c>
      <c r="F20" s="448"/>
      <c r="G20" s="447" t="s">
        <v>3094</v>
      </c>
      <c r="H20" s="448"/>
      <c r="I20" s="447" t="s">
        <v>3094</v>
      </c>
      <c r="J20" s="448"/>
      <c r="K20" s="812"/>
      <c r="L20" s="1140"/>
      <c r="M20" s="1131"/>
      <c r="N20" s="1131"/>
      <c r="O20" s="1139"/>
      <c r="P20" s="3165"/>
      <c r="Q20" s="1810"/>
      <c r="R20" s="774"/>
      <c r="S20" s="775"/>
      <c r="T20" s="774"/>
      <c r="U20" s="775"/>
      <c r="V20" s="774"/>
      <c r="W20" s="775"/>
      <c r="X20" s="1813"/>
      <c r="Y20" s="3165"/>
      <c r="Z20" s="1814"/>
      <c r="AA20" s="1811"/>
      <c r="AB20" s="1811"/>
      <c r="AC20" s="1811"/>
    </row>
    <row r="21" spans="1:29" ht="71.25">
      <c r="A21" s="404"/>
      <c r="B21" s="631" t="s">
        <v>2790</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v>2</v>
      </c>
      <c r="L21" s="1140"/>
      <c r="M21" s="1131"/>
      <c r="N21" s="1131"/>
      <c r="O21" s="1139"/>
      <c r="P21" s="3165"/>
      <c r="Q21" s="1810" t="str">
        <f t="shared" si="8"/>
        <v>环境状况</v>
      </c>
      <c r="R21" s="774" t="s">
        <v>17</v>
      </c>
      <c r="S21" s="775">
        <f>F21</f>
        <v>100</v>
      </c>
      <c r="T21" s="774" t="s">
        <v>17</v>
      </c>
      <c r="U21" s="775">
        <f>H21</f>
        <v>100</v>
      </c>
      <c r="V21" s="774" t="s">
        <v>17</v>
      </c>
      <c r="W21" s="775">
        <f>J21</f>
        <v>100</v>
      </c>
      <c r="X21" s="1813"/>
      <c r="Y21" s="3165"/>
      <c r="Z21" s="1814" t="str">
        <f>Q21</f>
        <v>环境状况</v>
      </c>
      <c r="AA21" s="1811">
        <f t="shared" si="3"/>
        <v>1</v>
      </c>
      <c r="AB21" s="1811">
        <f t="shared" si="4"/>
        <v>1</v>
      </c>
      <c r="AC21" s="1811">
        <f t="shared" si="5"/>
        <v>1</v>
      </c>
    </row>
    <row r="22" spans="1:29" ht="15">
      <c r="A22" s="404"/>
      <c r="B22" s="632"/>
      <c r="C22" s="447" t="s">
        <v>3094</v>
      </c>
      <c r="D22" s="448"/>
      <c r="E22" s="447" t="s">
        <v>3094</v>
      </c>
      <c r="F22" s="448"/>
      <c r="G22" s="447" t="s">
        <v>3094</v>
      </c>
      <c r="H22" s="448"/>
      <c r="I22" s="447" t="s">
        <v>3094</v>
      </c>
      <c r="J22" s="448"/>
      <c r="K22" s="672"/>
      <c r="L22" s="1140"/>
      <c r="M22" s="1131"/>
      <c r="N22" s="1131"/>
      <c r="O22" s="1139"/>
      <c r="P22" s="3165"/>
      <c r="Q22" s="1810"/>
      <c r="R22" s="774"/>
      <c r="S22" s="775"/>
      <c r="T22" s="774"/>
      <c r="U22" s="775"/>
      <c r="V22" s="774"/>
      <c r="W22" s="775"/>
      <c r="X22" s="1813"/>
      <c r="Y22" s="3165"/>
      <c r="Z22" s="1814"/>
      <c r="AA22" s="1811">
        <v>1</v>
      </c>
      <c r="AB22" s="1811">
        <v>1</v>
      </c>
      <c r="AC22" s="1811">
        <v>1</v>
      </c>
    </row>
    <row r="23" spans="1:29" s="117" customFormat="1" ht="42.75">
      <c r="A23" s="649"/>
      <c r="B23" s="633" t="s">
        <v>2645</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v>2</v>
      </c>
      <c r="L23" s="1132"/>
      <c r="M23" s="1133"/>
      <c r="N23" s="1133"/>
      <c r="O23" s="1134"/>
      <c r="P23" s="3165"/>
      <c r="Q23" s="1795" t="str">
        <f t="shared" si="8"/>
        <v>公共配套设施</v>
      </c>
      <c r="R23" s="770" t="s">
        <v>17</v>
      </c>
      <c r="S23" s="771">
        <f>F23</f>
        <v>100</v>
      </c>
      <c r="T23" s="770" t="s">
        <v>17</v>
      </c>
      <c r="U23" s="771">
        <f>H23</f>
        <v>100</v>
      </c>
      <c r="V23" s="770" t="s">
        <v>17</v>
      </c>
      <c r="W23" s="771">
        <f>J23</f>
        <v>100</v>
      </c>
      <c r="X23" s="772"/>
      <c r="Y23" s="3165"/>
      <c r="Z23" s="55" t="str">
        <f>Q23</f>
        <v>公共配套设施</v>
      </c>
      <c r="AA23" s="1811">
        <f>D23/F23</f>
        <v>1</v>
      </c>
      <c r="AB23" s="1811">
        <f>D23/H23</f>
        <v>1</v>
      </c>
      <c r="AC23" s="1811">
        <f>D23/J23</f>
        <v>1</v>
      </c>
    </row>
    <row r="24" spans="1:29" s="117" customFormat="1" ht="15">
      <c r="A24" s="649"/>
      <c r="B24" s="632"/>
      <c r="C24" s="2699" t="s">
        <v>3095</v>
      </c>
      <c r="D24" s="448"/>
      <c r="E24" s="2610" t="s">
        <v>3095</v>
      </c>
      <c r="F24" s="448"/>
      <c r="G24" s="2610" t="s">
        <v>3095</v>
      </c>
      <c r="H24" s="448"/>
      <c r="I24" s="447" t="s">
        <v>3095</v>
      </c>
      <c r="J24" s="448"/>
      <c r="K24" s="672"/>
      <c r="L24" s="1132"/>
      <c r="M24" s="1133"/>
      <c r="N24" s="1133"/>
      <c r="O24" s="1134"/>
      <c r="P24" s="3165"/>
      <c r="Q24" s="1795"/>
      <c r="R24" s="770"/>
      <c r="S24" s="771"/>
      <c r="T24" s="770"/>
      <c r="U24" s="771"/>
      <c r="V24" s="770"/>
      <c r="W24" s="771"/>
      <c r="X24" s="772"/>
      <c r="Y24" s="3165"/>
      <c r="Z24" s="55"/>
      <c r="AA24" s="773">
        <v>1</v>
      </c>
      <c r="AB24" s="773">
        <v>1</v>
      </c>
      <c r="AC24" s="773">
        <v>1</v>
      </c>
    </row>
    <row r="25" spans="1:29" s="117" customFormat="1" ht="28.5">
      <c r="A25" s="649"/>
      <c r="B25" s="633" t="s">
        <v>2646</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v>1</v>
      </c>
      <c r="L25" s="1132"/>
      <c r="M25" s="1133"/>
      <c r="N25" s="1133"/>
      <c r="O25" s="1134"/>
      <c r="P25" s="3165"/>
      <c r="Q25" s="1795" t="str">
        <f t="shared" ref="Q25" si="9">B25</f>
        <v>基础设施水平</v>
      </c>
      <c r="R25" s="770" t="s">
        <v>17</v>
      </c>
      <c r="S25" s="771">
        <f>F25</f>
        <v>100</v>
      </c>
      <c r="T25" s="770" t="s">
        <v>17</v>
      </c>
      <c r="U25" s="771">
        <f>H25</f>
        <v>100</v>
      </c>
      <c r="V25" s="770" t="s">
        <v>17</v>
      </c>
      <c r="W25" s="771">
        <f>J25</f>
        <v>100</v>
      </c>
      <c r="X25" s="772"/>
      <c r="Y25" s="3165"/>
      <c r="Z25" s="55" t="str">
        <f>Q25</f>
        <v>基础设施水平</v>
      </c>
      <c r="AA25" s="1811">
        <f>D25/F25</f>
        <v>1</v>
      </c>
      <c r="AB25" s="1811">
        <f>D25/H25</f>
        <v>1</v>
      </c>
      <c r="AC25" s="1811">
        <f>D25/J25</f>
        <v>1</v>
      </c>
    </row>
    <row r="26" spans="1:29" s="117" customFormat="1" ht="15">
      <c r="A26" s="649"/>
      <c r="B26" s="632"/>
      <c r="C26" s="2699" t="s">
        <v>3090</v>
      </c>
      <c r="D26" s="448"/>
      <c r="E26" s="2699" t="s">
        <v>3090</v>
      </c>
      <c r="F26" s="448"/>
      <c r="G26" s="2699" t="s">
        <v>3090</v>
      </c>
      <c r="H26" s="448"/>
      <c r="I26" s="2699" t="s">
        <v>3090</v>
      </c>
      <c r="J26" s="448"/>
      <c r="K26" s="672"/>
      <c r="L26" s="1132"/>
      <c r="M26" s="1133"/>
      <c r="N26" s="1133"/>
      <c r="O26" s="1134"/>
      <c r="P26" s="3165"/>
      <c r="Q26" s="1795"/>
      <c r="R26" s="770"/>
      <c r="S26" s="771"/>
      <c r="T26" s="770"/>
      <c r="U26" s="771"/>
      <c r="V26" s="770"/>
      <c r="W26" s="771"/>
      <c r="X26" s="772"/>
      <c r="Y26" s="3165"/>
      <c r="Z26" s="55"/>
      <c r="AA26" s="773">
        <v>1</v>
      </c>
      <c r="AB26" s="773">
        <v>1</v>
      </c>
      <c r="AC26" s="773">
        <v>1</v>
      </c>
    </row>
    <row r="27" spans="1:29" ht="15">
      <c r="A27" s="428"/>
      <c r="B27" s="632" t="s">
        <v>2647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65"/>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65"/>
      <c r="Z27" s="1814" t="str">
        <f t="shared" ref="Z27:Z40" si="13">Q27</f>
        <v>临街状况</v>
      </c>
      <c r="AA27" s="1811">
        <f t="shared" si="3"/>
        <v>1</v>
      </c>
      <c r="AB27" s="1811">
        <f t="shared" si="4"/>
        <v>1</v>
      </c>
      <c r="AC27" s="1811">
        <f t="shared" si="5"/>
        <v>1</v>
      </c>
    </row>
    <row r="28" spans="1:29" ht="27">
      <c r="A28" s="428"/>
      <c r="B28" s="633" t="s">
        <v>2682</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v>1</v>
      </c>
      <c r="L28" s="1140"/>
      <c r="M28" s="1131"/>
      <c r="N28" s="1131"/>
      <c r="O28" s="1139"/>
      <c r="P28" s="3165"/>
      <c r="Q28" s="1810" t="str">
        <f t="shared" si="8"/>
        <v>毗邻道路的类型与等级</v>
      </c>
      <c r="R28" s="774" t="s">
        <v>17</v>
      </c>
      <c r="S28" s="775">
        <f t="shared" si="10"/>
        <v>100</v>
      </c>
      <c r="T28" s="774" t="s">
        <v>17</v>
      </c>
      <c r="U28" s="775">
        <f t="shared" si="11"/>
        <v>100</v>
      </c>
      <c r="V28" s="774" t="s">
        <v>17</v>
      </c>
      <c r="W28" s="775">
        <f t="shared" si="12"/>
        <v>100</v>
      </c>
      <c r="X28" s="1813"/>
      <c r="Y28" s="3165"/>
      <c r="Z28" s="1814" t="str">
        <f t="shared" si="13"/>
        <v>毗邻道路的类型与等级</v>
      </c>
      <c r="AA28" s="1811">
        <f t="shared" si="3"/>
        <v>1</v>
      </c>
      <c r="AB28" s="1811">
        <f t="shared" si="4"/>
        <v>1</v>
      </c>
      <c r="AC28" s="1811">
        <f t="shared" si="5"/>
        <v>1</v>
      </c>
    </row>
    <row r="29" spans="1:29" ht="15.75" thickBot="1">
      <c r="A29" s="428"/>
      <c r="B29" s="632"/>
      <c r="C29" s="447" t="s">
        <v>3096</v>
      </c>
      <c r="D29" s="448"/>
      <c r="E29" s="447" t="s">
        <v>3096</v>
      </c>
      <c r="F29" s="448"/>
      <c r="G29" s="447" t="s">
        <v>3096</v>
      </c>
      <c r="H29" s="448"/>
      <c r="I29" s="447" t="s">
        <v>3096</v>
      </c>
      <c r="J29" s="448"/>
      <c r="K29" s="613"/>
      <c r="L29" s="1140"/>
      <c r="M29" s="1131"/>
      <c r="N29" s="1131"/>
      <c r="O29" s="1139"/>
      <c r="P29" s="3165"/>
      <c r="Q29" s="1810"/>
      <c r="R29" s="774"/>
      <c r="S29" s="775"/>
      <c r="T29" s="774"/>
      <c r="U29" s="775"/>
      <c r="V29" s="774"/>
      <c r="W29" s="775"/>
      <c r="X29" s="1813"/>
      <c r="Y29" s="3165"/>
      <c r="Z29" s="1814"/>
      <c r="AA29" s="1811">
        <v>1</v>
      </c>
      <c r="AB29" s="1811">
        <v>1</v>
      </c>
      <c r="AC29" s="1811">
        <v>1</v>
      </c>
    </row>
    <row r="30" spans="1:29" ht="15" hidden="1">
      <c r="A30" s="428"/>
      <c r="B30" s="654" t="s">
        <v>2741</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65"/>
      <c r="Q30" s="1810" t="str">
        <f t="shared" si="8"/>
        <v>土地级别</v>
      </c>
      <c r="R30" s="774" t="s">
        <v>17</v>
      </c>
      <c r="S30" s="775">
        <f t="shared" si="10"/>
        <v>100</v>
      </c>
      <c r="T30" s="774" t="s">
        <v>17</v>
      </c>
      <c r="U30" s="775">
        <f t="shared" si="11"/>
        <v>100</v>
      </c>
      <c r="V30" s="774" t="s">
        <v>17</v>
      </c>
      <c r="W30" s="775">
        <f t="shared" si="12"/>
        <v>100</v>
      </c>
      <c r="X30" s="1813"/>
      <c r="Y30" s="3165"/>
      <c r="Z30" s="1814" t="str">
        <f t="shared" si="13"/>
        <v>土地级别</v>
      </c>
      <c r="AA30" s="1811">
        <f t="shared" si="3"/>
        <v>1</v>
      </c>
      <c r="AB30" s="1811">
        <f t="shared" si="4"/>
        <v>1</v>
      </c>
      <c r="AC30" s="1811">
        <f t="shared" si="5"/>
        <v>1</v>
      </c>
    </row>
    <row r="31" spans="1:29" ht="15" hidden="1">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65"/>
      <c r="Q31" s="1810">
        <f t="shared" si="8"/>
        <v>111</v>
      </c>
      <c r="R31" s="774" t="s">
        <v>17</v>
      </c>
      <c r="S31" s="775">
        <f t="shared" si="10"/>
        <v>100</v>
      </c>
      <c r="T31" s="774" t="s">
        <v>17</v>
      </c>
      <c r="U31" s="775">
        <f t="shared" si="11"/>
        <v>100</v>
      </c>
      <c r="V31" s="774" t="s">
        <v>17</v>
      </c>
      <c r="W31" s="775">
        <f t="shared" si="12"/>
        <v>100</v>
      </c>
      <c r="X31" s="1813"/>
      <c r="Y31" s="3165"/>
      <c r="Z31" s="1814">
        <f t="shared" si="13"/>
        <v>111</v>
      </c>
      <c r="AA31" s="1811">
        <f t="shared" si="3"/>
        <v>1</v>
      </c>
      <c r="AB31" s="1811">
        <f t="shared" si="4"/>
        <v>1</v>
      </c>
      <c r="AC31" s="1811">
        <f t="shared" si="5"/>
        <v>1</v>
      </c>
    </row>
    <row r="32" spans="1:29" ht="15" hidden="1">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66" t="s">
        <v>2556</v>
      </c>
      <c r="Q32" s="1810">
        <f t="shared" si="8"/>
        <v>111</v>
      </c>
      <c r="R32" s="774" t="s">
        <v>17</v>
      </c>
      <c r="S32" s="775">
        <f t="shared" si="10"/>
        <v>100</v>
      </c>
      <c r="T32" s="774" t="s">
        <v>17</v>
      </c>
      <c r="U32" s="775">
        <f t="shared" si="11"/>
        <v>100</v>
      </c>
      <c r="V32" s="774" t="s">
        <v>17</v>
      </c>
      <c r="W32" s="775">
        <f t="shared" si="12"/>
        <v>100</v>
      </c>
      <c r="X32" s="1813"/>
      <c r="Y32" s="3167" t="s">
        <v>2556</v>
      </c>
      <c r="Z32" s="1814">
        <f t="shared" si="13"/>
        <v>111</v>
      </c>
      <c r="AA32" s="1811">
        <f t="shared" si="3"/>
        <v>1</v>
      </c>
      <c r="AB32" s="1811">
        <f t="shared" si="4"/>
        <v>1</v>
      </c>
      <c r="AC32" s="1811">
        <f t="shared" si="5"/>
        <v>1</v>
      </c>
    </row>
    <row r="33" spans="1:29" s="471" customFormat="1" ht="15.75" hidden="1"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67"/>
      <c r="Q33" s="1810">
        <f t="shared" si="8"/>
        <v>111</v>
      </c>
      <c r="R33" s="777" t="s">
        <v>17</v>
      </c>
      <c r="S33" s="778">
        <f t="shared" si="10"/>
        <v>100</v>
      </c>
      <c r="T33" s="777" t="s">
        <v>17</v>
      </c>
      <c r="U33" s="778">
        <f t="shared" si="11"/>
        <v>100</v>
      </c>
      <c r="V33" s="777" t="s">
        <v>17</v>
      </c>
      <c r="W33" s="778">
        <f t="shared" si="12"/>
        <v>100</v>
      </c>
      <c r="X33" s="779"/>
      <c r="Y33" s="3167"/>
      <c r="Z33" s="780">
        <f t="shared" si="13"/>
        <v>111</v>
      </c>
      <c r="AA33" s="1811">
        <f t="shared" si="3"/>
        <v>1</v>
      </c>
      <c r="AB33" s="1811">
        <f t="shared" si="4"/>
        <v>1</v>
      </c>
      <c r="AC33" s="1811">
        <f t="shared" si="5"/>
        <v>1</v>
      </c>
    </row>
    <row r="34" spans="1:29" ht="15">
      <c r="A34" s="440" t="s">
        <v>2554</v>
      </c>
      <c r="B34" s="456" t="s">
        <v>2742</v>
      </c>
      <c r="C34" s="679">
        <f>项目基本情况!C18</f>
        <v>6139</v>
      </c>
      <c r="D34" s="467">
        <v>100</v>
      </c>
      <c r="E34" s="679">
        <f>土地案例!$F$5</f>
        <v>7334.02</v>
      </c>
      <c r="F34" s="467">
        <f>LOOKUP(E34,108:108,109:109)-LOOKUP(C34,108:108,109:109)+100</f>
        <v>100</v>
      </c>
      <c r="G34" s="679">
        <f>土地案例!$F$6</f>
        <v>87485.42</v>
      </c>
      <c r="H34" s="467">
        <f>LOOKUP(G34,108:108,109:109)-LOOKUP(C34,108:108,109:109)+100</f>
        <v>101</v>
      </c>
      <c r="I34" s="530">
        <f>土地案例!$F$7</f>
        <v>288307.5</v>
      </c>
      <c r="J34" s="467">
        <f>LOOKUP(I34,108:108,109:109)-LOOKUP(C34,108:108,109:109)+100</f>
        <v>105</v>
      </c>
      <c r="K34" s="613"/>
      <c r="L34" s="1140"/>
      <c r="M34" s="1131"/>
      <c r="N34" s="1131"/>
      <c r="O34" s="1139"/>
      <c r="P34" s="3167"/>
      <c r="Q34" s="1810" t="str">
        <f>B34</f>
        <v>宗地面积</v>
      </c>
      <c r="R34" s="774" t="s">
        <v>17</v>
      </c>
      <c r="S34" s="775">
        <f t="shared" si="10"/>
        <v>100</v>
      </c>
      <c r="T34" s="774" t="s">
        <v>17</v>
      </c>
      <c r="U34" s="775">
        <f t="shared" si="11"/>
        <v>101</v>
      </c>
      <c r="V34" s="774" t="s">
        <v>17</v>
      </c>
      <c r="W34" s="775">
        <f t="shared" si="12"/>
        <v>105</v>
      </c>
      <c r="X34" s="1813"/>
      <c r="Y34" s="3167"/>
      <c r="Z34" s="1814" t="str">
        <f t="shared" si="13"/>
        <v>宗地面积</v>
      </c>
      <c r="AA34" s="1811">
        <f t="shared" si="3"/>
        <v>1</v>
      </c>
      <c r="AB34" s="1811">
        <f t="shared" si="4"/>
        <v>0.99009900990099009</v>
      </c>
      <c r="AC34" s="1811">
        <f t="shared" si="5"/>
        <v>0.95238095238095233</v>
      </c>
    </row>
    <row r="35" spans="1:29" ht="15">
      <c r="A35" s="472"/>
      <c r="B35" s="422" t="s">
        <v>2743</v>
      </c>
      <c r="C35" s="2612" t="s">
        <v>3097</v>
      </c>
      <c r="D35" s="435">
        <v>100</v>
      </c>
      <c r="E35" s="2612" t="s">
        <v>3097</v>
      </c>
      <c r="F35" s="435">
        <f>SUMIF(110:110,E35,111:111)-SUMIF(110:110,C35,111:111)+100</f>
        <v>100</v>
      </c>
      <c r="G35" s="2612" t="s">
        <v>3097</v>
      </c>
      <c r="H35" s="435">
        <f>SUMIF(110:110,G35,111:111)-SUMIF(110:110,C35,111:111)+100</f>
        <v>100</v>
      </c>
      <c r="I35" s="2612" t="s">
        <v>3097</v>
      </c>
      <c r="J35" s="435">
        <f>SUMIF(110:110,I35,111:111)-SUMIF(110:110,C35,111:111)+100</f>
        <v>100</v>
      </c>
      <c r="K35" s="612">
        <v>2</v>
      </c>
      <c r="L35" s="1140"/>
      <c r="M35" s="1131"/>
      <c r="N35" s="1131"/>
      <c r="O35" s="1139"/>
      <c r="P35" s="3167"/>
      <c r="Q35" s="1810" t="str">
        <f t="shared" ref="Q35:Q40" si="14">B35</f>
        <v>宗地形状</v>
      </c>
      <c r="R35" s="774" t="s">
        <v>17</v>
      </c>
      <c r="S35" s="775">
        <f t="shared" si="10"/>
        <v>100</v>
      </c>
      <c r="T35" s="774" t="s">
        <v>17</v>
      </c>
      <c r="U35" s="775">
        <f t="shared" si="11"/>
        <v>100</v>
      </c>
      <c r="V35" s="774" t="s">
        <v>17</v>
      </c>
      <c r="W35" s="775">
        <f t="shared" si="12"/>
        <v>100</v>
      </c>
      <c r="X35" s="1813"/>
      <c r="Y35" s="3167"/>
      <c r="Z35" s="1814" t="str">
        <f t="shared" si="13"/>
        <v>宗地形状</v>
      </c>
      <c r="AA35" s="1811">
        <f t="shared" si="3"/>
        <v>1</v>
      </c>
      <c r="AB35" s="1811">
        <f t="shared" si="4"/>
        <v>1</v>
      </c>
      <c r="AC35" s="1811">
        <f t="shared" si="5"/>
        <v>1</v>
      </c>
    </row>
    <row r="36" spans="1:29" s="117" customFormat="1" ht="15">
      <c r="A36" s="473"/>
      <c r="B36" s="422" t="s">
        <v>2745</v>
      </c>
      <c r="C36" s="2701" t="s">
        <v>3091</v>
      </c>
      <c r="D36" s="136">
        <v>100</v>
      </c>
      <c r="E36" s="2701" t="s">
        <v>3091</v>
      </c>
      <c r="F36" s="435">
        <f>SUMIF(112:112,E36,113:113)-SUMIF(112:112,C36,113:113)+100</f>
        <v>100</v>
      </c>
      <c r="G36" s="2701" t="s">
        <v>3091</v>
      </c>
      <c r="H36" s="435">
        <f>SUMIF(112:112,G36,113:113)-SUMIF(112:112,C36,113:113)+100</f>
        <v>100</v>
      </c>
      <c r="I36" s="2701" t="s">
        <v>3091</v>
      </c>
      <c r="J36" s="435">
        <f>SUMIF(112:112,I36,113:113)-SUMIF(112:112,C36,113:113)+100</f>
        <v>100</v>
      </c>
      <c r="K36" s="612">
        <v>2</v>
      </c>
      <c r="L36" s="1132"/>
      <c r="M36" s="1133"/>
      <c r="N36" s="1133"/>
      <c r="O36" s="1134"/>
      <c r="P36" s="3167"/>
      <c r="Q36" s="1810" t="str">
        <f t="shared" si="14"/>
        <v>宗地开发程度</v>
      </c>
      <c r="R36" s="770" t="s">
        <v>17</v>
      </c>
      <c r="S36" s="771">
        <f t="shared" si="10"/>
        <v>100</v>
      </c>
      <c r="T36" s="770" t="s">
        <v>17</v>
      </c>
      <c r="U36" s="771">
        <f t="shared" si="11"/>
        <v>100</v>
      </c>
      <c r="V36" s="770" t="s">
        <v>17</v>
      </c>
      <c r="W36" s="771">
        <f t="shared" si="12"/>
        <v>100</v>
      </c>
      <c r="X36" s="772"/>
      <c r="Y36" s="3167"/>
      <c r="Z36" s="55" t="str">
        <f t="shared" si="13"/>
        <v>宗地开发程度</v>
      </c>
      <c r="AA36" s="773">
        <f t="shared" si="3"/>
        <v>1</v>
      </c>
      <c r="AB36" s="773">
        <f t="shared" si="4"/>
        <v>1</v>
      </c>
      <c r="AC36" s="773">
        <f t="shared" si="5"/>
        <v>1</v>
      </c>
    </row>
    <row r="37" spans="1:29" ht="15">
      <c r="A37" s="472"/>
      <c r="B37" s="422" t="s">
        <v>2746</v>
      </c>
      <c r="C37" s="2612" t="s">
        <v>3094</v>
      </c>
      <c r="D37" s="435">
        <v>100</v>
      </c>
      <c r="E37" s="2612" t="s">
        <v>3094</v>
      </c>
      <c r="F37" s="435">
        <f>SUMIF(114:114,E37,115:115)-SUMIF(114:114,C37,115:115)+100</f>
        <v>100</v>
      </c>
      <c r="G37" s="2612" t="s">
        <v>3094</v>
      </c>
      <c r="H37" s="435">
        <f>SUMIF(114:114,G37,115:115)-SUMIF(114:114,C37,115:115)+100</f>
        <v>100</v>
      </c>
      <c r="I37" s="2612" t="s">
        <v>3094</v>
      </c>
      <c r="J37" s="435">
        <f>SUMIF(114:114,I37,115:115)-SUMIF(114:114,C37,115:115)+100</f>
        <v>100</v>
      </c>
      <c r="K37" s="612">
        <v>3</v>
      </c>
      <c r="L37" s="1140"/>
      <c r="M37" s="1131"/>
      <c r="N37" s="1131"/>
      <c r="O37" s="1139"/>
      <c r="P37" s="3167" t="s">
        <v>2556</v>
      </c>
      <c r="Q37" s="1810" t="str">
        <f t="shared" si="14"/>
        <v>工程地质条件</v>
      </c>
      <c r="R37" s="774" t="s">
        <v>17</v>
      </c>
      <c r="S37" s="775">
        <f t="shared" si="10"/>
        <v>100</v>
      </c>
      <c r="T37" s="774" t="s">
        <v>17</v>
      </c>
      <c r="U37" s="775">
        <f t="shared" si="11"/>
        <v>100</v>
      </c>
      <c r="V37" s="774" t="s">
        <v>17</v>
      </c>
      <c r="W37" s="775">
        <f t="shared" si="12"/>
        <v>100</v>
      </c>
      <c r="X37" s="1813"/>
      <c r="Y37" s="3167" t="s">
        <v>2556</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67"/>
      <c r="Q38" s="1810">
        <f t="shared" si="14"/>
        <v>111</v>
      </c>
      <c r="R38" s="774" t="s">
        <v>17</v>
      </c>
      <c r="S38" s="775">
        <f t="shared" si="10"/>
        <v>100</v>
      </c>
      <c r="T38" s="774" t="s">
        <v>17</v>
      </c>
      <c r="U38" s="775">
        <f t="shared" si="11"/>
        <v>100</v>
      </c>
      <c r="V38" s="774" t="s">
        <v>17</v>
      </c>
      <c r="W38" s="775">
        <f t="shared" si="12"/>
        <v>100</v>
      </c>
      <c r="X38" s="1813"/>
      <c r="Y38" s="3167"/>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67"/>
      <c r="Q39" s="1810">
        <f t="shared" si="14"/>
        <v>111</v>
      </c>
      <c r="R39" s="774" t="s">
        <v>17</v>
      </c>
      <c r="S39" s="775">
        <f t="shared" si="10"/>
        <v>100</v>
      </c>
      <c r="T39" s="774" t="s">
        <v>17</v>
      </c>
      <c r="U39" s="775">
        <f t="shared" si="11"/>
        <v>100</v>
      </c>
      <c r="V39" s="774" t="s">
        <v>17</v>
      </c>
      <c r="W39" s="775">
        <f t="shared" si="12"/>
        <v>100</v>
      </c>
      <c r="X39" s="1813"/>
      <c r="Y39" s="3167"/>
      <c r="Z39" s="1814">
        <f t="shared" si="13"/>
        <v>111</v>
      </c>
      <c r="AA39" s="1811">
        <f t="shared" si="3"/>
        <v>1</v>
      </c>
      <c r="AB39" s="1811">
        <f t="shared" si="4"/>
        <v>1</v>
      </c>
      <c r="AC39" s="1811">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67"/>
      <c r="Q40" s="1810">
        <f t="shared" si="14"/>
        <v>111</v>
      </c>
      <c r="R40" s="777" t="s">
        <v>17</v>
      </c>
      <c r="S40" s="778">
        <f t="shared" si="10"/>
        <v>100</v>
      </c>
      <c r="T40" s="777" t="s">
        <v>17</v>
      </c>
      <c r="U40" s="778">
        <f t="shared" si="11"/>
        <v>100</v>
      </c>
      <c r="V40" s="777" t="s">
        <v>17</v>
      </c>
      <c r="W40" s="778">
        <f t="shared" si="12"/>
        <v>100</v>
      </c>
      <c r="X40" s="779"/>
      <c r="Y40" s="3167"/>
      <c r="Z40" s="780">
        <f t="shared" si="13"/>
        <v>111</v>
      </c>
      <c r="AA40" s="1811">
        <f t="shared" si="3"/>
        <v>1</v>
      </c>
      <c r="AB40" s="1811">
        <f t="shared" si="4"/>
        <v>1</v>
      </c>
      <c r="AC40" s="1811">
        <f t="shared" si="5"/>
        <v>1</v>
      </c>
    </row>
    <row r="41" spans="1:29" ht="15">
      <c r="A41" s="479" t="s">
        <v>2711</v>
      </c>
      <c r="B41" s="2703" t="s">
        <v>3117</v>
      </c>
      <c r="C41" s="682" t="s">
        <v>1</v>
      </c>
      <c r="D41" s="481"/>
      <c r="E41" s="482">
        <f>土地案例!$P$5</f>
        <v>682</v>
      </c>
      <c r="F41" s="483"/>
      <c r="G41" s="484">
        <f>土地案例!$P$6</f>
        <v>688</v>
      </c>
      <c r="H41" s="485"/>
      <c r="I41" s="482">
        <f>土地案例!$P$7</f>
        <v>667</v>
      </c>
      <c r="J41" s="485"/>
      <c r="K41" s="783"/>
      <c r="L41" s="1143" t="s">
        <v>3284</v>
      </c>
      <c r="M41" s="1131"/>
      <c r="N41" s="1131"/>
      <c r="O41" s="1144"/>
      <c r="P41" s="3161" t="str">
        <f>A41</f>
        <v>成交单价</v>
      </c>
      <c r="Q41" s="3161"/>
      <c r="R41" s="3163">
        <f>E41</f>
        <v>682</v>
      </c>
      <c r="S41" s="3163"/>
      <c r="T41" s="3163">
        <f>G41</f>
        <v>688</v>
      </c>
      <c r="U41" s="3163"/>
      <c r="V41" s="3163">
        <f>I41</f>
        <v>667</v>
      </c>
      <c r="W41" s="3163"/>
      <c r="X41" s="759"/>
      <c r="Y41" s="781"/>
      <c r="Z41" s="759"/>
      <c r="AA41" s="759"/>
      <c r="AB41" s="759"/>
      <c r="AC41" s="759"/>
    </row>
    <row r="42" spans="1:29" ht="15.75" thickBot="1">
      <c r="A42" s="486" t="s">
        <v>2660</v>
      </c>
      <c r="B42" s="683"/>
      <c r="C42" s="490">
        <f>R43</f>
        <v>561</v>
      </c>
      <c r="D42" s="489"/>
      <c r="E42" s="490">
        <f>R42</f>
        <v>572</v>
      </c>
      <c r="F42" s="491"/>
      <c r="G42" s="488">
        <f>T42</f>
        <v>574</v>
      </c>
      <c r="H42" s="489"/>
      <c r="I42" s="490">
        <f>V42</f>
        <v>538</v>
      </c>
      <c r="J42" s="489"/>
      <c r="K42" s="784"/>
      <c r="L42" s="1143"/>
      <c r="M42" s="1131"/>
      <c r="N42" s="1131"/>
      <c r="O42" s="1144"/>
      <c r="P42" s="3161" t="str">
        <f>A42</f>
        <v>比较价值（元/平方米）</v>
      </c>
      <c r="Q42" s="3161"/>
      <c r="R42" s="3162">
        <f>ROUND(PRODUCT(R41,AA7:AA40),0)</f>
        <v>572</v>
      </c>
      <c r="S42" s="3162"/>
      <c r="T42" s="3162">
        <f>ROUND(PRODUCT(T41,AB7:AB40),0)</f>
        <v>574</v>
      </c>
      <c r="U42" s="3162"/>
      <c r="V42" s="3162">
        <f>ROUND(PRODUCT(V41,AC7:AC40),0)</f>
        <v>538</v>
      </c>
      <c r="W42" s="3162"/>
      <c r="X42" s="759"/>
      <c r="Y42" s="759"/>
      <c r="Z42" s="759"/>
      <c r="AA42" s="759"/>
      <c r="AB42" s="759"/>
      <c r="AC42" s="759"/>
    </row>
    <row r="43" spans="1:29" ht="15.75" thickBot="1">
      <c r="A43" s="492" t="s">
        <v>2661</v>
      </c>
      <c r="B43" s="493"/>
      <c r="C43" s="494">
        <f>R43</f>
        <v>561</v>
      </c>
      <c r="D43" s="494"/>
      <c r="E43" s="494"/>
      <c r="F43" s="494"/>
      <c r="G43" s="494"/>
      <c r="H43" s="494"/>
      <c r="I43" s="494"/>
      <c r="J43" s="494"/>
      <c r="K43" s="785"/>
      <c r="L43" s="1143"/>
      <c r="M43" s="1131"/>
      <c r="N43" s="1131"/>
      <c r="O43" s="1144"/>
      <c r="P43" s="3158" t="str">
        <f>A43</f>
        <v>估价对象XX用房的比较价值（楼面单价，元/平方米）</v>
      </c>
      <c r="Q43" s="3159"/>
      <c r="R43" s="3160">
        <f>ROUND(AVERAGE(R42:V42),0)</f>
        <v>561</v>
      </c>
      <c r="S43" s="3160"/>
      <c r="T43" s="3160"/>
      <c r="U43" s="3160"/>
      <c r="V43" s="3160"/>
      <c r="W43" s="3160"/>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2662</v>
      </c>
      <c r="D46" s="498"/>
      <c r="E46" s="499">
        <f>IF(E41&lt;E42,E42/E41-1,E41/E42-1)</f>
        <v>0.19230769230769229</v>
      </c>
      <c r="F46" s="500" t="str">
        <f>IF(OR(E46&gt;=0.3,E46&lt;=-0.3),"超过30%","")</f>
        <v/>
      </c>
      <c r="G46" s="499">
        <f>IF(G41&lt;G42,G42/G41-1,G41/G42-1)</f>
        <v>0.19860627177700341</v>
      </c>
      <c r="H46" s="500" t="str">
        <f>IF(OR(G46&gt;=0.3,G46&lt;=-0.3),"超过30%","")</f>
        <v/>
      </c>
      <c r="I46" s="499">
        <f>IF(I41&lt;I42,I42/I41-1,I41/I42-1)</f>
        <v>0.2397769516728625</v>
      </c>
      <c r="J46" s="500" t="str">
        <f>IF(OR(I46&gt;=0.3,I46&lt;=-0.3),"超过30%","")</f>
        <v/>
      </c>
      <c r="K46" s="1105"/>
      <c r="L46" s="1106"/>
      <c r="M46" s="1131"/>
      <c r="N46" s="1131"/>
      <c r="O46" s="1144"/>
    </row>
    <row r="47" spans="1:29" ht="13.5" customHeight="1">
      <c r="A47" s="1144"/>
      <c r="B47" s="1144"/>
      <c r="C47" s="497" t="s">
        <v>2663</v>
      </c>
      <c r="D47" s="501"/>
      <c r="E47" s="499">
        <f>IF(E42&lt;G42,G42/E42-1,E42/G42-1)</f>
        <v>3.4965034965035446E-3</v>
      </c>
      <c r="F47" s="500" t="str">
        <f>IF(OR(E47&gt;=0.2,E47&lt;=-0.2),"超过20%","")</f>
        <v/>
      </c>
      <c r="G47" s="499">
        <f>IF(G42&lt;I42,I42/G42-1,G42/I42-1)</f>
        <v>6.6914498141263934E-2</v>
      </c>
      <c r="H47" s="500" t="str">
        <f>IF(OR(G47&gt;=0.2,G47&lt;=-0.2),"超过20%","")</f>
        <v/>
      </c>
      <c r="I47" s="499">
        <f>IF(I42&lt;E42,E42/I42-1,I42/E42-1)</f>
        <v>6.3197026022304925E-2</v>
      </c>
      <c r="J47" s="500" t="str">
        <f>IF(OR(I47&gt;=0.2,I47&lt;=-0.2),"超过20%","")</f>
        <v/>
      </c>
      <c r="K47" s="1105"/>
      <c r="L47" s="1106"/>
      <c r="M47" s="1144"/>
      <c r="N47" s="1144"/>
      <c r="O47" s="1144"/>
    </row>
    <row r="48" spans="1:29" s="502" customFormat="1" ht="13.5" customHeight="1">
      <c r="A48" s="1145"/>
      <c r="B48" s="1145"/>
      <c r="C48" s="497" t="s">
        <v>2664</v>
      </c>
      <c r="D48" s="501"/>
      <c r="E48" s="499">
        <f>IF(E41&lt;G41,G41/E41-1,E41/G41-1)</f>
        <v>8.7976539589442737E-3</v>
      </c>
      <c r="F48" s="500" t="str">
        <f>IF(OR(E48&gt;=0.3,E48&lt;=-0.3),"超过30%","")</f>
        <v/>
      </c>
      <c r="G48" s="499">
        <f>IF(G41&lt;I41,I41/G41-1,G41/I41-1)</f>
        <v>3.1484257871064569E-2</v>
      </c>
      <c r="H48" s="500" t="str">
        <f>IF(OR(G48&gt;=0.3,G48&lt;=-0.3),"超过30%","")</f>
        <v/>
      </c>
      <c r="I48" s="499">
        <f>IF(I41&lt;E41,E41/I41-1,I41/E41-1)</f>
        <v>2.2488755622188883E-2</v>
      </c>
      <c r="J48" s="500" t="str">
        <f>IF(OR(I48&gt;=0.3,I48&lt;=-0.3),"超过30%","")</f>
        <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2749</v>
      </c>
      <c r="B50" s="685" t="s">
        <v>2750</v>
      </c>
      <c r="C50" s="2704" t="s">
        <v>2751</v>
      </c>
      <c r="D50" s="2705" t="s">
        <v>2752</v>
      </c>
      <c r="E50" s="686" t="s">
        <v>2753</v>
      </c>
      <c r="F50" s="687" t="s">
        <v>2754</v>
      </c>
      <c r="G50" s="3171" t="s">
        <v>2755</v>
      </c>
      <c r="H50" s="3185"/>
      <c r="I50" s="1814" t="s">
        <v>2791</v>
      </c>
      <c r="J50" s="1814">
        <f>项目基本情况!F35</f>
        <v>0</v>
      </c>
      <c r="K50" s="2707" t="s">
        <v>2757</v>
      </c>
      <c r="L50" s="1106"/>
      <c r="M50" s="1144"/>
      <c r="N50" s="1144"/>
      <c r="O50" s="1144"/>
    </row>
    <row r="51" spans="1:17" s="692" customFormat="1">
      <c r="A51" s="688" t="s">
        <v>2758</v>
      </c>
      <c r="B51" s="689">
        <f>C43</f>
        <v>561</v>
      </c>
      <c r="C51" s="690">
        <v>1</v>
      </c>
      <c r="D51" s="1163">
        <v>1</v>
      </c>
      <c r="E51" s="690">
        <f>'数据-汇总表'!E8+'数据-汇总表'!E9</f>
        <v>2422.75</v>
      </c>
      <c r="F51" s="691">
        <f t="shared" ref="F51:F60" si="15">ROUND(B51*E51/10000,0)</f>
        <v>136</v>
      </c>
      <c r="G51" s="3186"/>
      <c r="H51" s="3161"/>
      <c r="I51" s="942">
        <v>1</v>
      </c>
      <c r="J51" s="942">
        <v>1</v>
      </c>
      <c r="K51" s="1145"/>
      <c r="L51" s="941"/>
      <c r="M51" s="941"/>
      <c r="N51" s="941"/>
      <c r="O51" s="941"/>
    </row>
    <row r="52" spans="1:17" s="692" customFormat="1">
      <c r="A52" s="693" t="s">
        <v>2759</v>
      </c>
      <c r="B52" s="262">
        <f>ROUND($C$43*C52*D52,0)</f>
        <v>0</v>
      </c>
      <c r="C52" s="200">
        <f t="shared" ref="C52:C60" si="16">IF($C$50="北京市系数",I52,J52)</f>
        <v>0</v>
      </c>
      <c r="D52" s="1164">
        <v>0.25</v>
      </c>
      <c r="E52" s="694"/>
      <c r="F52" s="691">
        <f t="shared" si="15"/>
        <v>0</v>
      </c>
      <c r="G52" s="3187" t="s">
        <v>2760</v>
      </c>
      <c r="H52" s="1104">
        <f>项目基本情况!B37</f>
        <v>0</v>
      </c>
      <c r="I52" s="942">
        <f>SUMIF(修正!A45:A56,H52,修正!B45:B56)</f>
        <v>0</v>
      </c>
      <c r="J52" s="943"/>
      <c r="K52" s="1144"/>
      <c r="L52" s="941"/>
      <c r="M52" s="941"/>
      <c r="N52" s="941"/>
      <c r="O52" s="941"/>
    </row>
    <row r="53" spans="1:17" s="692" customFormat="1">
      <c r="A53" s="693" t="s">
        <v>2761</v>
      </c>
      <c r="B53" s="262">
        <f t="shared" ref="B53:B60" si="17">ROUND($C$43*C53*D53,0)</f>
        <v>0</v>
      </c>
      <c r="C53" s="200">
        <f t="shared" si="16"/>
        <v>0</v>
      </c>
      <c r="D53" s="1164">
        <v>0.25</v>
      </c>
      <c r="E53" s="694"/>
      <c r="F53" s="691">
        <f t="shared" si="15"/>
        <v>0</v>
      </c>
      <c r="G53" s="3187"/>
      <c r="H53" s="1104">
        <f>项目基本情况!B37</f>
        <v>0</v>
      </c>
      <c r="I53" s="942">
        <f>SUMIF(修正!A45:A56,H53,修正!C45:C56)</f>
        <v>0</v>
      </c>
      <c r="J53" s="943"/>
      <c r="K53" s="1145"/>
      <c r="L53" s="941"/>
      <c r="M53" s="941"/>
      <c r="N53" s="941"/>
      <c r="O53" s="941"/>
    </row>
    <row r="54" spans="1:17" s="692" customFormat="1">
      <c r="A54" s="693" t="s">
        <v>2762</v>
      </c>
      <c r="B54" s="262">
        <f t="shared" si="17"/>
        <v>0</v>
      </c>
      <c r="C54" s="200">
        <f t="shared" si="16"/>
        <v>0</v>
      </c>
      <c r="D54" s="1164">
        <v>0.25</v>
      </c>
      <c r="E54" s="694"/>
      <c r="F54" s="691">
        <f t="shared" si="15"/>
        <v>0</v>
      </c>
      <c r="G54" s="3187"/>
      <c r="H54" s="1104">
        <f>项目基本情况!B37</f>
        <v>0</v>
      </c>
      <c r="I54" s="942">
        <f>SUMIF(修正!A45:A56,H54,修正!D45:D56)</f>
        <v>0</v>
      </c>
      <c r="J54" s="943"/>
      <c r="K54" s="1144"/>
      <c r="L54" s="941"/>
      <c r="M54" s="941"/>
      <c r="N54" s="941"/>
      <c r="O54" s="941"/>
    </row>
    <row r="55" spans="1:17" s="692" customFormat="1">
      <c r="A55" s="693" t="s">
        <v>2763</v>
      </c>
      <c r="B55" s="262">
        <f t="shared" si="17"/>
        <v>0</v>
      </c>
      <c r="C55" s="200">
        <f t="shared" si="16"/>
        <v>0</v>
      </c>
      <c r="D55" s="1164">
        <v>0.25</v>
      </c>
      <c r="E55" s="694"/>
      <c r="F55" s="691">
        <f t="shared" si="15"/>
        <v>0</v>
      </c>
      <c r="G55" s="3187"/>
      <c r="H55" s="1104">
        <f>项目基本情况!B37</f>
        <v>0</v>
      </c>
      <c r="I55" s="942">
        <f>SUMIF(修正!A45:A56,H55,修正!E45:E56)</f>
        <v>0</v>
      </c>
      <c r="J55" s="943"/>
      <c r="K55" s="1145"/>
      <c r="L55" s="941"/>
      <c r="M55" s="941"/>
      <c r="N55" s="941"/>
      <c r="O55" s="941"/>
    </row>
    <row r="56" spans="1:17" s="692" customFormat="1">
      <c r="A56" s="693" t="s">
        <v>2764</v>
      </c>
      <c r="B56" s="262">
        <f t="shared" si="17"/>
        <v>0</v>
      </c>
      <c r="C56" s="200">
        <f t="shared" si="16"/>
        <v>0</v>
      </c>
      <c r="D56" s="1164">
        <v>0.25</v>
      </c>
      <c r="E56" s="261">
        <f>'数据-汇总表'!E11</f>
        <v>0</v>
      </c>
      <c r="F56" s="691">
        <f t="shared" si="15"/>
        <v>0</v>
      </c>
      <c r="G56" s="2708" t="s">
        <v>2765</v>
      </c>
      <c r="H56" s="1104">
        <f>项目基本情况!C37</f>
        <v>0</v>
      </c>
      <c r="I56" s="942">
        <f>SUMIF(修正!A45:A56,H56,修正!F45:F56)</f>
        <v>0</v>
      </c>
      <c r="J56" s="943"/>
      <c r="K56" s="1144"/>
      <c r="L56" s="941"/>
      <c r="M56" s="941"/>
      <c r="N56" s="941"/>
      <c r="O56" s="941"/>
    </row>
    <row r="57" spans="1:17" s="692" customFormat="1">
      <c r="A57" s="693" t="s">
        <v>2766</v>
      </c>
      <c r="B57" s="262">
        <f t="shared" si="17"/>
        <v>0</v>
      </c>
      <c r="C57" s="200">
        <f t="shared" si="16"/>
        <v>0</v>
      </c>
      <c r="D57" s="1164">
        <v>0.25</v>
      </c>
      <c r="E57" s="261">
        <f>'数据-汇总表'!E12</f>
        <v>0</v>
      </c>
      <c r="F57" s="691">
        <f t="shared" si="15"/>
        <v>0</v>
      </c>
      <c r="G57" s="1109" t="s">
        <v>2767</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2768</v>
      </c>
      <c r="B58" s="262">
        <f t="shared" si="17"/>
        <v>0</v>
      </c>
      <c r="C58" s="200">
        <f t="shared" si="16"/>
        <v>0</v>
      </c>
      <c r="D58" s="1164">
        <v>0.25</v>
      </c>
      <c r="E58" s="261">
        <f>'数据-汇总表'!E13</f>
        <v>0</v>
      </c>
      <c r="F58" s="691">
        <f t="shared" si="15"/>
        <v>0</v>
      </c>
      <c r="G58" s="1109" t="s">
        <v>2769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2770</v>
      </c>
      <c r="B59" s="262">
        <f t="shared" si="17"/>
        <v>0</v>
      </c>
      <c r="C59" s="200">
        <f t="shared" si="16"/>
        <v>0</v>
      </c>
      <c r="D59" s="1164">
        <v>0.25</v>
      </c>
      <c r="E59" s="261">
        <f>'数据-汇总表'!E14</f>
        <v>0</v>
      </c>
      <c r="F59" s="691">
        <f t="shared" si="15"/>
        <v>0</v>
      </c>
      <c r="G59" s="2708" t="s">
        <v>2760</v>
      </c>
      <c r="H59" s="1104">
        <f>项目基本情况!B37</f>
        <v>0</v>
      </c>
      <c r="I59" s="942">
        <f>SUMIF(修正!A45:A56,H59,修正!H45:H56)</f>
        <v>0</v>
      </c>
      <c r="J59" s="943"/>
      <c r="K59" s="1145"/>
      <c r="L59" s="941"/>
      <c r="M59" s="941"/>
      <c r="N59" s="941"/>
      <c r="O59" s="941"/>
    </row>
    <row r="60" spans="1:17" s="692" customFormat="1" ht="15" thickBot="1">
      <c r="A60" s="693" t="s">
        <v>2771</v>
      </c>
      <c r="B60" s="262">
        <f t="shared" si="17"/>
        <v>0</v>
      </c>
      <c r="C60" s="200">
        <f t="shared" si="16"/>
        <v>0</v>
      </c>
      <c r="D60" s="1164">
        <v>0.25</v>
      </c>
      <c r="E60" s="261">
        <f>'数据-汇总表'!E15</f>
        <v>0</v>
      </c>
      <c r="F60" s="691">
        <f t="shared" si="15"/>
        <v>0</v>
      </c>
      <c r="G60" s="2709" t="s">
        <v>2765</v>
      </c>
      <c r="H60" s="1114">
        <f>项目基本情况!C37</f>
        <v>0</v>
      </c>
      <c r="I60" s="942">
        <f>SUMIF(修正!A45:A56,H60,修正!H45:H56)</f>
        <v>0</v>
      </c>
      <c r="J60" s="943"/>
      <c r="K60" s="1144"/>
      <c r="L60" s="941"/>
      <c r="M60" s="941"/>
      <c r="N60" s="941"/>
      <c r="O60" s="941"/>
    </row>
    <row r="61" spans="1:17" s="692" customFormat="1" ht="15" thickBot="1">
      <c r="A61" s="695" t="s">
        <v>2772</v>
      </c>
      <c r="B61" s="696" t="s">
        <v>28</v>
      </c>
      <c r="C61" s="696" t="s">
        <v>29</v>
      </c>
      <c r="D61" s="696" t="s">
        <v>1026</v>
      </c>
      <c r="E61" s="696">
        <f>IF(B41="楼面地价",SUM(E51:E60),'数据-汇总表'!D3)</f>
        <v>6139</v>
      </c>
      <c r="F61" s="697">
        <f>IF(B41="楼面地价",SUM(F51:F60),ROUND(C43*E61/10000,0))</f>
        <v>344</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2020-7-1</v>
      </c>
      <c r="D63" s="761">
        <f>EDATE(C63,-3)</f>
        <v>43922</v>
      </c>
      <c r="E63" s="761">
        <f>EDATE(D63,-3)</f>
        <v>43831</v>
      </c>
      <c r="F63" s="761">
        <f t="shared" ref="F63:O63" si="18">EDATE(E63,-3)</f>
        <v>43739</v>
      </c>
      <c r="G63" s="761">
        <f t="shared" si="18"/>
        <v>43647</v>
      </c>
      <c r="H63" s="761">
        <f t="shared" si="18"/>
        <v>43556</v>
      </c>
      <c r="I63" s="761">
        <f t="shared" si="18"/>
        <v>43466</v>
      </c>
      <c r="J63" s="761">
        <f t="shared" si="18"/>
        <v>43374</v>
      </c>
      <c r="K63" s="761">
        <f t="shared" si="18"/>
        <v>43282</v>
      </c>
      <c r="L63" s="761">
        <f t="shared" si="18"/>
        <v>43191</v>
      </c>
      <c r="M63" s="761">
        <f t="shared" si="18"/>
        <v>43101</v>
      </c>
      <c r="N63" s="761">
        <f t="shared" si="18"/>
        <v>43009</v>
      </c>
      <c r="O63" s="761">
        <f t="shared" si="18"/>
        <v>42917</v>
      </c>
    </row>
    <row r="64" spans="1:17" ht="21.75" thickBot="1">
      <c r="A64" s="763" t="s">
        <v>2665</v>
      </c>
      <c r="B64" s="759"/>
      <c r="C64" s="764"/>
      <c r="D64" s="764"/>
      <c r="E64" s="764"/>
      <c r="F64" s="765"/>
      <c r="G64" s="765"/>
      <c r="H64" s="764"/>
      <c r="I64" s="764"/>
      <c r="J64" s="764"/>
      <c r="K64" s="766"/>
      <c r="L64" s="767"/>
      <c r="M64" s="764"/>
      <c r="N64" s="764"/>
      <c r="O64" s="1159"/>
      <c r="P64" s="503"/>
      <c r="Q64" s="504"/>
    </row>
    <row r="65" spans="1:17" s="508" customFormat="1" ht="15">
      <c r="A65" s="2710" t="s">
        <v>2773</v>
      </c>
      <c r="B65" s="1359"/>
      <c r="C65" s="1572" t="str">
        <f>YEAR(C63)&amp;"-"&amp;ROUNDUP(MONTH(C63)/3,0)</f>
        <v>2020-3</v>
      </c>
      <c r="D65" s="1572" t="str">
        <f t="shared" ref="D65:O65" si="19">YEAR(D63)&amp;"-"&amp;ROUNDUP(MONTH(D63)/3,0)</f>
        <v>2020-2</v>
      </c>
      <c r="E65" s="1572" t="str">
        <f t="shared" si="19"/>
        <v>2020-1</v>
      </c>
      <c r="F65" s="1572" t="str">
        <f t="shared" si="19"/>
        <v>2019-4</v>
      </c>
      <c r="G65" s="1572" t="str">
        <f t="shared" si="19"/>
        <v>2019-3</v>
      </c>
      <c r="H65" s="1572" t="str">
        <f t="shared" si="19"/>
        <v>2019-2</v>
      </c>
      <c r="I65" s="1572" t="str">
        <f t="shared" si="19"/>
        <v>2019-1</v>
      </c>
      <c r="J65" s="1572" t="str">
        <f t="shared" si="19"/>
        <v>2018-4</v>
      </c>
      <c r="K65" s="1572" t="str">
        <f t="shared" si="19"/>
        <v>2018-3</v>
      </c>
      <c r="L65" s="1572" t="str">
        <f t="shared" si="19"/>
        <v>2018-2</v>
      </c>
      <c r="M65" s="1572" t="str">
        <f t="shared" si="19"/>
        <v>2018-1</v>
      </c>
      <c r="N65" s="1572" t="str">
        <f t="shared" si="19"/>
        <v>2017-4</v>
      </c>
      <c r="O65" s="1572" t="str">
        <f t="shared" si="19"/>
        <v>2017-3</v>
      </c>
      <c r="P65" s="507"/>
    </row>
    <row r="66" spans="1:17" s="117" customFormat="1" ht="30.75" customHeight="1">
      <c r="A66" s="2715" t="s">
        <v>2792</v>
      </c>
      <c r="B66" s="332" t="str">
        <f>"北京市平均增长率"&amp;TEXT(基准地价修正!P24,"0.00%")</f>
        <v>北京市平均增长率0.00%</v>
      </c>
      <c r="C66" s="603">
        <v>100</v>
      </c>
      <c r="D66" s="595">
        <f>C66-0.5</f>
        <v>99.5</v>
      </c>
      <c r="E66" s="595">
        <f t="shared" ref="E66:O66" si="20">D66-0.5</f>
        <v>99</v>
      </c>
      <c r="F66" s="595">
        <f t="shared" si="20"/>
        <v>98.5</v>
      </c>
      <c r="G66" s="595">
        <f t="shared" si="20"/>
        <v>98</v>
      </c>
      <c r="H66" s="595">
        <f t="shared" si="20"/>
        <v>97.5</v>
      </c>
      <c r="I66" s="595">
        <f t="shared" si="20"/>
        <v>97</v>
      </c>
      <c r="J66" s="595">
        <f t="shared" si="20"/>
        <v>96.5</v>
      </c>
      <c r="K66" s="595">
        <f t="shared" si="20"/>
        <v>96</v>
      </c>
      <c r="L66" s="595">
        <f t="shared" si="20"/>
        <v>95.5</v>
      </c>
      <c r="M66" s="595">
        <f t="shared" si="20"/>
        <v>95</v>
      </c>
      <c r="N66" s="595">
        <f t="shared" si="20"/>
        <v>94.5</v>
      </c>
      <c r="O66" s="595">
        <f t="shared" si="20"/>
        <v>94</v>
      </c>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2579</v>
      </c>
      <c r="B70" s="528" t="s">
        <v>2545</v>
      </c>
      <c r="C70" s="2955" t="s">
        <v>3074</v>
      </c>
      <c r="D70" s="530"/>
      <c r="E70" s="530"/>
      <c r="F70" s="530"/>
      <c r="G70" s="530"/>
      <c r="H70" s="530"/>
      <c r="I70" s="530"/>
      <c r="J70" s="530"/>
      <c r="K70" s="531"/>
      <c r="L70" s="532"/>
      <c r="M70" s="533"/>
      <c r="N70" s="1152"/>
      <c r="O70" s="1152"/>
      <c r="P70" s="45"/>
      <c r="Q70" s="504"/>
    </row>
    <row r="71" spans="1:17" ht="15.75" thickBot="1">
      <c r="A71" s="534"/>
      <c r="B71" s="535"/>
      <c r="C71" s="536">
        <v>100</v>
      </c>
      <c r="D71" s="536"/>
      <c r="E71" s="536"/>
      <c r="F71" s="536"/>
      <c r="G71" s="536"/>
      <c r="H71" s="536"/>
      <c r="I71" s="536"/>
      <c r="J71" s="536"/>
      <c r="K71" s="536"/>
      <c r="L71" s="536"/>
      <c r="M71" s="537"/>
      <c r="N71" s="1153"/>
      <c r="O71" s="1153"/>
      <c r="P71" s="45"/>
      <c r="Q71" s="504"/>
    </row>
    <row r="72" spans="1:17" ht="27.75" thickTop="1">
      <c r="A72" s="534"/>
      <c r="B72" s="538" t="s">
        <v>2548</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2549</v>
      </c>
      <c r="C74" s="547" t="str">
        <f>C75&amp;"（含）"&amp;"-"&amp;D75</f>
        <v>0（含）-1</v>
      </c>
      <c r="D74" s="547" t="str">
        <f t="shared" ref="D74:L74" si="21">D75&amp;"（含）"&amp;"-"&amp;E75</f>
        <v>1（含）-2</v>
      </c>
      <c r="E74" s="547" t="str">
        <f t="shared" si="21"/>
        <v>2（含）-3</v>
      </c>
      <c r="F74" s="547" t="str">
        <f t="shared" si="21"/>
        <v>3（含）-4</v>
      </c>
      <c r="G74" s="547" t="str">
        <f t="shared" si="21"/>
        <v>4（含）-</v>
      </c>
      <c r="H74" s="547" t="str">
        <f t="shared" si="21"/>
        <v>（含）-</v>
      </c>
      <c r="I74" s="547" t="str">
        <f t="shared" si="21"/>
        <v>（含）-</v>
      </c>
      <c r="J74" s="547" t="str">
        <f t="shared" si="21"/>
        <v>（含）-</v>
      </c>
      <c r="K74" s="547" t="str">
        <f t="shared" si="21"/>
        <v>（含）-</v>
      </c>
      <c r="L74" s="547" t="str">
        <f t="shared" si="21"/>
        <v>（含）-</v>
      </c>
      <c r="M74" s="448" t="str">
        <f>M75&amp;"（含）"&amp;"-"&amp;P75</f>
        <v>（含）-</v>
      </c>
      <c r="N74" s="1153"/>
      <c r="O74" s="1153"/>
      <c r="P74" s="45"/>
      <c r="Q74" s="504"/>
    </row>
    <row r="75" spans="1:17" ht="15">
      <c r="A75" s="534"/>
      <c r="B75" s="548"/>
      <c r="C75" s="549">
        <v>0</v>
      </c>
      <c r="D75" s="549">
        <v>1</v>
      </c>
      <c r="E75" s="549">
        <v>2</v>
      </c>
      <c r="F75" s="549">
        <v>3</v>
      </c>
      <c r="G75" s="549">
        <v>4</v>
      </c>
      <c r="H75" s="549"/>
      <c r="I75" s="549"/>
      <c r="J75" s="549"/>
      <c r="K75" s="550"/>
      <c r="L75" s="551"/>
      <c r="M75" s="552"/>
      <c r="N75" s="1152"/>
      <c r="O75" s="1152"/>
      <c r="P75" s="45"/>
      <c r="Q75" s="504"/>
    </row>
    <row r="76" spans="1:17" ht="15.75" thickBot="1">
      <c r="A76" s="534"/>
      <c r="B76" s="535"/>
      <c r="C76" s="544">
        <v>100</v>
      </c>
      <c r="D76" s="544">
        <f>IF($B$41="单位面积地价",C76+$K11,C76-$K11)</f>
        <v>103</v>
      </c>
      <c r="E76" s="544">
        <f t="shared" ref="E76:M76" si="22">IF($B$41="单位面积地价",D76+$K11,D76-$K11)</f>
        <v>106</v>
      </c>
      <c r="F76" s="544">
        <f t="shared" si="22"/>
        <v>109</v>
      </c>
      <c r="G76" s="544">
        <f t="shared" si="22"/>
        <v>112</v>
      </c>
      <c r="H76" s="544">
        <f t="shared" si="22"/>
        <v>115</v>
      </c>
      <c r="I76" s="544">
        <f t="shared" si="22"/>
        <v>118</v>
      </c>
      <c r="J76" s="544">
        <f t="shared" si="22"/>
        <v>121</v>
      </c>
      <c r="K76" s="544">
        <f t="shared" si="22"/>
        <v>124</v>
      </c>
      <c r="L76" s="544">
        <f t="shared" si="22"/>
        <v>127</v>
      </c>
      <c r="M76" s="544">
        <f t="shared" si="22"/>
        <v>130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2"/>
      <c r="O83" s="1152"/>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3"/>
      <c r="O84" s="1153"/>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2"/>
      <c r="O85" s="1152"/>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3"/>
      <c r="O86" s="1153"/>
      <c r="P86" s="45"/>
      <c r="Q86" s="504"/>
    </row>
    <row r="87" spans="1:17" s="117" customFormat="1" ht="15.75" thickTop="1">
      <c r="A87" s="579"/>
      <c r="B87" s="538" t="s">
        <v>2776</v>
      </c>
      <c r="C87" s="573" t="s">
        <v>2588</v>
      </c>
      <c r="D87" s="573" t="s">
        <v>2589</v>
      </c>
      <c r="E87" s="573" t="s">
        <v>2590</v>
      </c>
      <c r="F87" s="573" t="s">
        <v>2591</v>
      </c>
      <c r="G87" s="573" t="s">
        <v>2592</v>
      </c>
      <c r="H87" s="578"/>
      <c r="I87" s="578"/>
      <c r="J87" s="578"/>
      <c r="K87" s="578"/>
      <c r="L87" s="698"/>
      <c r="M87" s="622"/>
      <c r="N87" s="1151"/>
      <c r="O87" s="1151"/>
      <c r="P87" s="45"/>
      <c r="Q87" s="504"/>
    </row>
    <row r="88" spans="1:17" s="117" customFormat="1" ht="15.75" thickBot="1">
      <c r="A88" s="579"/>
      <c r="B88" s="543"/>
      <c r="C88" s="582">
        <v>100</v>
      </c>
      <c r="D88" s="544">
        <f>C88-$K19</f>
        <v>99</v>
      </c>
      <c r="E88" s="544">
        <f>D88-$K19</f>
        <v>98</v>
      </c>
      <c r="F88" s="544">
        <f>E88-$K19</f>
        <v>97</v>
      </c>
      <c r="G88" s="544">
        <f>F88-$K19</f>
        <v>96</v>
      </c>
      <c r="H88" s="544"/>
      <c r="I88" s="544"/>
      <c r="J88" s="544"/>
      <c r="K88" s="544"/>
      <c r="L88" s="544"/>
      <c r="M88" s="545"/>
      <c r="N88" s="1153"/>
      <c r="O88" s="1153"/>
      <c r="P88" s="45"/>
      <c r="Q88" s="504"/>
    </row>
    <row r="89" spans="1:17" s="117" customFormat="1" ht="27.75" thickTop="1">
      <c r="A89" s="579"/>
      <c r="B89" s="538" t="s">
        <v>2777</v>
      </c>
      <c r="C89" s="573" t="s">
        <v>2588</v>
      </c>
      <c r="D89" s="573" t="s">
        <v>2589</v>
      </c>
      <c r="E89" s="573" t="s">
        <v>2590</v>
      </c>
      <c r="F89" s="573" t="s">
        <v>2591</v>
      </c>
      <c r="G89" s="573" t="s">
        <v>2592</v>
      </c>
      <c r="H89" s="578"/>
      <c r="I89" s="578"/>
      <c r="J89" s="578"/>
      <c r="K89" s="578"/>
      <c r="L89" s="578"/>
      <c r="M89" s="622"/>
      <c r="N89" s="1151"/>
      <c r="O89" s="1151"/>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3"/>
      <c r="O90" s="1153"/>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4"/>
      <c r="O91" s="1154"/>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4"/>
      <c r="O92" s="1154"/>
      <c r="P92" s="558"/>
      <c r="Q92" s="559"/>
    </row>
    <row r="93" spans="1:17" s="471" customFormat="1" ht="15.75" thickTop="1">
      <c r="A93" s="553"/>
      <c r="B93" s="546" t="s">
        <v>2793</v>
      </c>
      <c r="C93" s="660" t="s">
        <v>2666</v>
      </c>
      <c r="D93" s="660" t="s">
        <v>2667</v>
      </c>
      <c r="E93" s="660" t="s">
        <v>2668</v>
      </c>
      <c r="F93" s="660" t="s">
        <v>2669</v>
      </c>
      <c r="G93" s="660" t="s">
        <v>2670</v>
      </c>
      <c r="H93" s="600"/>
      <c r="I93" s="600"/>
      <c r="J93" s="600"/>
      <c r="K93" s="600"/>
      <c r="L93" s="600"/>
      <c r="M93" s="602"/>
      <c r="N93" s="1154"/>
      <c r="O93" s="1154"/>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5"/>
      <c r="N94" s="1154"/>
      <c r="O94" s="1154"/>
      <c r="P94" s="558"/>
      <c r="Q94" s="559"/>
    </row>
    <row r="95" spans="1:17" ht="15.75" thickTop="1">
      <c r="A95" s="534"/>
      <c r="B95" s="538" t="str">
        <f>B27</f>
        <v>临街状况</v>
      </c>
      <c r="C95" s="539" t="s">
        <v>2778</v>
      </c>
      <c r="D95" s="539" t="s">
        <v>2779</v>
      </c>
      <c r="E95" s="539" t="s">
        <v>2780</v>
      </c>
      <c r="F95" s="539" t="s">
        <v>2781</v>
      </c>
      <c r="G95" s="539"/>
      <c r="H95" s="539"/>
      <c r="I95" s="539"/>
      <c r="J95" s="539"/>
      <c r="K95" s="540"/>
      <c r="L95" s="541"/>
      <c r="M95" s="542"/>
      <c r="N95" s="1152"/>
      <c r="O95" s="1152"/>
      <c r="P95" s="45"/>
      <c r="Q95" s="504"/>
    </row>
    <row r="96" spans="1:17" ht="15.75" thickBot="1">
      <c r="A96" s="534"/>
      <c r="B96" s="543"/>
      <c r="C96" s="544">
        <v>100</v>
      </c>
      <c r="D96" s="544">
        <f t="shared" ref="D96:M96" si="23">C96-$K27</f>
        <v>100</v>
      </c>
      <c r="E96" s="544">
        <f t="shared" si="23"/>
        <v>100</v>
      </c>
      <c r="F96" s="544">
        <f t="shared" si="23"/>
        <v>100</v>
      </c>
      <c r="G96" s="544">
        <f t="shared" si="23"/>
        <v>100</v>
      </c>
      <c r="H96" s="544">
        <f t="shared" si="23"/>
        <v>100</v>
      </c>
      <c r="I96" s="544">
        <f t="shared" si="23"/>
        <v>100</v>
      </c>
      <c r="J96" s="544">
        <f t="shared" si="23"/>
        <v>100</v>
      </c>
      <c r="K96" s="544">
        <f t="shared" si="23"/>
        <v>100</v>
      </c>
      <c r="L96" s="544">
        <f t="shared" si="23"/>
        <v>100</v>
      </c>
      <c r="M96" s="544">
        <f t="shared" si="23"/>
        <v>100</v>
      </c>
      <c r="N96" s="1153"/>
      <c r="O96" s="1153"/>
      <c r="P96" s="45"/>
      <c r="Q96" s="504"/>
    </row>
    <row r="97" spans="1:17" ht="27.75" thickTop="1">
      <c r="A97" s="534"/>
      <c r="B97" s="538" t="s">
        <v>2682</v>
      </c>
      <c r="C97" s="2956" t="s">
        <v>3075</v>
      </c>
      <c r="D97" s="2956" t="s">
        <v>3076</v>
      </c>
      <c r="E97" s="2956" t="s">
        <v>3077</v>
      </c>
      <c r="F97" s="2956" t="s">
        <v>3078</v>
      </c>
      <c r="G97" s="2956" t="s">
        <v>3079</v>
      </c>
      <c r="H97" s="583"/>
      <c r="I97" s="583"/>
      <c r="J97" s="583"/>
      <c r="K97" s="584"/>
      <c r="L97" s="585"/>
      <c r="M97" s="586"/>
      <c r="N97" s="1152"/>
      <c r="O97" s="1152"/>
      <c r="P97" s="45"/>
      <c r="Q97" s="504"/>
    </row>
    <row r="98" spans="1:17" ht="15.75" thickBot="1">
      <c r="A98" s="534"/>
      <c r="B98" s="543"/>
      <c r="C98" s="544">
        <v>100</v>
      </c>
      <c r="D98" s="544">
        <f t="shared" ref="D98:M98" si="24">C98-$K28</f>
        <v>99</v>
      </c>
      <c r="E98" s="544">
        <f t="shared" si="24"/>
        <v>98</v>
      </c>
      <c r="F98" s="544">
        <f t="shared" si="24"/>
        <v>97</v>
      </c>
      <c r="G98" s="544">
        <f t="shared" si="24"/>
        <v>96</v>
      </c>
      <c r="H98" s="544">
        <f t="shared" si="24"/>
        <v>95</v>
      </c>
      <c r="I98" s="544">
        <f t="shared" si="24"/>
        <v>94</v>
      </c>
      <c r="J98" s="544">
        <f t="shared" si="24"/>
        <v>93</v>
      </c>
      <c r="K98" s="544">
        <f t="shared" si="24"/>
        <v>92</v>
      </c>
      <c r="L98" s="544">
        <f t="shared" si="24"/>
        <v>91</v>
      </c>
      <c r="M98" s="544">
        <f t="shared" si="24"/>
        <v>90</v>
      </c>
      <c r="N98" s="1153"/>
      <c r="O98" s="1153"/>
      <c r="P98" s="45"/>
      <c r="Q98" s="504"/>
    </row>
    <row r="99" spans="1:17" ht="15.75" thickTop="1">
      <c r="A99" s="534"/>
      <c r="B99" s="538" t="s">
        <v>2741</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5">C100-$K30</f>
        <v>100</v>
      </c>
      <c r="E100" s="544">
        <f t="shared" si="25"/>
        <v>100</v>
      </c>
      <c r="F100" s="544">
        <f t="shared" si="25"/>
        <v>100</v>
      </c>
      <c r="G100" s="544">
        <f t="shared" si="25"/>
        <v>100</v>
      </c>
      <c r="H100" s="544">
        <f t="shared" si="25"/>
        <v>100</v>
      </c>
      <c r="I100" s="544">
        <f t="shared" si="25"/>
        <v>100</v>
      </c>
      <c r="J100" s="544">
        <f t="shared" si="25"/>
        <v>100</v>
      </c>
      <c r="K100" s="544">
        <f t="shared" si="25"/>
        <v>100</v>
      </c>
      <c r="L100" s="544">
        <f t="shared" si="25"/>
        <v>100</v>
      </c>
      <c r="M100" s="544">
        <f t="shared" si="25"/>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ht="28.5">
      <c r="A107" s="527" t="s">
        <v>2554</v>
      </c>
      <c r="B107" s="528" t="s">
        <v>2782</v>
      </c>
      <c r="C107" s="529" t="str">
        <f t="shared" ref="C107:L107" si="26">C108&amp;"(含)"&amp;"-"&amp;D108</f>
        <v>0(含)-50000</v>
      </c>
      <c r="D107" s="529" t="str">
        <f t="shared" si="26"/>
        <v>50000(含)-100000</v>
      </c>
      <c r="E107" s="529" t="str">
        <f t="shared" si="26"/>
        <v>100000(含)-150000</v>
      </c>
      <c r="F107" s="529" t="str">
        <f t="shared" si="26"/>
        <v>150000(含)-200000</v>
      </c>
      <c r="G107" s="529" t="str">
        <f t="shared" si="26"/>
        <v>200000(含)-250000</v>
      </c>
      <c r="H107" s="529" t="str">
        <f t="shared" si="26"/>
        <v>250000(含)-300000</v>
      </c>
      <c r="I107" s="529" t="str">
        <f t="shared" si="26"/>
        <v>300000(含)-</v>
      </c>
      <c r="J107" s="529" t="str">
        <f t="shared" si="26"/>
        <v>(含)-</v>
      </c>
      <c r="K107" s="1766" t="str">
        <f t="shared" si="26"/>
        <v>(含)-</v>
      </c>
      <c r="L107" s="1766" t="str">
        <f t="shared" si="26"/>
        <v>(含)-</v>
      </c>
      <c r="M107" s="1767" t="str">
        <f>M108&amp;"(含)"&amp;"-"&amp;P108</f>
        <v>(含)-</v>
      </c>
      <c r="N107" s="1152"/>
      <c r="O107" s="1152"/>
      <c r="P107" s="45"/>
      <c r="Q107" s="504"/>
    </row>
    <row r="108" spans="1:17" ht="15">
      <c r="A108" s="534"/>
      <c r="B108" s="546"/>
      <c r="C108" s="595">
        <v>0</v>
      </c>
      <c r="D108" s="595">
        <v>50000</v>
      </c>
      <c r="E108" s="595">
        <v>100000</v>
      </c>
      <c r="F108" s="595">
        <v>150000</v>
      </c>
      <c r="G108" s="595">
        <v>200000</v>
      </c>
      <c r="H108" s="595">
        <v>250000</v>
      </c>
      <c r="I108" s="595">
        <v>300000</v>
      </c>
      <c r="J108" s="596"/>
      <c r="K108" s="596"/>
      <c r="L108" s="597"/>
      <c r="M108" s="598"/>
      <c r="N108" s="1152"/>
      <c r="O108" s="1152"/>
      <c r="P108" s="45"/>
      <c r="Q108" s="504"/>
    </row>
    <row r="109" spans="1:17" ht="15.75" thickBot="1">
      <c r="A109" s="534"/>
      <c r="B109" s="543"/>
      <c r="C109" s="570">
        <v>100</v>
      </c>
      <c r="D109" s="591">
        <f>C109+1</f>
        <v>101</v>
      </c>
      <c r="E109" s="591">
        <f t="shared" ref="E109:I109" si="27">D109+1</f>
        <v>102</v>
      </c>
      <c r="F109" s="591">
        <f t="shared" si="27"/>
        <v>103</v>
      </c>
      <c r="G109" s="591">
        <f t="shared" si="27"/>
        <v>104</v>
      </c>
      <c r="H109" s="591">
        <f t="shared" si="27"/>
        <v>105</v>
      </c>
      <c r="I109" s="591">
        <f t="shared" si="27"/>
        <v>106</v>
      </c>
      <c r="J109" s="591"/>
      <c r="K109" s="591"/>
      <c r="L109" s="591"/>
      <c r="M109" s="592"/>
      <c r="N109" s="1153"/>
      <c r="O109" s="1153"/>
      <c r="P109" s="45"/>
      <c r="Q109" s="504"/>
    </row>
    <row r="110" spans="1:17" ht="15" thickTop="1">
      <c r="A110" s="599"/>
      <c r="B110" s="538" t="s">
        <v>2783</v>
      </c>
      <c r="C110" s="2957" t="s">
        <v>3080</v>
      </c>
      <c r="D110" s="2957" t="s">
        <v>3081</v>
      </c>
      <c r="E110" s="2957" t="s">
        <v>3082</v>
      </c>
      <c r="F110" s="2957" t="s">
        <v>3083</v>
      </c>
      <c r="G110" s="583"/>
      <c r="H110" s="583"/>
      <c r="I110" s="583"/>
      <c r="J110" s="583"/>
      <c r="K110" s="584"/>
      <c r="L110" s="585"/>
      <c r="M110" s="586"/>
      <c r="N110" s="1152"/>
      <c r="O110" s="1152"/>
      <c r="P110" s="45"/>
      <c r="Q110" s="504"/>
    </row>
    <row r="111" spans="1:17" ht="15.75" thickBot="1">
      <c r="A111" s="534"/>
      <c r="B111" s="543"/>
      <c r="C111" s="544">
        <v>100</v>
      </c>
      <c r="D111" s="544">
        <f t="shared" ref="D111:M111" si="28">C111-$K35</f>
        <v>98</v>
      </c>
      <c r="E111" s="544">
        <f t="shared" si="28"/>
        <v>96</v>
      </c>
      <c r="F111" s="544">
        <f t="shared" si="28"/>
        <v>94</v>
      </c>
      <c r="G111" s="544">
        <f t="shared" si="28"/>
        <v>92</v>
      </c>
      <c r="H111" s="544">
        <f t="shared" si="28"/>
        <v>90</v>
      </c>
      <c r="I111" s="544">
        <f t="shared" si="28"/>
        <v>88</v>
      </c>
      <c r="J111" s="544">
        <f t="shared" si="28"/>
        <v>86</v>
      </c>
      <c r="K111" s="544">
        <f t="shared" si="28"/>
        <v>84</v>
      </c>
      <c r="L111" s="544">
        <f t="shared" si="28"/>
        <v>82</v>
      </c>
      <c r="M111" s="545">
        <f t="shared" si="28"/>
        <v>80</v>
      </c>
      <c r="N111" s="1153"/>
      <c r="O111" s="1153"/>
      <c r="P111" s="45"/>
      <c r="Q111" s="504"/>
    </row>
    <row r="112" spans="1:17" s="471" customFormat="1" ht="15" thickTop="1">
      <c r="A112" s="593"/>
      <c r="B112" s="538" t="s">
        <v>2785</v>
      </c>
      <c r="C112" s="554" t="s">
        <v>3089</v>
      </c>
      <c r="D112" s="554" t="s">
        <v>3090</v>
      </c>
      <c r="E112" s="554" t="s">
        <v>3091</v>
      </c>
      <c r="F112" s="554" t="s">
        <v>3092</v>
      </c>
      <c r="G112" s="554" t="s">
        <v>3093</v>
      </c>
      <c r="H112" s="583"/>
      <c r="I112" s="583"/>
      <c r="J112" s="583"/>
      <c r="K112" s="584"/>
      <c r="L112" s="585"/>
      <c r="M112" s="586"/>
      <c r="N112" s="1154"/>
      <c r="O112" s="1154"/>
      <c r="P112" s="558"/>
      <c r="Q112" s="559"/>
    </row>
    <row r="113" spans="1:17" s="471" customFormat="1" ht="15.75" thickBot="1">
      <c r="A113" s="553"/>
      <c r="B113" s="543"/>
      <c r="C113" s="544">
        <v>100</v>
      </c>
      <c r="D113" s="544">
        <f t="shared" ref="D113:M113" si="29">C113-$K36</f>
        <v>98</v>
      </c>
      <c r="E113" s="544">
        <f t="shared" si="29"/>
        <v>96</v>
      </c>
      <c r="F113" s="544">
        <f t="shared" si="29"/>
        <v>94</v>
      </c>
      <c r="G113" s="544">
        <f t="shared" si="29"/>
        <v>92</v>
      </c>
      <c r="H113" s="544">
        <f t="shared" si="29"/>
        <v>90</v>
      </c>
      <c r="I113" s="544">
        <f t="shared" si="29"/>
        <v>88</v>
      </c>
      <c r="J113" s="544">
        <f t="shared" si="29"/>
        <v>86</v>
      </c>
      <c r="K113" s="544">
        <f t="shared" si="29"/>
        <v>84</v>
      </c>
      <c r="L113" s="544">
        <f t="shared" si="29"/>
        <v>82</v>
      </c>
      <c r="M113" s="545">
        <f t="shared" si="29"/>
        <v>80</v>
      </c>
      <c r="N113" s="1154"/>
      <c r="O113" s="1154"/>
      <c r="P113" s="558"/>
      <c r="Q113" s="559"/>
    </row>
    <row r="114" spans="1:17" ht="15" thickTop="1">
      <c r="A114" s="599"/>
      <c r="B114" s="538" t="s">
        <v>2786</v>
      </c>
      <c r="C114" s="2956" t="s">
        <v>3084</v>
      </c>
      <c r="D114" s="2956" t="s">
        <v>3085</v>
      </c>
      <c r="E114" s="2957" t="s">
        <v>3086</v>
      </c>
      <c r="F114" s="2957" t="s">
        <v>3087</v>
      </c>
      <c r="G114" s="2957" t="s">
        <v>3088</v>
      </c>
      <c r="H114" s="583"/>
      <c r="I114" s="583"/>
      <c r="J114" s="583"/>
      <c r="K114" s="584"/>
      <c r="L114" s="585"/>
      <c r="M114" s="586"/>
      <c r="N114" s="1152"/>
      <c r="O114" s="1152"/>
      <c r="P114" s="45"/>
      <c r="Q114" s="504"/>
    </row>
    <row r="115" spans="1:17" ht="15.75" thickBot="1">
      <c r="A115" s="534"/>
      <c r="B115" s="543"/>
      <c r="C115" s="544">
        <v>100</v>
      </c>
      <c r="D115" s="544">
        <f t="shared" ref="D115:M115" si="30">C115-$K37</f>
        <v>97</v>
      </c>
      <c r="E115" s="544">
        <f t="shared" si="30"/>
        <v>94</v>
      </c>
      <c r="F115" s="544">
        <f t="shared" si="30"/>
        <v>91</v>
      </c>
      <c r="G115" s="544">
        <f t="shared" si="30"/>
        <v>88</v>
      </c>
      <c r="H115" s="544">
        <f t="shared" si="30"/>
        <v>85</v>
      </c>
      <c r="I115" s="544">
        <f t="shared" si="30"/>
        <v>82</v>
      </c>
      <c r="J115" s="544">
        <f t="shared" si="30"/>
        <v>79</v>
      </c>
      <c r="K115" s="544">
        <f t="shared" si="30"/>
        <v>76</v>
      </c>
      <c r="L115" s="544">
        <f t="shared" si="30"/>
        <v>73</v>
      </c>
      <c r="M115" s="545">
        <f t="shared" si="30"/>
        <v>70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I39" sqref="I3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6</v>
      </c>
      <c r="D1" s="1820" t="s">
        <v>70</v>
      </c>
      <c r="E1" s="1821" t="s">
        <v>1382</v>
      </c>
      <c r="F1" s="1283">
        <f ca="1">J53</f>
        <v>30.86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1022</v>
      </c>
      <c r="C2" s="1845" t="s">
        <v>1511</v>
      </c>
      <c r="D2" s="1845"/>
      <c r="E2" s="1846"/>
      <c r="F2" s="1847"/>
      <c r="G2" s="1848"/>
      <c r="H2" s="1840"/>
      <c r="I2" s="1840"/>
      <c r="J2" s="1840"/>
      <c r="K2" s="1841"/>
      <c r="L2" s="1840"/>
      <c r="M2" s="1840"/>
    </row>
    <row r="3" spans="1:37" ht="18" customHeight="1" thickBot="1">
      <c r="A3" s="1849" t="s">
        <v>1512</v>
      </c>
      <c r="B3" s="1850">
        <f ca="1">IF(ISERROR(B2*10000/F43),0,ROUND(B2*10000/F43,0))</f>
        <v>4218</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80</v>
      </c>
      <c r="D5" s="1822" t="s">
        <v>1397</v>
      </c>
      <c r="E5" s="1293"/>
      <c r="F5" s="1294"/>
      <c r="G5" s="1851"/>
      <c r="H5" s="344">
        <v>1</v>
      </c>
      <c r="I5" s="345" t="s">
        <v>1396</v>
      </c>
      <c r="J5" s="1292">
        <f ca="1">J6+J10+J12</f>
        <v>0</v>
      </c>
      <c r="K5" s="1822" t="s">
        <v>1397</v>
      </c>
      <c r="L5" s="1293"/>
      <c r="M5" s="1294"/>
    </row>
    <row r="6" spans="1:37" ht="18" customHeight="1">
      <c r="A6" s="1291" t="s">
        <v>1032</v>
      </c>
      <c r="B6" s="3203" t="s">
        <v>1398</v>
      </c>
      <c r="C6" s="1296">
        <f ca="1">ROUND(F6*F8*F7*(1-F9)/10000,0)</f>
        <v>80</v>
      </c>
      <c r="D6" s="164" t="s">
        <v>3022</v>
      </c>
      <c r="E6" s="347" t="s">
        <v>1400</v>
      </c>
      <c r="F6" s="348">
        <f ca="1">INDIRECT("'数据-取费表'!u"&amp;$G$1)</f>
        <v>1</v>
      </c>
      <c r="G6" s="1851"/>
      <c r="H6" s="1291" t="s">
        <v>1032</v>
      </c>
      <c r="I6" s="3203" t="s">
        <v>1398</v>
      </c>
      <c r="J6" s="346">
        <f ca="1">ROUND(M6*M8*M7*(1-M9)/10000,0)</f>
        <v>0</v>
      </c>
      <c r="K6" s="164" t="s">
        <v>3021</v>
      </c>
      <c r="L6" s="347" t="s">
        <v>1400</v>
      </c>
      <c r="M6" s="348">
        <f ca="1">INDIRECT("'数据-取费表'!z"&amp;$G$1)</f>
        <v>0</v>
      </c>
    </row>
    <row r="7" spans="1:37" ht="18" customHeight="1">
      <c r="A7" s="1295"/>
      <c r="B7" s="3204"/>
      <c r="C7" s="1297"/>
      <c r="D7" s="352"/>
      <c r="E7" s="1298" t="s">
        <v>1401</v>
      </c>
      <c r="F7" s="348">
        <f ca="1">IF(INDIRECT("'数据-取费表'!ah"&amp;$G$1)="",INDIRECT("'数据-取费表'!k"&amp;$G$1),INDIRECT("'数据-取费表'!ah"&amp;$G$1))</f>
        <v>2422.75</v>
      </c>
      <c r="G7" s="1851"/>
      <c r="H7" s="349"/>
      <c r="I7" s="3204"/>
      <c r="J7" s="351"/>
      <c r="K7" s="352"/>
      <c r="L7" s="347" t="s">
        <v>1401</v>
      </c>
      <c r="M7" s="348">
        <f ca="1">F7</f>
        <v>2422.75</v>
      </c>
    </row>
    <row r="8" spans="1:37" ht="18" customHeight="1">
      <c r="A8" s="349"/>
      <c r="B8" s="3204"/>
      <c r="C8" s="351"/>
      <c r="D8" s="352"/>
      <c r="E8" s="347" t="s">
        <v>1402</v>
      </c>
      <c r="F8" s="348">
        <f ca="1">INDIRECT("'数据-取费表'!ai"&amp;$G$1)</f>
        <v>365</v>
      </c>
      <c r="G8" s="1851"/>
      <c r="H8" s="349"/>
      <c r="I8" s="3204"/>
      <c r="J8" s="351"/>
      <c r="K8" s="352"/>
      <c r="L8" s="347" t="s">
        <v>1402</v>
      </c>
      <c r="M8" s="348">
        <f ca="1">INDIRECT("'数据-取费表'!ai"&amp;$G$1)</f>
        <v>365</v>
      </c>
    </row>
    <row r="9" spans="1:37" ht="18" customHeight="1">
      <c r="A9" s="349"/>
      <c r="B9" s="3205"/>
      <c r="C9" s="351"/>
      <c r="D9" s="352"/>
      <c r="E9" s="347" t="s">
        <v>1403</v>
      </c>
      <c r="F9" s="357">
        <f ca="1">INDIRECT("'数据-取费表'!w"&amp;$G$1)</f>
        <v>0.1</v>
      </c>
      <c r="G9" s="1851"/>
      <c r="H9" s="349"/>
      <c r="I9" s="3205"/>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3031</v>
      </c>
      <c r="E10" s="358" t="s">
        <v>1405</v>
      </c>
      <c r="F10" s="1366" t="s">
        <v>3073</v>
      </c>
      <c r="G10" s="1851"/>
      <c r="H10" s="1291" t="s">
        <v>1036</v>
      </c>
      <c r="I10" s="1823" t="s">
        <v>1404</v>
      </c>
      <c r="J10" s="346">
        <f ca="1">ROUND(IF(M10="押一",J6/12*M11,IF(M10="押二",J6/12*2*M11,IF(M10="押三",J6/12*3*M11,J11*M11))),0)</f>
        <v>0</v>
      </c>
      <c r="K10" s="1824" t="s">
        <v>3030</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569</v>
      </c>
      <c r="D13" s="1331" t="s">
        <v>1410</v>
      </c>
      <c r="E13" s="1331" t="s">
        <v>1411</v>
      </c>
      <c r="F13" s="1332">
        <f ca="1">INDIRECT("'数据-取费表'!y"&amp;$G$1)</f>
        <v>0.78</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555</v>
      </c>
      <c r="D14" s="1800" t="s">
        <v>1413</v>
      </c>
      <c r="E14" s="1794"/>
      <c r="F14" s="364"/>
      <c r="G14" s="1851"/>
      <c r="H14" s="1201" t="s">
        <v>1032</v>
      </c>
      <c r="I14" s="347" t="s">
        <v>1414</v>
      </c>
      <c r="J14" s="24">
        <f ca="1">C29</f>
        <v>730</v>
      </c>
      <c r="K14" s="15"/>
      <c r="L14" s="979"/>
      <c r="M14" s="980"/>
    </row>
    <row r="15" spans="1:37" s="1858" customFormat="1" ht="18" customHeight="1" thickBot="1">
      <c r="A15" s="1201" t="s">
        <v>1033</v>
      </c>
      <c r="B15" s="347" t="s">
        <v>1415</v>
      </c>
      <c r="C15" s="24">
        <f ca="1">ROUND(C14*F15,0)</f>
        <v>17</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20</v>
      </c>
      <c r="K16" s="1337" t="s">
        <v>1420</v>
      </c>
      <c r="L16" s="1338"/>
      <c r="M16" s="1294"/>
    </row>
    <row r="17" spans="1:37" s="1858" customFormat="1" ht="18" customHeight="1">
      <c r="A17" s="1201" t="s">
        <v>1385</v>
      </c>
      <c r="B17" s="347" t="s">
        <v>1421</v>
      </c>
      <c r="C17" s="24">
        <f ca="1">ROUND(F17*(F43+INDIRECT("'数据-取费表'!S"&amp;$G$1))/10000,0)</f>
        <v>51</v>
      </c>
      <c r="D17" s="347" t="s">
        <v>1422</v>
      </c>
      <c r="E17" s="347" t="s">
        <v>1423</v>
      </c>
      <c r="F17" s="26">
        <f>'数据-取费表'!B35</f>
        <v>200</v>
      </c>
      <c r="G17" s="1854"/>
      <c r="H17" s="1201" t="s">
        <v>1032</v>
      </c>
      <c r="I17" s="347" t="s">
        <v>1424</v>
      </c>
      <c r="J17" s="24">
        <f ca="1">ROUND(IF(项目基本情况!B11="自然人",J6*M17/(1+'数据-取费表'!C42),J18+J19+J20),1)</f>
        <v>8.6</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8</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631</v>
      </c>
      <c r="D19" s="140" t="s">
        <v>1431</v>
      </c>
      <c r="E19" s="1818"/>
      <c r="F19" s="26"/>
      <c r="G19" s="1851"/>
      <c r="H19" s="1201" t="s">
        <v>1033</v>
      </c>
      <c r="I19" s="347" t="s">
        <v>1432</v>
      </c>
      <c r="J19" s="24">
        <f ca="1">IF(K19="按租金收入计税",ROUND(J6*M19/(1+'数据-取费表'!C42),2),ROUND(C29*M19*0.7,2))</f>
        <v>6.13</v>
      </c>
      <c r="K19" s="1828" t="s">
        <v>1433</v>
      </c>
      <c r="L19" s="347" t="s">
        <v>1417</v>
      </c>
      <c r="M19" s="367">
        <f>IF(K19="按租金收入计税",'数据-取费表'!B51,'数据-取费表'!B50)</f>
        <v>1.2E-2</v>
      </c>
    </row>
    <row r="20" spans="1:37" s="1858" customFormat="1" ht="18" customHeight="1">
      <c r="A20" s="1201" t="s">
        <v>1036</v>
      </c>
      <c r="B20" s="347" t="s">
        <v>1434</v>
      </c>
      <c r="C20" s="24">
        <f ca="1">ROUND(C19*F20,0)</f>
        <v>6</v>
      </c>
      <c r="D20" s="369" t="s">
        <v>1435</v>
      </c>
      <c r="E20" s="347" t="s">
        <v>1417</v>
      </c>
      <c r="F20" s="367">
        <f>'数据-取费表'!B37</f>
        <v>0.01</v>
      </c>
      <c r="G20" s="1854"/>
      <c r="H20" s="1201" t="s">
        <v>1384</v>
      </c>
      <c r="I20" s="164" t="s">
        <v>1436</v>
      </c>
      <c r="J20" s="25">
        <f ca="1">ROUND(M20*M21/10000,2)</f>
        <v>2.46</v>
      </c>
      <c r="K20" s="370" t="s">
        <v>1437</v>
      </c>
      <c r="L20" s="347" t="s">
        <v>1438</v>
      </c>
      <c r="M20" s="371">
        <f>'数据-取费表'!B52</f>
        <v>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0.01</v>
      </c>
      <c r="G21" s="1854"/>
      <c r="H21" s="372"/>
      <c r="I21" s="356"/>
      <c r="J21" s="29"/>
      <c r="K21" s="373"/>
      <c r="L21" s="347" t="s">
        <v>1442</v>
      </c>
      <c r="M21" s="348">
        <f ca="1">INDIRECT("'数据-取费表'!r"&amp;$G$1)</f>
        <v>6139</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ROUND(J14*M22,1)</f>
        <v>11</v>
      </c>
      <c r="K22" s="1798" t="s">
        <v>1445</v>
      </c>
      <c r="L22" s="347" t="s">
        <v>1417</v>
      </c>
      <c r="M22" s="374">
        <f ca="1">INDIRECT("'数据-取费表'!Ak"&amp;$G$1)</f>
        <v>1.4999999999999999E-2</v>
      </c>
    </row>
    <row r="23" spans="1:37" s="1858" customFormat="1" ht="18" customHeight="1">
      <c r="A23" s="1201" t="s">
        <v>1031</v>
      </c>
      <c r="B23" s="347" t="s">
        <v>1446</v>
      </c>
      <c r="C23" s="24">
        <f ca="1">IF('数据-取费表'!B22&lt;=1,ROUND(C19*F24*F23/2,0)+ROUND(C20*F24*F23/2,0),ROUND(C19*(POWER((1+F24),F23/2)-1),0)+ROUND(C20*(POWER((1+F24),F23/2)-1),0))</f>
        <v>14</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ROUND(J13*M23,1)</f>
        <v>0</v>
      </c>
      <c r="K23" s="1798" t="s">
        <v>1449</v>
      </c>
      <c r="L23" s="347" t="s">
        <v>1450</v>
      </c>
      <c r="M23" s="376">
        <f ca="1">INDIRECT("'数据-取费表'!Al"&amp;$G$1)</f>
        <v>1E-3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ROUND(J5*M24,1)</f>
        <v>0</v>
      </c>
      <c r="K24" s="1342" t="s">
        <v>1454</v>
      </c>
      <c r="L24" s="1340" t="s">
        <v>1450</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-20</v>
      </c>
      <c r="K25" s="1345" t="s">
        <v>1459</v>
      </c>
      <c r="L25" s="1346"/>
      <c r="M25" s="1347"/>
    </row>
    <row r="26" spans="1:37">
      <c r="A26" s="1201" t="s">
        <v>1031</v>
      </c>
      <c r="B26" s="347" t="s">
        <v>1460</v>
      </c>
      <c r="C26" s="24">
        <f ca="1">ROUND((C19+C20)*F26,0)</f>
        <v>32</v>
      </c>
      <c r="D26" s="369" t="s">
        <v>1461</v>
      </c>
      <c r="E26" s="358" t="s">
        <v>1462</v>
      </c>
      <c r="F26" s="357">
        <f ca="1">INDIRECT("'数据-取费表'!q"&amp;$G$1)</f>
        <v>0.05</v>
      </c>
      <c r="G26" s="1851"/>
      <c r="H26" s="344" t="s">
        <v>1029</v>
      </c>
      <c r="I26" s="345" t="s">
        <v>1463</v>
      </c>
      <c r="J26" s="346">
        <f ca="1">IF(J5&lt;&gt;0,ROUND(J25*(1-((1+M28)/(1+M26))^M27)/(M26-M28),0),0)</f>
        <v>0</v>
      </c>
      <c r="K26" s="370" t="s">
        <v>1464</v>
      </c>
      <c r="L26" s="347" t="s">
        <v>1465</v>
      </c>
      <c r="M26" s="357">
        <f ca="1">INDIRECT("'数据-取费表'!I"&amp;$G$1)</f>
        <v>5.5E-2</v>
      </c>
    </row>
    <row r="27" spans="1:37" ht="18" customHeight="1">
      <c r="A27" s="1201" t="s">
        <v>1033</v>
      </c>
      <c r="B27" s="347" t="s">
        <v>1466</v>
      </c>
      <c r="C27" s="24">
        <f ca="1">ROUND(F21*F26,4)</f>
        <v>5.0000000000000001E-4</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730</v>
      </c>
      <c r="D29" s="1342"/>
      <c r="E29" s="1340"/>
      <c r="F29" s="1343"/>
      <c r="G29" s="1854"/>
      <c r="H29" s="380" t="s">
        <v>1030</v>
      </c>
      <c r="I29" s="381" t="s">
        <v>1474</v>
      </c>
      <c r="J29" s="382">
        <f ca="1">ROUND(J26/(1+F40)^F41,0)</f>
        <v>0</v>
      </c>
      <c r="K29" s="383" t="s">
        <v>1475</v>
      </c>
      <c r="L29" s="384"/>
      <c r="M29" s="385">
        <f ca="1">INDIRECT("'数据-取费表'!k"&amp;$G$1)</f>
        <v>2422.75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28</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15.9</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4.2699999999999996</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9.14</v>
      </c>
      <c r="D33" s="1828" t="s">
        <v>3072</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2.46</v>
      </c>
      <c r="D34" s="370" t="s">
        <v>1437</v>
      </c>
      <c r="E34" s="347" t="s">
        <v>1438</v>
      </c>
      <c r="F34" s="371">
        <f>'数据-取费表'!B52</f>
        <v>4</v>
      </c>
      <c r="G34" s="1851"/>
      <c r="H34" s="745"/>
      <c r="I34" s="1860"/>
      <c r="J34" s="1861"/>
      <c r="K34" s="1863"/>
      <c r="L34" s="1864"/>
      <c r="M34" s="1864"/>
    </row>
    <row r="35" spans="1:18" ht="18" customHeight="1">
      <c r="A35" s="1353"/>
      <c r="B35" s="1351"/>
      <c r="C35" s="29"/>
      <c r="D35" s="373"/>
      <c r="E35" s="347" t="s">
        <v>1442</v>
      </c>
      <c r="F35" s="348">
        <f ca="1">INDIRECT("'数据-取费表'!r"&amp;$G$1)</f>
        <v>6139</v>
      </c>
      <c r="G35" s="1851"/>
      <c r="H35" s="745"/>
      <c r="I35" s="1860"/>
      <c r="J35" s="1861"/>
      <c r="K35" s="1862"/>
      <c r="L35" s="1859"/>
      <c r="M35" s="1859"/>
    </row>
    <row r="36" spans="1:18" ht="18" customHeight="1">
      <c r="A36" s="1352" t="s">
        <v>1036</v>
      </c>
      <c r="B36" s="347" t="s">
        <v>1444</v>
      </c>
      <c r="C36" s="24">
        <f ca="1">ROUND(C29*F36,1)</f>
        <v>11</v>
      </c>
      <c r="D36" s="1798" t="s">
        <v>1477</v>
      </c>
      <c r="E36" s="347" t="s">
        <v>1417</v>
      </c>
      <c r="F36" s="374">
        <f ca="1">INDIRECT("'数据-取费表'!Ak"&amp;$G$1)</f>
        <v>1.4999999999999999E-2</v>
      </c>
      <c r="G36" s="1851"/>
      <c r="H36" s="1859"/>
      <c r="I36" s="1860"/>
      <c r="J36" s="1861"/>
      <c r="K36" s="751"/>
      <c r="L36" s="1859"/>
      <c r="M36" s="1859"/>
    </row>
    <row r="37" spans="1:18" ht="18" customHeight="1">
      <c r="A37" s="1201" t="s">
        <v>1072</v>
      </c>
      <c r="B37" s="347" t="s">
        <v>1448</v>
      </c>
      <c r="C37" s="24">
        <f ca="1">ROUND(C13*F37,1)</f>
        <v>0.6</v>
      </c>
      <c r="D37" s="1798" t="s">
        <v>1449</v>
      </c>
      <c r="E37" s="347" t="s">
        <v>1450</v>
      </c>
      <c r="F37" s="376">
        <f ca="1">INDIRECT("'数据-取费表'!Al"&amp;$G$1)</f>
        <v>1E-3</v>
      </c>
      <c r="G37" s="1851"/>
      <c r="H37" s="1859"/>
      <c r="I37" s="1860"/>
      <c r="J37" s="1861"/>
      <c r="K37" s="751"/>
      <c r="L37" s="1859"/>
      <c r="M37" s="1859"/>
    </row>
    <row r="38" spans="1:18" ht="18" customHeight="1" thickBot="1">
      <c r="A38" s="1339" t="s">
        <v>1388</v>
      </c>
      <c r="B38" s="1340" t="s">
        <v>1434</v>
      </c>
      <c r="C38" s="1341">
        <f ca="1">ROUND(C5*F38,1)</f>
        <v>0.8</v>
      </c>
      <c r="D38" s="1342" t="s">
        <v>1454</v>
      </c>
      <c r="E38" s="1340" t="s">
        <v>1450</v>
      </c>
      <c r="F38" s="1336">
        <f ca="1">INDIRECT("'数据-取费表'!Am"&amp;$G$1)</f>
        <v>0.01</v>
      </c>
      <c r="G38" s="1851"/>
      <c r="H38" s="1859"/>
      <c r="I38" s="1860"/>
      <c r="J38" s="1861"/>
      <c r="K38" s="1865"/>
      <c r="L38" s="1859"/>
      <c r="M38" s="1859"/>
    </row>
    <row r="39" spans="1:18" ht="24.6" customHeight="1" thickTop="1">
      <c r="A39" s="1329" t="s">
        <v>1028</v>
      </c>
      <c r="B39" s="1344" t="s">
        <v>1478</v>
      </c>
      <c r="C39" s="355">
        <f ca="1">C5-C30</f>
        <v>52</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1022</v>
      </c>
      <c r="D40" s="370" t="s">
        <v>1464</v>
      </c>
      <c r="E40" s="347" t="s">
        <v>1465</v>
      </c>
      <c r="F40" s="357">
        <f ca="1">INDIRECT("'数据-取费表'!I"&amp;$G$1)</f>
        <v>5.5E-2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30.86</v>
      </c>
      <c r="G41" s="1851"/>
      <c r="H41" s="732"/>
      <c r="I41" s="1860"/>
      <c r="J41" s="1861"/>
      <c r="K41" s="751"/>
      <c r="L41" s="732"/>
      <c r="M41" s="732"/>
    </row>
    <row r="42" spans="1:18" ht="18" customHeight="1">
      <c r="A42" s="353"/>
      <c r="B42" s="354"/>
      <c r="C42" s="355"/>
      <c r="D42" s="373"/>
      <c r="E42" s="347" t="s">
        <v>1472</v>
      </c>
      <c r="F42" s="357">
        <f ca="1">INDIRECT("'数据-取费表'!v"&amp;$G$1)</f>
        <v>2.5000000000000001E-2</v>
      </c>
      <c r="G42" s="1851"/>
      <c r="H42" s="732"/>
      <c r="I42" s="1860"/>
      <c r="J42" s="1861"/>
      <c r="K42" s="751"/>
      <c r="L42" s="732"/>
      <c r="M42" s="732"/>
    </row>
    <row r="43" spans="1:18" ht="18" customHeight="1" thickBot="1">
      <c r="A43" s="380" t="s">
        <v>1030</v>
      </c>
      <c r="B43" s="381" t="s">
        <v>1482</v>
      </c>
      <c r="C43" s="382">
        <f ca="1">ROUND(C40*10000/F43,0)</f>
        <v>4218</v>
      </c>
      <c r="D43" s="383" t="s">
        <v>1483</v>
      </c>
      <c r="E43" s="384" t="s">
        <v>1484</v>
      </c>
      <c r="F43" s="385">
        <f ca="1">INDIRECT("'数据-取费表'!k"&amp;$G$1)</f>
        <v>2422.75</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-2124</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3070</v>
      </c>
      <c r="K47" s="1882" t="s">
        <v>1522</v>
      </c>
      <c r="L47" s="1883">
        <f ca="1">INDIRECT("'数据-取费表'!d"&amp;$G$1)</f>
        <v>50</v>
      </c>
      <c r="M47" s="1838" t="str">
        <f>IF(ISNUMBER(FIND("住宅",C1)),"住宅","非住宅")</f>
        <v>非住宅</v>
      </c>
      <c r="O47" s="1884" t="s">
        <v>1037</v>
      </c>
      <c r="P47" s="1885" t="s">
        <v>1523</v>
      </c>
      <c r="Q47" s="1886">
        <f ca="1">C40+J29</f>
        <v>1022</v>
      </c>
      <c r="R47" s="1886" t="s">
        <v>1524</v>
      </c>
    </row>
    <row r="48" spans="1:18" s="1842" customFormat="1" ht="28.5" thickBot="1">
      <c r="A48" s="1360" t="s">
        <v>1132</v>
      </c>
      <c r="B48" s="345" t="s">
        <v>1396</v>
      </c>
      <c r="C48" s="1817">
        <f ca="1">C49+C53+C55</f>
        <v>0</v>
      </c>
      <c r="D48" s="1362"/>
      <c r="E48" s="1363"/>
      <c r="F48" s="1181"/>
      <c r="G48" s="792"/>
      <c r="H48" s="793"/>
      <c r="I48" s="1887" t="s">
        <v>1525</v>
      </c>
      <c r="J48" s="1888" t="s">
        <v>3071</v>
      </c>
      <c r="K48" s="1889" t="s">
        <v>1526</v>
      </c>
      <c r="L48" s="1890">
        <f ca="1">INDIRECT("'数据-取费表'!f"&amp;$G$1)</f>
        <v>30.86</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3023</v>
      </c>
      <c r="E49" s="1830" t="s">
        <v>1486</v>
      </c>
      <c r="F49" s="1281"/>
      <c r="G49" s="1891"/>
      <c r="H49" s="793"/>
      <c r="I49" s="1887" t="s">
        <v>1529</v>
      </c>
      <c r="J49" s="1892">
        <v>2006</v>
      </c>
      <c r="K49" s="1889" t="s">
        <v>1530</v>
      </c>
      <c r="L49" s="1893"/>
      <c r="O49" s="1894" t="s">
        <v>1039</v>
      </c>
      <c r="P49" s="1885" t="s">
        <v>1531</v>
      </c>
      <c r="Q49" s="1886">
        <f ca="1">C29</f>
        <v>730</v>
      </c>
      <c r="R49" s="1886" t="s">
        <v>1524</v>
      </c>
    </row>
    <row r="50" spans="1:18" s="1842" customFormat="1" ht="13.5" thickBot="1">
      <c r="A50" s="1195"/>
      <c r="B50" s="1198"/>
      <c r="C50" s="1368"/>
      <c r="D50" s="1172"/>
      <c r="E50" s="1277" t="s">
        <v>1401</v>
      </c>
      <c r="F50" s="1278">
        <f ca="1">F7</f>
        <v>2422.75</v>
      </c>
      <c r="H50" s="793"/>
      <c r="I50" s="1887" t="s">
        <v>1532</v>
      </c>
      <c r="J50" s="1895">
        <f>SUMPRODUCT((I63:I65=J47)*(J62:L62=J48)*(J63:L65))</f>
        <v>50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365</v>
      </c>
      <c r="I51" s="1898" t="s">
        <v>1535</v>
      </c>
      <c r="J51" s="1899">
        <f>IF(J49="",J50,J49+J50-YEAR('数据-取费表'!B2))</f>
        <v>36</v>
      </c>
      <c r="K51" s="1900" t="s">
        <v>1536</v>
      </c>
      <c r="L51" s="1901">
        <f ca="1">ROUND(-PV(INDIRECT("'数据-取费表'!h"&amp;$G$1),L48,(C39-C13*C76),0),0)</f>
        <v>57</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30.86</v>
      </c>
      <c r="R52" s="1886" t="s">
        <v>1541</v>
      </c>
    </row>
    <row r="53" spans="1:18" s="1842" customFormat="1" ht="24.75" thickBot="1">
      <c r="A53" s="1405" t="s">
        <v>1134</v>
      </c>
      <c r="B53" s="1831" t="s">
        <v>1404</v>
      </c>
      <c r="C53" s="361">
        <f ca="1">ROUND(IF(F53="押一",C49/12*F11,IF(F53="押二",C49/12*2*F11,IF(F53="押三",C49/12*3*F11,C54*F11))),0)</f>
        <v>0</v>
      </c>
      <c r="D53" s="1824" t="s">
        <v>3030</v>
      </c>
      <c r="E53" s="358" t="s">
        <v>1405</v>
      </c>
      <c r="F53" s="1366"/>
      <c r="I53" s="1905" t="s">
        <v>1542</v>
      </c>
      <c r="J53" s="2949">
        <f ca="1">IF(M47="住宅",IF(D1="——",MAX(J51,L48),MAX(J51,L48-'数据-取费表'!B24)),IF(D1="——",MIN(J51,L48),MIN(J51,L48-'数据-取费表'!B24)))</f>
        <v>30.86</v>
      </c>
      <c r="K53" s="3201" t="s">
        <v>1543</v>
      </c>
      <c r="L53" s="3202"/>
      <c r="O53" s="1884" t="s">
        <v>1043</v>
      </c>
      <c r="P53" s="1885" t="s">
        <v>1544</v>
      </c>
      <c r="Q53" s="1886">
        <f ca="1">Q47+Q48</f>
        <v>1022</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569</v>
      </c>
      <c r="D56" s="1913"/>
      <c r="E56" s="1914"/>
      <c r="F56" s="1906"/>
      <c r="I56" s="1915" t="s">
        <v>1549</v>
      </c>
      <c r="J56" s="1916" t="s">
        <v>3056</v>
      </c>
      <c r="K56" s="1887" t="s">
        <v>1550</v>
      </c>
      <c r="L56" s="1890" t="str">
        <f ca="1">IF(L48&lt;J51,"——",L48-J53)</f>
        <v>——</v>
      </c>
      <c r="O56" s="1884" t="s">
        <v>1037</v>
      </c>
      <c r="P56" s="1885" t="s">
        <v>1523</v>
      </c>
      <c r="Q56" s="1886">
        <f ca="1">C40+J29</f>
        <v>1022</v>
      </c>
      <c r="R56" s="1886" t="s">
        <v>1524</v>
      </c>
    </row>
    <row r="57" spans="1:18" s="1842" customFormat="1" ht="24.75" thickBot="1">
      <c r="A57" s="1917"/>
      <c r="B57" s="1169" t="s">
        <v>1473</v>
      </c>
      <c r="C57" s="282">
        <f ca="1">C29</f>
        <v>730</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75</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63.8</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61.32</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2.46</v>
      </c>
      <c r="D62" s="1184" t="s">
        <v>1492</v>
      </c>
      <c r="E62" s="1169" t="s">
        <v>1493</v>
      </c>
      <c r="F62" s="371">
        <f t="shared" si="0"/>
        <v>4</v>
      </c>
      <c r="I62" s="1928" t="s">
        <v>1565</v>
      </c>
      <c r="J62" s="1929" t="s">
        <v>1566</v>
      </c>
      <c r="K62" s="1929" t="s">
        <v>1567</v>
      </c>
      <c r="L62" s="1929" t="s">
        <v>1568</v>
      </c>
      <c r="M62" s="1930" t="s">
        <v>1569</v>
      </c>
      <c r="O62" s="1884" t="s">
        <v>1043</v>
      </c>
      <c r="P62" s="1885" t="s">
        <v>1570</v>
      </c>
      <c r="Q62" s="1886">
        <f ca="1">Q56+Q57</f>
        <v>1022</v>
      </c>
      <c r="R62" s="1886" t="s">
        <v>1044</v>
      </c>
    </row>
    <row r="63" spans="1:18" s="1842" customFormat="1" ht="13.5" thickBot="1">
      <c r="A63" s="372"/>
      <c r="B63" s="1175"/>
      <c r="C63" s="29"/>
      <c r="D63" s="1185"/>
      <c r="E63" s="1169" t="s">
        <v>1494</v>
      </c>
      <c r="F63" s="348">
        <f t="shared" ca="1" si="0"/>
        <v>6139</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11</v>
      </c>
      <c r="D64" s="1183" t="s">
        <v>1497</v>
      </c>
      <c r="E64" s="1169" t="s">
        <v>1489</v>
      </c>
      <c r="F64" s="374">
        <f t="shared" ca="1" si="0"/>
        <v>1.4999999999999999E-2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0.6</v>
      </c>
      <c r="D65" s="1183" t="s">
        <v>1449</v>
      </c>
      <c r="E65" s="1169" t="s">
        <v>1450</v>
      </c>
      <c r="F65" s="376">
        <f t="shared" ca="1" si="0"/>
        <v>1E-3</v>
      </c>
      <c r="I65" s="1928" t="s">
        <v>1574</v>
      </c>
      <c r="J65" s="1929">
        <v>40</v>
      </c>
      <c r="K65" s="1929">
        <v>30</v>
      </c>
      <c r="L65" s="1929">
        <v>50</v>
      </c>
      <c r="M65" s="1931">
        <v>0.02</v>
      </c>
      <c r="O65" s="1884" t="s">
        <v>1037</v>
      </c>
      <c r="P65" s="1885" t="s">
        <v>1575</v>
      </c>
      <c r="Q65" s="1886">
        <f ca="1">C40+J29</f>
        <v>1022</v>
      </c>
      <c r="R65" s="1886" t="s">
        <v>1524</v>
      </c>
    </row>
    <row r="66" spans="1:18" s="1842" customFormat="1" ht="16.5" thickBot="1">
      <c r="A66" s="1201" t="s">
        <v>1499</v>
      </c>
      <c r="B66" s="1169" t="s">
        <v>1434</v>
      </c>
      <c r="C66" s="24">
        <f ca="1">ROUND(C48*F66,1)</f>
        <v>0</v>
      </c>
      <c r="D66" s="1183" t="s">
        <v>1500</v>
      </c>
      <c r="E66" s="1169" t="s">
        <v>1417</v>
      </c>
      <c r="F66" s="357">
        <f t="shared" ca="1" si="0"/>
        <v>0.01</v>
      </c>
      <c r="O66" s="1884" t="s">
        <v>1038</v>
      </c>
      <c r="P66" s="1885" t="s">
        <v>1553</v>
      </c>
      <c r="Q66" s="1886">
        <f ca="1">L60</f>
        <v>0</v>
      </c>
      <c r="R66" s="1886" t="s">
        <v>1576</v>
      </c>
    </row>
    <row r="67" spans="1:18" s="1842" customFormat="1" ht="16.5" thickBot="1">
      <c r="A67" s="1176" t="s">
        <v>1028</v>
      </c>
      <c r="B67" s="1186" t="s">
        <v>1458</v>
      </c>
      <c r="C67" s="361">
        <f ca="1">C48-C58</f>
        <v>-75</v>
      </c>
      <c r="D67" s="1182" t="s">
        <v>1459</v>
      </c>
      <c r="E67" s="1187"/>
      <c r="F67" s="1188"/>
      <c r="O67" s="1894" t="s">
        <v>1039</v>
      </c>
      <c r="P67" s="1885" t="s">
        <v>1557</v>
      </c>
      <c r="Q67" s="1932">
        <f ca="1">L51</f>
        <v>57</v>
      </c>
      <c r="R67" s="1886" t="s">
        <v>1577</v>
      </c>
    </row>
    <row r="68" spans="1:18" s="1842" customFormat="1" ht="16.5" thickBot="1">
      <c r="A68" s="1166" t="s">
        <v>1029</v>
      </c>
      <c r="B68" s="1167" t="s">
        <v>1480</v>
      </c>
      <c r="C68" s="346">
        <f ca="1">ROUND(C67*(1-((1+F70)/(1+F68))^F69)/(F68-F70),0)</f>
        <v>-1102</v>
      </c>
      <c r="D68" s="1184" t="s">
        <v>1464</v>
      </c>
      <c r="E68" s="1169" t="s">
        <v>1465</v>
      </c>
      <c r="F68" s="357">
        <f ca="1">F40</f>
        <v>5.5E-2</v>
      </c>
      <c r="O68" s="1894" t="s">
        <v>1040</v>
      </c>
      <c r="P68" s="1933" t="s">
        <v>1578</v>
      </c>
      <c r="Q68" s="1886">
        <f ca="1">ROUND(Q69-Q70*Q71,0)</f>
        <v>4</v>
      </c>
      <c r="R68" s="1886" t="s">
        <v>1048</v>
      </c>
    </row>
    <row r="69" spans="1:18" s="1842" customFormat="1" ht="13.5" thickBot="1">
      <c r="A69" s="1170"/>
      <c r="B69" s="1171"/>
      <c r="C69" s="351"/>
      <c r="D69" s="1189" t="s">
        <v>1468</v>
      </c>
      <c r="E69" s="1169" t="s">
        <v>1469</v>
      </c>
      <c r="F69" s="379">
        <f ca="1">F41</f>
        <v>30.86</v>
      </c>
      <c r="O69" s="1894" t="s">
        <v>1045</v>
      </c>
      <c r="P69" s="1933" t="s">
        <v>1579</v>
      </c>
      <c r="Q69" s="1886">
        <f ca="1">C39</f>
        <v>52</v>
      </c>
      <c r="R69" s="1886" t="s">
        <v>1524</v>
      </c>
    </row>
    <row r="70" spans="1:18" s="1842" customFormat="1" ht="13.5" thickBot="1">
      <c r="A70" s="1173"/>
      <c r="B70" s="1174"/>
      <c r="C70" s="355"/>
      <c r="D70" s="1185"/>
      <c r="E70" s="1169" t="s">
        <v>1472</v>
      </c>
      <c r="F70" s="1275"/>
      <c r="O70" s="1894" t="s">
        <v>1046</v>
      </c>
      <c r="P70" s="1933" t="s">
        <v>1580</v>
      </c>
      <c r="Q70" s="1886">
        <f ca="1">C13</f>
        <v>569</v>
      </c>
      <c r="R70" s="1886" t="s">
        <v>1524</v>
      </c>
    </row>
    <row r="71" spans="1:18" s="1842" customFormat="1" ht="13.5" thickBot="1">
      <c r="A71" s="1190" t="s">
        <v>1030</v>
      </c>
      <c r="B71" s="1191" t="s">
        <v>1482</v>
      </c>
      <c r="C71" s="382">
        <f ca="1">ROUND(C68*10000/F71,0)</f>
        <v>-4549</v>
      </c>
      <c r="D71" s="1192" t="s">
        <v>1483</v>
      </c>
      <c r="E71" s="1193" t="s">
        <v>1484</v>
      </c>
      <c r="F71" s="385">
        <f ca="1">F43</f>
        <v>2422.75</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48</v>
      </c>
      <c r="D75" s="1842"/>
      <c r="E75" s="1842"/>
      <c r="F75" s="1842"/>
      <c r="K75" s="1868"/>
      <c r="L75" s="1842"/>
      <c r="O75" s="1884" t="s">
        <v>1043</v>
      </c>
      <c r="P75" s="1885" t="s">
        <v>1544</v>
      </c>
      <c r="Q75" s="1886">
        <f ca="1">Q65+Q66</f>
        <v>1022</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7.6999999999999957E-2</v>
      </c>
    </row>
    <row r="80" spans="1:18">
      <c r="B80" s="386" t="s">
        <v>1506</v>
      </c>
      <c r="C80" s="318">
        <f ca="1">ROUND(C75/C39,3)</f>
        <v>0.92300000000000004</v>
      </c>
    </row>
    <row r="81" spans="2:3">
      <c r="B81" s="314" t="s">
        <v>1507</v>
      </c>
      <c r="C81" s="282"/>
    </row>
    <row r="82" spans="2:3">
      <c r="B82" s="317" t="s">
        <v>1508</v>
      </c>
      <c r="C82" s="319">
        <f ca="1">1-C83</f>
        <v>0.44299999999999995</v>
      </c>
    </row>
    <row r="83" spans="2:3">
      <c r="B83" s="317" t="s">
        <v>1509</v>
      </c>
      <c r="C83" s="318">
        <f ca="1">ROUND(C13/C40,3)</f>
        <v>0.55700000000000005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topLeftCell="A22"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203" t="s">
        <v>1398</v>
      </c>
      <c r="C6" s="1296">
        <f ca="1">ROUND(F6*F8*F7*(1-F9),0)</f>
        <v>0</v>
      </c>
      <c r="D6" s="164" t="s">
        <v>3019</v>
      </c>
      <c r="E6" s="347" t="s">
        <v>1400</v>
      </c>
      <c r="F6" s="348">
        <f ca="1">INDIRECT("'数据-取费表'!u"&amp;$G$1)</f>
        <v>0</v>
      </c>
      <c r="G6" s="1851"/>
      <c r="H6" s="1291" t="s">
        <v>1032</v>
      </c>
      <c r="I6" s="3203" t="s">
        <v>1398</v>
      </c>
      <c r="J6" s="346">
        <f ca="1">ROUND(M6*M8*M7*(1-M9),0)</f>
        <v>0</v>
      </c>
      <c r="K6" s="1834" t="s">
        <v>3020</v>
      </c>
      <c r="L6" s="347" t="s">
        <v>1400</v>
      </c>
      <c r="M6" s="348">
        <f ca="1">INDIRECT("'数据-取费表'!z"&amp;$G$1)</f>
        <v>0</v>
      </c>
    </row>
    <row r="7" spans="1:37" ht="18" customHeight="1">
      <c r="A7" s="1295"/>
      <c r="B7" s="3204"/>
      <c r="C7" s="1297"/>
      <c r="D7" s="352"/>
      <c r="E7" s="1298" t="s">
        <v>1401</v>
      </c>
      <c r="F7" s="348">
        <f ca="1">IF(INDIRECT("'数据-取费表'!ah"&amp;$G$1)="",INDIRECT("'数据-取费表'!k"&amp;$G$1),INDIRECT("'数据-取费表'!ah"&amp;$G$1))</f>
        <v>0</v>
      </c>
      <c r="G7" s="1851"/>
      <c r="H7" s="349"/>
      <c r="I7" s="3204"/>
      <c r="J7" s="351"/>
      <c r="K7" s="352"/>
      <c r="L7" s="347" t="s">
        <v>1401</v>
      </c>
      <c r="M7" s="348">
        <f ca="1">F7</f>
        <v>0</v>
      </c>
    </row>
    <row r="8" spans="1:37" ht="18" customHeight="1">
      <c r="A8" s="349"/>
      <c r="B8" s="3204"/>
      <c r="C8" s="351"/>
      <c r="D8" s="352"/>
      <c r="E8" s="347" t="s">
        <v>1402</v>
      </c>
      <c r="F8" s="348">
        <f ca="1">INDIRECT("'数据-取费表'!ai"&amp;$G$1)</f>
        <v>0</v>
      </c>
      <c r="G8" s="1851"/>
      <c r="H8" s="349"/>
      <c r="I8" s="3204"/>
      <c r="J8" s="351"/>
      <c r="K8" s="352"/>
      <c r="L8" s="347" t="s">
        <v>1402</v>
      </c>
      <c r="M8" s="348">
        <f ca="1">INDIRECT("'数据-取费表'!ai"&amp;$G$1)</f>
        <v>0</v>
      </c>
    </row>
    <row r="9" spans="1:37" ht="18" customHeight="1">
      <c r="A9" s="349"/>
      <c r="B9" s="3205"/>
      <c r="C9" s="351"/>
      <c r="D9" s="352"/>
      <c r="E9" s="347" t="s">
        <v>1403</v>
      </c>
      <c r="F9" s="357">
        <f ca="1">INDIRECT("'数据-取费表'!w"&amp;$G$1)</f>
        <v>0</v>
      </c>
      <c r="G9" s="1851"/>
      <c r="H9" s="349"/>
      <c r="I9" s="3205"/>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3030</v>
      </c>
      <c r="E10" s="358" t="s">
        <v>1405</v>
      </c>
      <c r="F10" s="1366"/>
      <c r="G10" s="1851"/>
      <c r="H10" s="1291" t="s">
        <v>1036</v>
      </c>
      <c r="I10" s="1823" t="s">
        <v>1404</v>
      </c>
      <c r="J10" s="346">
        <f ca="1">ROUND(IF(M10="押一",J6/12*M11,IF(M10="押二",J6/12*2*M11,IF(M10="押三",J6/12*3*M11,J11*M11))),0)</f>
        <v>0</v>
      </c>
      <c r="K10" s="1835" t="s">
        <v>3032</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0.01</v>
      </c>
      <c r="G20" s="1854"/>
      <c r="H20" s="1201" t="s">
        <v>1384</v>
      </c>
      <c r="I20" s="164" t="s">
        <v>1436</v>
      </c>
      <c r="J20" s="25">
        <f ca="1">ROUND(M20*M21,0)</f>
        <v>0</v>
      </c>
      <c r="K20" s="370" t="s">
        <v>1437</v>
      </c>
      <c r="L20" s="347" t="s">
        <v>1438</v>
      </c>
      <c r="M20" s="371">
        <f>'数据-取费表'!B52</f>
        <v>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0.01</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4</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3033</v>
      </c>
      <c r="E53" s="358" t="s">
        <v>1405</v>
      </c>
      <c r="F53" s="1366"/>
      <c r="I53" s="1905" t="s">
        <v>1542</v>
      </c>
      <c r="J53" s="2949">
        <f ca="1">IF(M47="住宅",IF(D1="——",MAX(J51,L48),MAX(J51,L48-'数据-取费表'!B24)),IF(D1="——",MIN(J51,L48),MIN(J51,L48-'数据-取费表'!B24)))</f>
        <v>0</v>
      </c>
      <c r="K53" s="3201" t="s">
        <v>1543</v>
      </c>
      <c r="L53" s="3202"/>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4</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F13"/>
  <sheetViews>
    <sheetView workbookViewId="0">
      <selection activeCell="F7" sqref="F7"/>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2517</v>
      </c>
      <c r="B1" s="2561"/>
      <c r="C1" s="2561"/>
      <c r="D1" s="2561"/>
      <c r="E1" s="2562"/>
    </row>
    <row r="2" spans="1:6" ht="15.75">
      <c r="A2" s="2563" t="s">
        <v>2318</v>
      </c>
      <c r="B2" s="2564">
        <f ca="1">SUMIF(B6:B13,"&lt;&gt;#ref!",B6:B13)</f>
        <v>1022</v>
      </c>
      <c r="C2" s="2565" t="s">
        <v>2510</v>
      </c>
      <c r="D2" s="2566" t="s">
        <v>2511</v>
      </c>
      <c r="E2" s="2567">
        <f>SUM(E6:E13)</f>
        <v>2547.4699999999998</v>
      </c>
    </row>
    <row r="3" spans="1:6" ht="15.75">
      <c r="A3" s="2563" t="s">
        <v>1390</v>
      </c>
      <c r="B3" s="2564">
        <f ca="1">ROUND(B2*10000/E2,0)</f>
        <v>4012</v>
      </c>
      <c r="C3" s="2565" t="s">
        <v>2518</v>
      </c>
      <c r="D3" s="2568"/>
      <c r="E3" s="2569"/>
    </row>
    <row r="4" spans="1:6" ht="15.75">
      <c r="A4" s="2570"/>
      <c r="B4" s="2568"/>
      <c r="C4" s="2568"/>
      <c r="D4" s="2568"/>
      <c r="E4" s="2569"/>
    </row>
    <row r="5" spans="1:6" ht="15">
      <c r="A5" s="2571" t="s">
        <v>2512</v>
      </c>
      <c r="B5" s="3206" t="s">
        <v>2513</v>
      </c>
      <c r="C5" s="3206"/>
      <c r="D5" s="2572"/>
      <c r="E5" s="2573" t="s">
        <v>2514</v>
      </c>
      <c r="F5" s="2574" t="s">
        <v>2515</v>
      </c>
    </row>
    <row r="6" spans="1:6">
      <c r="A6" s="2575" t="str">
        <f>'数据-取费表'!AN6</f>
        <v>收益法</v>
      </c>
      <c r="B6" s="2574">
        <f ca="1">IF(F6="是",'数据-取费表'!AO6,0)</f>
        <v>1022</v>
      </c>
      <c r="C6" s="2565" t="s">
        <v>2510</v>
      </c>
      <c r="D6" s="2568"/>
      <c r="E6" s="2576">
        <f>IF(OR(A6=0,F6="否"),0,'数据-取费表'!K6+'数据-取费表'!S6)</f>
        <v>2547.4699999999998</v>
      </c>
      <c r="F6" s="2577" t="s">
        <v>2516</v>
      </c>
    </row>
    <row r="7" spans="1:6">
      <c r="A7" s="2575">
        <f>'数据-取费表'!AN7</f>
        <v>0</v>
      </c>
      <c r="B7" s="2574" t="e">
        <f ca="1">IF(F7="是",'数据-取费表'!AO7,0)</f>
        <v>#REF!</v>
      </c>
      <c r="C7" s="2565" t="s">
        <v>2510</v>
      </c>
      <c r="D7" s="2568"/>
      <c r="E7" s="2576">
        <f>IF(OR(A7=0,F7="否"),0,'数据-取费表'!K7+'数据-取费表'!S7)</f>
        <v>0</v>
      </c>
      <c r="F7" s="2577" t="s">
        <v>2516</v>
      </c>
    </row>
    <row r="8" spans="1:6">
      <c r="A8" s="2575">
        <f>'数据-取费表'!AN8</f>
        <v>0</v>
      </c>
      <c r="B8" s="2574" t="e">
        <f ca="1">IF(F8="是",'数据-取费表'!AO8,0)</f>
        <v>#REF!</v>
      </c>
      <c r="C8" s="2565" t="s">
        <v>2510</v>
      </c>
      <c r="D8" s="2568"/>
      <c r="E8" s="2576">
        <f>IF(OR(A8=0,F8="否"),0,'数据-取费表'!K8+'数据-取费表'!S8)</f>
        <v>0</v>
      </c>
      <c r="F8" s="2577" t="s">
        <v>2516</v>
      </c>
    </row>
    <row r="9" spans="1:6">
      <c r="A9" s="2575">
        <f>'数据-取费表'!AN9</f>
        <v>0</v>
      </c>
      <c r="B9" s="2574" t="e">
        <f ca="1">IF(F9="是",'数据-取费表'!AO9,0)</f>
        <v>#REF!</v>
      </c>
      <c r="C9" s="2565" t="s">
        <v>2510</v>
      </c>
      <c r="D9" s="2568"/>
      <c r="E9" s="2576">
        <f>IF(OR(A9=0,F9="否"),0,'数据-取费表'!K9+'数据-取费表'!S9)</f>
        <v>0</v>
      </c>
      <c r="F9" s="2577" t="s">
        <v>2516</v>
      </c>
    </row>
    <row r="10" spans="1:6">
      <c r="A10" s="2575">
        <f>'数据-取费表'!AN10</f>
        <v>0</v>
      </c>
      <c r="B10" s="2574" t="e">
        <f ca="1">IF(F10="是",'数据-取费表'!AO10,0)</f>
        <v>#REF!</v>
      </c>
      <c r="C10" s="2565" t="s">
        <v>2510</v>
      </c>
      <c r="D10" s="2568"/>
      <c r="E10" s="2576">
        <f>IF(OR(A10=0,F10="否"),0,'数据-取费表'!K10+'数据-取费表'!S10)</f>
        <v>0</v>
      </c>
      <c r="F10" s="2577" t="s">
        <v>2516</v>
      </c>
    </row>
    <row r="11" spans="1:6">
      <c r="A11" s="2575">
        <f>'数据-取费表'!AN11</f>
        <v>0</v>
      </c>
      <c r="B11" s="2574" t="e">
        <f ca="1">IF(F11="是",'数据-取费表'!AO11,0)</f>
        <v>#REF!</v>
      </c>
      <c r="C11" s="2565" t="s">
        <v>2510</v>
      </c>
      <c r="D11" s="2568"/>
      <c r="E11" s="2576">
        <f>IF(OR(A11=0,F11="否"),0,'数据-取费表'!K11+'数据-取费表'!S11)</f>
        <v>0</v>
      </c>
      <c r="F11" s="2577" t="s">
        <v>2516</v>
      </c>
    </row>
    <row r="12" spans="1:6">
      <c r="A12" s="2575">
        <f>'数据-取费表'!AN12</f>
        <v>0</v>
      </c>
      <c r="B12" s="2574" t="e">
        <f ca="1">IF(F12="是",'数据-取费表'!AO12,0)</f>
        <v>#REF!</v>
      </c>
      <c r="C12" s="2565" t="s">
        <v>2510</v>
      </c>
      <c r="D12" s="2568"/>
      <c r="E12" s="2576">
        <f>IF(OR(A12=0,F12="否"),0,'数据-取费表'!K12+'数据-取费表'!S12)</f>
        <v>0</v>
      </c>
      <c r="F12" s="2577" t="s">
        <v>2516</v>
      </c>
    </row>
    <row r="13" spans="1:6" ht="15" thickBot="1">
      <c r="A13" s="2578">
        <f>'数据-取费表'!AN13</f>
        <v>0</v>
      </c>
      <c r="B13" s="2574" t="e">
        <f ca="1">IF(F13="是",'数据-取费表'!AO13,0)</f>
        <v>#REF!</v>
      </c>
      <c r="C13" s="2579" t="s">
        <v>2510</v>
      </c>
      <c r="D13" s="2580"/>
      <c r="E13" s="2576">
        <f>IF(OR(A13=0,F13="否"),0,'数据-取费表'!K13+'数据-取费表'!S13)</f>
        <v>0</v>
      </c>
      <c r="F13" s="2577"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I38"/>
  <sheetViews>
    <sheetView workbookViewId="0">
      <selection activeCell="F7" sqref="F7"/>
    </sheetView>
  </sheetViews>
  <sheetFormatPr defaultRowHeight="13.5"/>
  <cols>
    <col min="1" max="1" width="10.5" customWidth="1"/>
    <col min="2" max="2" width="12.875" customWidth="1"/>
    <col min="3" max="3" width="8.75" customWidth="1"/>
  </cols>
  <sheetData>
    <row r="1" spans="1:9" ht="14.25">
      <c r="A1" s="3207" t="s">
        <v>1073</v>
      </c>
      <c r="B1" s="3208"/>
      <c r="C1" s="3209"/>
      <c r="D1" s="3210">
        <f>SUM(I10,I15,I20,I21,I23)</f>
        <v>0</v>
      </c>
      <c r="E1" s="3210"/>
      <c r="F1" s="3210"/>
      <c r="G1" s="3210"/>
      <c r="H1" s="3210"/>
      <c r="I1" s="3211"/>
    </row>
    <row r="2" spans="1:9">
      <c r="A2" s="3212" t="s">
        <v>1074</v>
      </c>
      <c r="B2" s="3213" t="s">
        <v>1075</v>
      </c>
      <c r="C2" s="3213"/>
      <c r="D2" s="1301" t="s">
        <v>1076</v>
      </c>
      <c r="E2" s="1301" t="s">
        <v>1077</v>
      </c>
      <c r="F2" s="1301" t="s">
        <v>1078</v>
      </c>
      <c r="G2" s="1301" t="s">
        <v>1079</v>
      </c>
      <c r="H2" s="1301" t="s">
        <v>1080</v>
      </c>
      <c r="I2" s="1302" t="s">
        <v>1081</v>
      </c>
    </row>
    <row r="3" spans="1:9">
      <c r="A3" s="3212"/>
      <c r="B3" s="3213" t="s">
        <v>1082</v>
      </c>
      <c r="C3" s="3213"/>
      <c r="D3" s="1303"/>
      <c r="E3" s="1301"/>
      <c r="F3" s="1304"/>
      <c r="G3" s="1304"/>
      <c r="H3" s="1305"/>
      <c r="I3" s="1306">
        <f>ROUND(D3*E3*F3*G3*H3/10000,0)</f>
        <v>0</v>
      </c>
    </row>
    <row r="4" spans="1:9">
      <c r="A4" s="3212"/>
      <c r="B4" s="3213" t="s">
        <v>1083</v>
      </c>
      <c r="C4" s="3213"/>
      <c r="D4" s="1303"/>
      <c r="E4" s="1301"/>
      <c r="F4" s="1304"/>
      <c r="G4" s="1304"/>
      <c r="H4" s="1305"/>
      <c r="I4" s="1306">
        <f t="shared" ref="I4:I9" si="0">ROUND(D4*E4*F4*G4*H4/10000,0)</f>
        <v>0</v>
      </c>
    </row>
    <row r="5" spans="1:9">
      <c r="A5" s="3212"/>
      <c r="B5" s="3213" t="s">
        <v>1084</v>
      </c>
      <c r="C5" s="3213"/>
      <c r="D5" s="1303"/>
      <c r="E5" s="1301"/>
      <c r="F5" s="1304"/>
      <c r="G5" s="1304"/>
      <c r="H5" s="1305"/>
      <c r="I5" s="1306">
        <f t="shared" si="0"/>
        <v>0</v>
      </c>
    </row>
    <row r="6" spans="1:9">
      <c r="A6" s="3212"/>
      <c r="B6" s="3213" t="s">
        <v>1085</v>
      </c>
      <c r="C6" s="3213"/>
      <c r="D6" s="1303"/>
      <c r="E6" s="1301"/>
      <c r="F6" s="1304"/>
      <c r="G6" s="1304"/>
      <c r="H6" s="1305"/>
      <c r="I6" s="1306">
        <f t="shared" si="0"/>
        <v>0</v>
      </c>
    </row>
    <row r="7" spans="1:9">
      <c r="A7" s="3212"/>
      <c r="B7" s="3213" t="s">
        <v>1086</v>
      </c>
      <c r="C7" s="3213"/>
      <c r="D7" s="1303"/>
      <c r="E7" s="1301"/>
      <c r="F7" s="1304"/>
      <c r="G7" s="1304"/>
      <c r="H7" s="1305"/>
      <c r="I7" s="1306">
        <f t="shared" si="0"/>
        <v>0</v>
      </c>
    </row>
    <row r="8" spans="1:9">
      <c r="A8" s="3212"/>
      <c r="B8" s="3213" t="s">
        <v>1087</v>
      </c>
      <c r="C8" s="3213"/>
      <c r="D8" s="1303"/>
      <c r="E8" s="1301"/>
      <c r="F8" s="1304"/>
      <c r="G8" s="1304"/>
      <c r="H8" s="1305"/>
      <c r="I8" s="1306">
        <f t="shared" si="0"/>
        <v>0</v>
      </c>
    </row>
    <row r="9" spans="1:9">
      <c r="A9" s="3212"/>
      <c r="B9" s="3213" t="s">
        <v>1088</v>
      </c>
      <c r="C9" s="3213"/>
      <c r="D9" s="1303"/>
      <c r="E9" s="1301"/>
      <c r="F9" s="1304"/>
      <c r="G9" s="1304"/>
      <c r="H9" s="1305"/>
      <c r="I9" s="1306">
        <f t="shared" si="0"/>
        <v>0</v>
      </c>
    </row>
    <row r="10" spans="1:9">
      <c r="A10" s="3212"/>
      <c r="B10" s="3214" t="s">
        <v>1089</v>
      </c>
      <c r="C10" s="3214"/>
      <c r="D10" s="1307"/>
      <c r="E10" s="1307" t="e">
        <f>ROUND(D1*10000/D10/H9,0)</f>
        <v>#DIV/0!</v>
      </c>
      <c r="F10" s="1308"/>
      <c r="G10" s="1308"/>
      <c r="H10" s="1309"/>
      <c r="I10" s="1310">
        <f>SUM(I3:I9)</f>
        <v>0</v>
      </c>
    </row>
    <row r="11" spans="1:9" ht="14.25">
      <c r="A11" s="3212" t="s">
        <v>1090</v>
      </c>
      <c r="B11" s="3213" t="s">
        <v>1091</v>
      </c>
      <c r="C11" s="3213"/>
      <c r="D11" s="1303" t="s">
        <v>1092</v>
      </c>
      <c r="E11" s="1303" t="s">
        <v>1093</v>
      </c>
      <c r="F11" s="1304" t="s">
        <v>1094</v>
      </c>
      <c r="G11" s="1304" t="s">
        <v>1080</v>
      </c>
      <c r="H11" s="1311" t="s">
        <v>1095</v>
      </c>
      <c r="I11" s="1302" t="s">
        <v>1081</v>
      </c>
    </row>
    <row r="12" spans="1:9">
      <c r="A12" s="3212"/>
      <c r="B12" s="3213" t="s">
        <v>1096</v>
      </c>
      <c r="C12" s="3213"/>
      <c r="D12" s="1303"/>
      <c r="E12" s="1303"/>
      <c r="F12" s="1304"/>
      <c r="G12" s="1305"/>
      <c r="H12" s="1312"/>
      <c r="I12" s="1302">
        <f>ROUND(D12*E12*F12*G12/10000,0)</f>
        <v>0</v>
      </c>
    </row>
    <row r="13" spans="1:9">
      <c r="A13" s="3212"/>
      <c r="B13" s="3213" t="s">
        <v>1097</v>
      </c>
      <c r="C13" s="3213"/>
      <c r="D13" s="1303"/>
      <c r="E13" s="1303"/>
      <c r="F13" s="1304"/>
      <c r="G13" s="1305"/>
      <c r="H13" s="1312"/>
      <c r="I13" s="1302">
        <f>ROUND(D13*E13*F13*G13/10000,0)</f>
        <v>0</v>
      </c>
    </row>
    <row r="14" spans="1:9">
      <c r="A14" s="3212"/>
      <c r="B14" s="3213" t="s">
        <v>1098</v>
      </c>
      <c r="C14" s="3213"/>
      <c r="D14" s="1303"/>
      <c r="E14" s="1303"/>
      <c r="F14" s="1304"/>
      <c r="G14" s="1305"/>
      <c r="H14" s="1312"/>
      <c r="I14" s="1302">
        <f>ROUND(D14*E14*F14*G14/10000,0)</f>
        <v>0</v>
      </c>
    </row>
    <row r="15" spans="1:9">
      <c r="A15" s="3212"/>
      <c r="B15" s="3214" t="s">
        <v>1089</v>
      </c>
      <c r="C15" s="3214"/>
      <c r="D15" s="1307"/>
      <c r="E15" s="1307">
        <f>SUM(E12:E14)</f>
        <v>0</v>
      </c>
      <c r="F15" s="1308"/>
      <c r="G15" s="1305"/>
      <c r="H15" s="1312"/>
      <c r="I15" s="1313">
        <f>SUM(I12:I14)</f>
        <v>0</v>
      </c>
    </row>
    <row r="16" spans="1:9" ht="24">
      <c r="A16" s="3212" t="s">
        <v>1099</v>
      </c>
      <c r="B16" s="3213" t="s">
        <v>1100</v>
      </c>
      <c r="C16" s="3213"/>
      <c r="D16" s="1303" t="s">
        <v>1076</v>
      </c>
      <c r="E16" s="1314" t="s">
        <v>1101</v>
      </c>
      <c r="F16" s="1304" t="s">
        <v>1102</v>
      </c>
      <c r="G16" s="1305" t="s">
        <v>1080</v>
      </c>
      <c r="H16" s="1311" t="s">
        <v>1095</v>
      </c>
      <c r="I16" s="1302" t="s">
        <v>1081</v>
      </c>
    </row>
    <row r="17" spans="1:9" ht="14.25">
      <c r="A17" s="3212"/>
      <c r="B17" s="3213" t="s">
        <v>1103</v>
      </c>
      <c r="C17" s="3213"/>
      <c r="D17" s="1303"/>
      <c r="E17" s="1303"/>
      <c r="F17" s="1304"/>
      <c r="G17" s="1305"/>
      <c r="H17" s="1315"/>
      <c r="I17" s="1316">
        <f>ROUND(D17*E17*F17*G17/10000,0)</f>
        <v>0</v>
      </c>
    </row>
    <row r="18" spans="1:9" ht="14.25">
      <c r="A18" s="3212"/>
      <c r="B18" s="3213" t="s">
        <v>1104</v>
      </c>
      <c r="C18" s="3213"/>
      <c r="D18" s="1303"/>
      <c r="E18" s="1303"/>
      <c r="F18" s="1304"/>
      <c r="G18" s="1305"/>
      <c r="H18" s="1315"/>
      <c r="I18" s="1316">
        <f>ROUND(D18*E18*F18*G18/10000,0)</f>
        <v>0</v>
      </c>
    </row>
    <row r="19" spans="1:9" ht="14.25">
      <c r="A19" s="3212"/>
      <c r="B19" s="3213" t="s">
        <v>1105</v>
      </c>
      <c r="C19" s="3213"/>
      <c r="D19" s="1303"/>
      <c r="E19" s="1303"/>
      <c r="F19" s="1304"/>
      <c r="G19" s="1305"/>
      <c r="H19" s="1315"/>
      <c r="I19" s="1316">
        <f>ROUND(D19*E19*F19*G19/10000,0)</f>
        <v>0</v>
      </c>
    </row>
    <row r="20" spans="1:9">
      <c r="A20" s="3212"/>
      <c r="B20" s="3214" t="s">
        <v>1089</v>
      </c>
      <c r="C20" s="3214"/>
      <c r="D20" s="1307">
        <f>SUM(D17:D19)</f>
        <v>0</v>
      </c>
      <c r="E20" s="1307"/>
      <c r="F20" s="1308"/>
      <c r="G20" s="1305"/>
      <c r="H20" s="1312"/>
      <c r="I20" s="1313">
        <f>SUM(I17:I19)</f>
        <v>0</v>
      </c>
    </row>
    <row r="21" spans="1:9">
      <c r="A21" s="3212" t="s">
        <v>1106</v>
      </c>
      <c r="B21" s="3216"/>
      <c r="C21" s="3216"/>
      <c r="D21" s="3216"/>
      <c r="E21" s="3216"/>
      <c r="F21" s="3216"/>
      <c r="G21" s="3216"/>
      <c r="H21" s="1765">
        <v>0.1</v>
      </c>
      <c r="I21" s="1310">
        <f>ROUND(I10*H21,0)</f>
        <v>0</v>
      </c>
    </row>
    <row r="22" spans="1:9" ht="14.25">
      <c r="A22" s="3217" t="s">
        <v>1107</v>
      </c>
      <c r="B22" s="3218"/>
      <c r="C22" s="3219"/>
      <c r="D22" s="1317" t="s">
        <v>1108</v>
      </c>
      <c r="E22" s="1317" t="s">
        <v>1109</v>
      </c>
      <c r="F22" s="1318" t="s">
        <v>1110</v>
      </c>
      <c r="G22" s="1318" t="s">
        <v>1111</v>
      </c>
      <c r="H22" s="1311" t="s">
        <v>1112</v>
      </c>
      <c r="I22" s="1302" t="s">
        <v>1113</v>
      </c>
    </row>
    <row r="23" spans="1:9" ht="14.25" thickBot="1">
      <c r="A23" s="3220"/>
      <c r="B23" s="3221"/>
      <c r="C23" s="3222"/>
      <c r="D23" s="1319"/>
      <c r="E23" s="1319"/>
      <c r="F23" s="1319"/>
      <c r="G23" s="1320"/>
      <c r="H23" s="1321"/>
      <c r="I23" s="1322">
        <f>ROUND(E23*D23*F23*(1-G23)/10000,0)</f>
        <v>0</v>
      </c>
    </row>
    <row r="26" spans="1:9">
      <c r="A26" s="1323" t="s">
        <v>1114</v>
      </c>
      <c r="B26" s="1323"/>
      <c r="C26" s="1323"/>
      <c r="D26" s="1323"/>
      <c r="E26" s="3223">
        <f>C27-C30-C31-C32</f>
        <v>0</v>
      </c>
      <c r="F26" s="3223"/>
      <c r="G26" s="3223"/>
      <c r="H26" s="1737" t="s">
        <v>1336</v>
      </c>
    </row>
    <row r="27" spans="1:9">
      <c r="A27" s="1324">
        <v>1</v>
      </c>
      <c r="B27" s="1325" t="s">
        <v>1115</v>
      </c>
      <c r="C27" s="1325">
        <f>C28+C29</f>
        <v>0</v>
      </c>
      <c r="D27" s="1325"/>
      <c r="E27" s="3224"/>
      <c r="F27" s="3224"/>
      <c r="G27" s="3224"/>
    </row>
    <row r="28" spans="1:9">
      <c r="A28" s="1326" t="s">
        <v>1116</v>
      </c>
      <c r="B28" s="1325" t="s">
        <v>1117</v>
      </c>
      <c r="C28" s="1325"/>
      <c r="D28" s="1325"/>
      <c r="E28" s="3224"/>
      <c r="F28" s="3224"/>
      <c r="G28" s="3224"/>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15"/>
      <c r="F32" s="3215"/>
      <c r="G32" s="3215"/>
    </row>
    <row r="33" spans="1:7" hidden="1">
      <c r="A33" s="3225" t="s">
        <v>1126</v>
      </c>
      <c r="B33" s="3226"/>
      <c r="C33" s="3226"/>
      <c r="D33" s="3227"/>
      <c r="E33" s="3223"/>
      <c r="F33" s="3223"/>
      <c r="G33" s="3223"/>
    </row>
    <row r="34" spans="1:7" hidden="1">
      <c r="A34" s="1328">
        <v>1</v>
      </c>
      <c r="B34" s="1325" t="s">
        <v>1127</v>
      </c>
      <c r="C34" s="1325"/>
      <c r="D34" s="1325"/>
      <c r="E34" s="3224"/>
      <c r="F34" s="3224"/>
      <c r="G34" s="3224"/>
    </row>
    <row r="35" spans="1:7" hidden="1">
      <c r="A35" s="1328">
        <v>2</v>
      </c>
      <c r="B35" s="1325" t="s">
        <v>1128</v>
      </c>
      <c r="C35" s="1325"/>
      <c r="D35" s="1325"/>
      <c r="E35" s="3224"/>
      <c r="F35" s="3224"/>
      <c r="G35" s="3224"/>
    </row>
    <row r="36" spans="1:7" hidden="1">
      <c r="A36" s="1328">
        <v>3</v>
      </c>
      <c r="B36" s="1325" t="s">
        <v>1129</v>
      </c>
      <c r="C36" s="1325"/>
      <c r="D36" s="1325"/>
      <c r="E36" s="3224"/>
      <c r="F36" s="3224"/>
      <c r="G36" s="3224"/>
    </row>
    <row r="37" spans="1:7" hidden="1">
      <c r="A37" s="1328">
        <v>4</v>
      </c>
      <c r="B37" s="1325" t="s">
        <v>1130</v>
      </c>
      <c r="C37" s="1325"/>
      <c r="D37" s="1325"/>
      <c r="E37" s="3224"/>
      <c r="F37" s="3224"/>
      <c r="G37" s="3224"/>
    </row>
    <row r="38" spans="1:7" hidden="1">
      <c r="A38" s="3225" t="s">
        <v>1131</v>
      </c>
      <c r="B38" s="3226"/>
      <c r="C38" s="3226"/>
      <c r="D38" s="3227"/>
      <c r="E38" s="3223"/>
      <c r="F38" s="3223"/>
      <c r="G38" s="322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81" t="s">
        <v>2520</v>
      </c>
      <c r="C1" s="1634" t="s">
        <v>2521</v>
      </c>
      <c r="D1" s="1621"/>
      <c r="E1" s="2582"/>
      <c r="F1" s="2583" t="s">
        <v>2522</v>
      </c>
      <c r="G1" s="1631" t="s">
        <v>2523</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5"/>
      <c r="D2" s="1365" t="e">
        <f ca="1">SUMIF(INDIRECT("'"&amp;F2&amp;"'"&amp;"!A:A"),"承租人权益价值",INDIRECT("'"&amp;F2&amp;"'"&amp;"!c:c"))</f>
        <v>#REF!</v>
      </c>
      <c r="E2" s="2586" t="s">
        <v>2524</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1390</v>
      </c>
      <c r="B3" s="399" t="e">
        <f ca="1">IF(C2="——",C49,ROUND(B2*10000/D3,0))</f>
        <v>#DIV/0!</v>
      </c>
      <c r="C3" s="400" t="s">
        <v>2525</v>
      </c>
      <c r="D3" s="399">
        <f>IF(D1="",'数据-汇总表'!E3,SUMIF('数据-汇总表'!$C19:$C33,D1,'数据-汇总表'!$E19:$E33))</f>
        <v>2547.4699999999998</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2526</v>
      </c>
      <c r="B4" s="402"/>
      <c r="C4" s="3171" t="s">
        <v>2527</v>
      </c>
      <c r="D4" s="3172"/>
      <c r="E4" s="3173" t="s">
        <v>2528</v>
      </c>
      <c r="F4" s="3174"/>
      <c r="G4" s="3171" t="s">
        <v>2529</v>
      </c>
      <c r="H4" s="3172"/>
      <c r="I4" s="3171" t="s">
        <v>2530</v>
      </c>
      <c r="J4" s="3172"/>
      <c r="K4" s="2595" t="s">
        <v>2531</v>
      </c>
      <c r="L4" s="1130"/>
      <c r="M4" s="1131"/>
      <c r="N4" s="1131"/>
      <c r="O4" s="1131"/>
      <c r="P4" s="3175" t="s">
        <v>2532</v>
      </c>
      <c r="Q4" s="3176"/>
      <c r="R4" s="3188" t="s">
        <v>2528</v>
      </c>
      <c r="S4" s="3189"/>
      <c r="T4" s="3188" t="s">
        <v>2529</v>
      </c>
      <c r="U4" s="3189"/>
      <c r="V4" s="3163" t="s">
        <v>2530</v>
      </c>
      <c r="W4" s="3163"/>
      <c r="X4" s="1813"/>
      <c r="Y4" s="3188" t="s">
        <v>2532</v>
      </c>
      <c r="Z4" s="3189"/>
      <c r="AA4" s="3168" t="s">
        <v>2528</v>
      </c>
      <c r="AB4" s="3168" t="s">
        <v>2529</v>
      </c>
      <c r="AC4" s="3168" t="s">
        <v>2530</v>
      </c>
    </row>
    <row r="5" spans="1:29" ht="15">
      <c r="A5" s="404"/>
      <c r="B5" s="405"/>
      <c r="C5" s="3192" t="s">
        <v>2533</v>
      </c>
      <c r="D5" s="3193"/>
      <c r="E5" s="3181" t="s">
        <v>2534</v>
      </c>
      <c r="F5" s="3182"/>
      <c r="G5" s="3192" t="s">
        <v>2535</v>
      </c>
      <c r="H5" s="3193"/>
      <c r="I5" s="3192" t="s">
        <v>2536</v>
      </c>
      <c r="J5" s="3193"/>
      <c r="K5" s="2596"/>
      <c r="L5" s="1130"/>
      <c r="M5" s="1131"/>
      <c r="N5" s="1131"/>
      <c r="O5" s="1131"/>
      <c r="P5" s="3177"/>
      <c r="Q5" s="3178"/>
      <c r="R5" s="3190"/>
      <c r="S5" s="3191"/>
      <c r="T5" s="3190"/>
      <c r="U5" s="3191"/>
      <c r="V5" s="3163"/>
      <c r="W5" s="3163"/>
      <c r="X5" s="1813"/>
      <c r="Y5" s="3190"/>
      <c r="Z5" s="3191"/>
      <c r="AA5" s="3169"/>
      <c r="AB5" s="3169"/>
      <c r="AC5" s="3169"/>
    </row>
    <row r="6" spans="1:29" ht="15.75" thickBot="1">
      <c r="A6" s="406"/>
      <c r="B6" s="407"/>
      <c r="C6" s="3228" t="s">
        <v>2537</v>
      </c>
      <c r="D6" s="3229"/>
      <c r="E6" s="3230" t="s">
        <v>2537</v>
      </c>
      <c r="F6" s="3231"/>
      <c r="G6" s="3228" t="s">
        <v>2537</v>
      </c>
      <c r="H6" s="3229"/>
      <c r="I6" s="3228" t="s">
        <v>2537</v>
      </c>
      <c r="J6" s="3229"/>
      <c r="K6" s="2596" t="s">
        <v>2538</v>
      </c>
      <c r="L6" s="1130"/>
      <c r="M6" s="1131"/>
      <c r="N6" s="1131"/>
      <c r="O6" s="1131"/>
      <c r="P6" s="3179"/>
      <c r="Q6" s="3180"/>
      <c r="R6" s="3190"/>
      <c r="S6" s="3191"/>
      <c r="T6" s="3199"/>
      <c r="U6" s="3200"/>
      <c r="V6" s="3163"/>
      <c r="W6" s="3163"/>
      <c r="X6" s="1813"/>
      <c r="Y6" s="3199"/>
      <c r="Z6" s="3200"/>
      <c r="AA6" s="3170"/>
      <c r="AB6" s="3170"/>
      <c r="AC6" s="3170"/>
    </row>
    <row r="7" spans="1:29" s="117" customFormat="1" ht="15.75" thickBot="1">
      <c r="A7" s="408" t="s">
        <v>2539</v>
      </c>
      <c r="B7" s="409"/>
      <c r="C7" s="410">
        <f>'数据-取费表'!B2</f>
        <v>44015</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183" t="s">
        <v>2540</v>
      </c>
      <c r="Q7" s="3196"/>
      <c r="R7" s="770" t="s">
        <v>23</v>
      </c>
      <c r="S7" s="771">
        <f t="shared" ref="S7:S15" si="0">F7</f>
        <v>0</v>
      </c>
      <c r="T7" s="770" t="s">
        <v>23</v>
      </c>
      <c r="U7" s="771">
        <f t="shared" ref="U7:U15" si="1">H7</f>
        <v>0</v>
      </c>
      <c r="V7" s="770" t="s">
        <v>23</v>
      </c>
      <c r="W7" s="771">
        <f t="shared" ref="W7:W15" si="2">J7</f>
        <v>0</v>
      </c>
      <c r="X7" s="772"/>
      <c r="Y7" s="3183" t="s">
        <v>2540</v>
      </c>
      <c r="Z7" s="3184"/>
      <c r="AA7" s="773" t="e">
        <f>D7/F7</f>
        <v>#DIV/0!</v>
      </c>
      <c r="AB7" s="773" t="e">
        <f>D7/H7</f>
        <v>#DIV/0!</v>
      </c>
      <c r="AC7" s="773" t="e">
        <f>D7/J7</f>
        <v>#DIV/0!</v>
      </c>
    </row>
    <row r="8" spans="1:29" s="117" customFormat="1" ht="15.75" thickBot="1">
      <c r="A8" s="408" t="s">
        <v>2541</v>
      </c>
      <c r="B8" s="409"/>
      <c r="C8" s="414" t="s">
        <v>2542</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183" t="s">
        <v>2543</v>
      </c>
      <c r="Q8" s="3184"/>
      <c r="R8" s="770" t="s">
        <v>23</v>
      </c>
      <c r="S8" s="771">
        <f t="shared" si="0"/>
        <v>0</v>
      </c>
      <c r="T8" s="770" t="s">
        <v>23</v>
      </c>
      <c r="U8" s="771">
        <f t="shared" si="1"/>
        <v>0</v>
      </c>
      <c r="V8" s="770" t="s">
        <v>23</v>
      </c>
      <c r="W8" s="771">
        <f t="shared" si="2"/>
        <v>0</v>
      </c>
      <c r="X8" s="772"/>
      <c r="Y8" s="3183" t="s">
        <v>2543</v>
      </c>
      <c r="Z8" s="3184"/>
      <c r="AA8" s="773" t="e">
        <f t="shared" ref="AA8:AA19" si="3">D8/F8</f>
        <v>#DIV/0!</v>
      </c>
      <c r="AB8" s="773" t="e">
        <f t="shared" ref="AB8:AB19" si="4">D8/H8</f>
        <v>#DIV/0!</v>
      </c>
      <c r="AC8" s="773"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186"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6"/>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6"/>
      <c r="Q11" s="1795" t="str">
        <f t="shared" si="6"/>
        <v>容积率</v>
      </c>
      <c r="R11" s="770" t="s">
        <v>21</v>
      </c>
      <c r="S11" s="771" t="e">
        <f t="shared" si="0"/>
        <v>#N/A</v>
      </c>
      <c r="T11" s="770" t="s">
        <v>21</v>
      </c>
      <c r="U11" s="771" t="e">
        <f t="shared" si="1"/>
        <v>#N/A</v>
      </c>
      <c r="V11" s="770" t="s">
        <v>21</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186"/>
      <c r="Q12" s="1795">
        <f t="shared" si="6"/>
        <v>111</v>
      </c>
      <c r="R12" s="770" t="s">
        <v>21</v>
      </c>
      <c r="S12" s="771">
        <f t="shared" si="0"/>
        <v>100</v>
      </c>
      <c r="T12" s="770" t="s">
        <v>21</v>
      </c>
      <c r="U12" s="771">
        <f t="shared" si="1"/>
        <v>100</v>
      </c>
      <c r="V12" s="770" t="s">
        <v>21</v>
      </c>
      <c r="W12" s="771">
        <f t="shared" si="2"/>
        <v>100</v>
      </c>
      <c r="X12" s="772"/>
      <c r="Y12" s="3035"/>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186"/>
      <c r="Q13" s="1795">
        <f t="shared" si="6"/>
        <v>111</v>
      </c>
      <c r="R13" s="770" t="s">
        <v>21</v>
      </c>
      <c r="S13" s="771">
        <f t="shared" si="0"/>
        <v>100</v>
      </c>
      <c r="T13" s="770" t="s">
        <v>21</v>
      </c>
      <c r="U13" s="771">
        <f t="shared" si="1"/>
        <v>100</v>
      </c>
      <c r="V13" s="770" t="s">
        <v>21</v>
      </c>
      <c r="W13" s="771">
        <f t="shared" si="2"/>
        <v>100</v>
      </c>
      <c r="X13" s="772"/>
      <c r="Y13" s="3035"/>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186"/>
      <c r="Q14" s="1795">
        <f t="shared" si="6"/>
        <v>111</v>
      </c>
      <c r="R14" s="770" t="s">
        <v>21</v>
      </c>
      <c r="S14" s="771">
        <f t="shared" si="0"/>
        <v>100</v>
      </c>
      <c r="T14" s="770" t="s">
        <v>21</v>
      </c>
      <c r="U14" s="771">
        <f t="shared" si="1"/>
        <v>100</v>
      </c>
      <c r="V14" s="770" t="s">
        <v>21</v>
      </c>
      <c r="W14" s="771">
        <f t="shared" si="2"/>
        <v>100</v>
      </c>
      <c r="X14" s="772"/>
      <c r="Y14" s="3035"/>
      <c r="Z14" s="55">
        <f t="shared" si="7"/>
        <v>111</v>
      </c>
      <c r="AA14" s="773">
        <f t="shared" si="3"/>
        <v>1</v>
      </c>
      <c r="AB14" s="773">
        <f t="shared" si="4"/>
        <v>1</v>
      </c>
      <c r="AC14" s="773">
        <f t="shared" si="5"/>
        <v>1</v>
      </c>
    </row>
    <row r="15" spans="1:29" ht="99.75">
      <c r="A15" s="440" t="s">
        <v>2550</v>
      </c>
      <c r="B15" s="69" t="s">
        <v>2078</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8" t="s">
        <v>2551</v>
      </c>
      <c r="Q15" s="1810" t="str">
        <f t="shared" si="6"/>
        <v>居住社区成熟度</v>
      </c>
      <c r="R15" s="774" t="s">
        <v>21</v>
      </c>
      <c r="S15" s="775">
        <f t="shared" si="0"/>
        <v>100</v>
      </c>
      <c r="T15" s="774" t="s">
        <v>21</v>
      </c>
      <c r="U15" s="775">
        <f t="shared" si="1"/>
        <v>100</v>
      </c>
      <c r="V15" s="774" t="s">
        <v>21</v>
      </c>
      <c r="W15" s="775">
        <f t="shared" si="2"/>
        <v>100</v>
      </c>
      <c r="X15" s="1813"/>
      <c r="Y15" s="3164" t="s">
        <v>2551</v>
      </c>
      <c r="Z15" s="1814" t="str">
        <f t="shared" si="7"/>
        <v>居住社区成熟度</v>
      </c>
      <c r="AA15" s="1811">
        <f t="shared" si="3"/>
        <v>1</v>
      </c>
      <c r="AB15" s="1811">
        <f t="shared" si="4"/>
        <v>1</v>
      </c>
      <c r="AC15" s="1811">
        <f t="shared" si="5"/>
        <v>1</v>
      </c>
    </row>
    <row r="16" spans="1:29" ht="15">
      <c r="A16" s="428"/>
      <c r="B16" s="446"/>
      <c r="C16" s="447"/>
      <c r="D16" s="448"/>
      <c r="E16" s="2603"/>
      <c r="F16" s="448"/>
      <c r="G16" s="2604"/>
      <c r="H16" s="450"/>
      <c r="I16" s="2604"/>
      <c r="J16" s="448"/>
      <c r="K16" s="2605"/>
      <c r="L16" s="1140"/>
      <c r="M16" s="1131"/>
      <c r="N16" s="1131"/>
      <c r="O16" s="1131"/>
      <c r="P16" s="3239"/>
      <c r="Q16" s="1810"/>
      <c r="R16" s="774"/>
      <c r="S16" s="775"/>
      <c r="T16" s="774"/>
      <c r="U16" s="775"/>
      <c r="V16" s="774"/>
      <c r="W16" s="775"/>
      <c r="X16" s="1813"/>
      <c r="Y16" s="3165"/>
      <c r="Z16" s="1814"/>
      <c r="AA16" s="1811">
        <v>1</v>
      </c>
      <c r="AB16" s="1811">
        <v>1</v>
      </c>
      <c r="AC16" s="1811">
        <v>1</v>
      </c>
    </row>
    <row r="17" spans="1:29" ht="85.5">
      <c r="A17" s="428"/>
      <c r="B17" s="451" t="s">
        <v>2090</v>
      </c>
      <c r="C17" s="2606"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39"/>
      <c r="Q17" s="1810" t="str">
        <f>B17</f>
        <v>交通便捷度</v>
      </c>
      <c r="R17" s="774" t="s">
        <v>21</v>
      </c>
      <c r="S17" s="775">
        <f>F17</f>
        <v>100</v>
      </c>
      <c r="T17" s="774" t="s">
        <v>21</v>
      </c>
      <c r="U17" s="775">
        <f>H17</f>
        <v>100</v>
      </c>
      <c r="V17" s="774" t="s">
        <v>21</v>
      </c>
      <c r="W17" s="775">
        <f>J17</f>
        <v>100</v>
      </c>
      <c r="X17" s="1813"/>
      <c r="Y17" s="3165"/>
      <c r="Z17" s="1814" t="str">
        <f>Q17</f>
        <v>交通便捷度</v>
      </c>
      <c r="AA17" s="1811">
        <f t="shared" si="3"/>
        <v>1</v>
      </c>
      <c r="AB17" s="1811">
        <f t="shared" si="4"/>
        <v>1</v>
      </c>
      <c r="AC17" s="1811">
        <f t="shared" si="5"/>
        <v>1</v>
      </c>
    </row>
    <row r="18" spans="1:29" ht="15">
      <c r="A18" s="428"/>
      <c r="B18" s="456"/>
      <c r="C18" s="2607"/>
      <c r="D18" s="450"/>
      <c r="E18" s="2608"/>
      <c r="F18" s="450"/>
      <c r="G18" s="2609"/>
      <c r="H18" s="448"/>
      <c r="I18" s="2609"/>
      <c r="J18" s="448"/>
      <c r="K18" s="2605"/>
      <c r="L18" s="1140"/>
      <c r="M18" s="1131"/>
      <c r="N18" s="1131"/>
      <c r="O18" s="1131"/>
      <c r="P18" s="3239"/>
      <c r="Q18" s="1810"/>
      <c r="R18" s="774"/>
      <c r="S18" s="775"/>
      <c r="T18" s="774"/>
      <c r="U18" s="775"/>
      <c r="V18" s="774"/>
      <c r="W18" s="775"/>
      <c r="X18" s="1813"/>
      <c r="Y18" s="3165"/>
      <c r="Z18" s="1814"/>
      <c r="AA18" s="1811">
        <v>1</v>
      </c>
      <c r="AB18" s="1811">
        <v>1</v>
      </c>
      <c r="AC18" s="1811">
        <v>1</v>
      </c>
    </row>
    <row r="19" spans="1:29" ht="42.75">
      <c r="A19" s="428"/>
      <c r="B19" s="451" t="s">
        <v>2088</v>
      </c>
      <c r="C19" s="2606"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39"/>
      <c r="Q19" s="1810" t="str">
        <f>B19</f>
        <v>公共配套设施</v>
      </c>
      <c r="R19" s="774" t="s">
        <v>21</v>
      </c>
      <c r="S19" s="775">
        <f>F19</f>
        <v>100</v>
      </c>
      <c r="T19" s="774" t="s">
        <v>21</v>
      </c>
      <c r="U19" s="775">
        <f>H19</f>
        <v>100</v>
      </c>
      <c r="V19" s="774" t="s">
        <v>21</v>
      </c>
      <c r="W19" s="775">
        <f>J19</f>
        <v>100</v>
      </c>
      <c r="X19" s="1813"/>
      <c r="Y19" s="3165"/>
      <c r="Z19" s="1814" t="str">
        <f>Q19</f>
        <v>公共配套设施</v>
      </c>
      <c r="AA19" s="1811">
        <f t="shared" si="3"/>
        <v>1</v>
      </c>
      <c r="AB19" s="1811">
        <f t="shared" si="4"/>
        <v>1</v>
      </c>
      <c r="AC19" s="1811">
        <f t="shared" si="5"/>
        <v>1</v>
      </c>
    </row>
    <row r="20" spans="1:29" ht="15">
      <c r="A20" s="428"/>
      <c r="B20" s="456"/>
      <c r="C20" s="447"/>
      <c r="D20" s="448"/>
      <c r="E20" s="2603"/>
      <c r="F20" s="448"/>
      <c r="G20" s="2604"/>
      <c r="H20" s="448"/>
      <c r="I20" s="2604"/>
      <c r="J20" s="448"/>
      <c r="K20" s="2605"/>
      <c r="L20" s="1140"/>
      <c r="M20" s="1131"/>
      <c r="N20" s="1131"/>
      <c r="O20" s="1131"/>
      <c r="P20" s="3239"/>
      <c r="Q20" s="1810"/>
      <c r="R20" s="774"/>
      <c r="S20" s="775"/>
      <c r="T20" s="774"/>
      <c r="U20" s="775"/>
      <c r="V20" s="774"/>
      <c r="W20" s="775"/>
      <c r="X20" s="1813"/>
      <c r="Y20" s="3165"/>
      <c r="Z20" s="1814"/>
      <c r="AA20" s="1811">
        <v>1</v>
      </c>
      <c r="AB20" s="1811">
        <v>1</v>
      </c>
      <c r="AC20" s="1811">
        <v>1</v>
      </c>
    </row>
    <row r="21" spans="1:29" ht="28.5">
      <c r="A21" s="428"/>
      <c r="B21" s="1384" t="s">
        <v>2091</v>
      </c>
      <c r="C21" s="2606"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39"/>
      <c r="Q21" s="1810" t="str">
        <f>B21</f>
        <v>基础设施水平</v>
      </c>
      <c r="R21" s="774" t="s">
        <v>17</v>
      </c>
      <c r="S21" s="775">
        <f>F21</f>
        <v>100</v>
      </c>
      <c r="T21" s="774" t="s">
        <v>17</v>
      </c>
      <c r="U21" s="775">
        <f>H21</f>
        <v>100</v>
      </c>
      <c r="V21" s="774" t="s">
        <v>17</v>
      </c>
      <c r="W21" s="775">
        <f>J21</f>
        <v>100</v>
      </c>
      <c r="X21" s="1813"/>
      <c r="Y21" s="316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8"/>
      <c r="G22" s="2610"/>
      <c r="H22" s="448"/>
      <c r="I22" s="447"/>
      <c r="J22" s="448"/>
      <c r="K22" s="2611"/>
      <c r="L22" s="1140"/>
      <c r="M22" s="1131"/>
      <c r="N22" s="1131"/>
      <c r="O22" s="1131"/>
      <c r="P22" s="3239"/>
      <c r="Q22" s="1810"/>
      <c r="R22" s="774"/>
      <c r="S22" s="775"/>
      <c r="T22" s="774"/>
      <c r="U22" s="775"/>
      <c r="V22" s="774"/>
      <c r="W22" s="775"/>
      <c r="X22" s="1813"/>
      <c r="Y22" s="3165"/>
      <c r="Z22" s="1814"/>
      <c r="AA22" s="1811">
        <v>1</v>
      </c>
      <c r="AB22" s="1811">
        <v>1</v>
      </c>
      <c r="AC22" s="1811">
        <v>1</v>
      </c>
    </row>
    <row r="23" spans="1:29" ht="57">
      <c r="A23" s="428"/>
      <c r="B23" s="451" t="s">
        <v>2095</v>
      </c>
      <c r="C23" s="2606"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39"/>
      <c r="Q23" s="1810" t="str">
        <f>B23</f>
        <v>自然及人文环境</v>
      </c>
      <c r="R23" s="774" t="s">
        <v>21</v>
      </c>
      <c r="S23" s="775">
        <f>F23</f>
        <v>100</v>
      </c>
      <c r="T23" s="774" t="s">
        <v>21</v>
      </c>
      <c r="U23" s="775">
        <f>H23</f>
        <v>100</v>
      </c>
      <c r="V23" s="774" t="s">
        <v>21</v>
      </c>
      <c r="W23" s="775">
        <f>J23</f>
        <v>100</v>
      </c>
      <c r="X23" s="1813"/>
      <c r="Y23" s="3165"/>
      <c r="Z23" s="1814" t="str">
        <f>Q23</f>
        <v>自然及人文环境</v>
      </c>
      <c r="AA23" s="1811">
        <f>D23/F23</f>
        <v>1</v>
      </c>
      <c r="AB23" s="1811">
        <f>D23/H23</f>
        <v>1</v>
      </c>
      <c r="AC23" s="1811">
        <f>D23/J23</f>
        <v>1</v>
      </c>
    </row>
    <row r="24" spans="1:29" ht="15">
      <c r="A24" s="428"/>
      <c r="B24" s="456"/>
      <c r="C24" s="447"/>
      <c r="D24" s="448"/>
      <c r="E24" s="2603"/>
      <c r="F24" s="448"/>
      <c r="G24" s="2604"/>
      <c r="H24" s="448"/>
      <c r="I24" s="2604"/>
      <c r="J24" s="448"/>
      <c r="K24" s="2605"/>
      <c r="L24" s="1140"/>
      <c r="M24" s="1131"/>
      <c r="N24" s="1131"/>
      <c r="O24" s="1131"/>
      <c r="P24" s="3239"/>
      <c r="Q24" s="1810"/>
      <c r="R24" s="774"/>
      <c r="S24" s="775"/>
      <c r="T24" s="774"/>
      <c r="U24" s="775"/>
      <c r="V24" s="774"/>
      <c r="W24" s="775"/>
      <c r="X24" s="1813"/>
      <c r="Y24" s="3165"/>
      <c r="Z24" s="1814"/>
      <c r="AA24" s="1811">
        <v>1</v>
      </c>
      <c r="AB24" s="1811">
        <v>1</v>
      </c>
      <c r="AC24" s="1811">
        <v>1</v>
      </c>
    </row>
    <row r="25" spans="1:29" ht="15">
      <c r="A25" s="428"/>
      <c r="B25" s="422" t="s">
        <v>2552</v>
      </c>
      <c r="C25" s="460"/>
      <c r="D25" s="435">
        <v>100</v>
      </c>
      <c r="E25" s="2612"/>
      <c r="F25" s="435">
        <f>SUMIF(86:86,E25,87:87)-SUMIF(86:86,C25,87:87)+100</f>
        <v>100</v>
      </c>
      <c r="G25" s="2613"/>
      <c r="H25" s="435">
        <f>SUMIF(86:86,G25,87:87)-SUMIF(86:86,C25,87:87)+100</f>
        <v>100</v>
      </c>
      <c r="I25" s="2613"/>
      <c r="J25" s="435">
        <f>SUMIF(86:86,I25,87:87)-SUMIF(86:86,C25,87:87)+100</f>
        <v>100</v>
      </c>
      <c r="K25" s="426"/>
      <c r="L25" s="1140"/>
      <c r="M25" s="1131"/>
      <c r="N25" s="1131"/>
      <c r="O25" s="1131"/>
      <c r="P25" s="3239"/>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65"/>
      <c r="Z25" s="1814" t="str">
        <f>Q25</f>
        <v>楼层-1</v>
      </c>
      <c r="AA25" s="1811">
        <f t="shared" ref="AA25:AA46" si="15">D25/F25</f>
        <v>1</v>
      </c>
      <c r="AB25" s="1811">
        <f t="shared" ref="AB25:AB46" si="16">D25/H25</f>
        <v>1</v>
      </c>
      <c r="AC25" s="1811">
        <f t="shared" ref="AC25:AC46" si="17">D25/J25</f>
        <v>1</v>
      </c>
    </row>
    <row r="26" spans="1:29" ht="15">
      <c r="A26" s="428"/>
      <c r="B26" s="422" t="s">
        <v>2553</v>
      </c>
      <c r="C26" s="460"/>
      <c r="D26" s="435">
        <v>100</v>
      </c>
      <c r="E26" s="2612"/>
      <c r="F26" s="435">
        <f>SUMIF(88:88,E26,89:89)-SUMIF(88:88,C26,89:89)+100</f>
        <v>100</v>
      </c>
      <c r="G26" s="2613"/>
      <c r="H26" s="435">
        <f>SUMIF(88:88,G26,89:89)-SUMIF(88:88,C26,89:89)+100</f>
        <v>100</v>
      </c>
      <c r="I26" s="2613"/>
      <c r="J26" s="435">
        <f>SUMIF(88:88,I26,89:89)-SUMIF(88:88,C26,89:89)+100</f>
        <v>100</v>
      </c>
      <c r="K26" s="426"/>
      <c r="L26" s="1140"/>
      <c r="M26" s="1131"/>
      <c r="N26" s="1131"/>
      <c r="O26" s="1131"/>
      <c r="P26" s="3239"/>
      <c r="Q26" s="1810" t="str">
        <f t="shared" si="11"/>
        <v>朝向</v>
      </c>
      <c r="R26" s="774" t="s">
        <v>21</v>
      </c>
      <c r="S26" s="775">
        <f t="shared" si="12"/>
        <v>100</v>
      </c>
      <c r="T26" s="774" t="s">
        <v>21</v>
      </c>
      <c r="U26" s="775">
        <f t="shared" si="13"/>
        <v>100</v>
      </c>
      <c r="V26" s="774" t="s">
        <v>21</v>
      </c>
      <c r="W26" s="775">
        <f t="shared" si="14"/>
        <v>100</v>
      </c>
      <c r="X26" s="1813"/>
      <c r="Y26" s="3165"/>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0"/>
      <c r="L27" s="1132"/>
      <c r="M27" s="1133"/>
      <c r="N27" s="1133"/>
      <c r="O27" s="1133"/>
      <c r="P27" s="3239"/>
      <c r="Q27" s="1795">
        <f t="shared" si="11"/>
        <v>111</v>
      </c>
      <c r="R27" s="770" t="s">
        <v>21</v>
      </c>
      <c r="S27" s="771">
        <f t="shared" si="12"/>
        <v>100</v>
      </c>
      <c r="T27" s="770" t="s">
        <v>21</v>
      </c>
      <c r="U27" s="771">
        <f t="shared" si="13"/>
        <v>100</v>
      </c>
      <c r="V27" s="770" t="s">
        <v>21</v>
      </c>
      <c r="W27" s="771">
        <f t="shared" si="14"/>
        <v>100</v>
      </c>
      <c r="X27" s="772"/>
      <c r="Y27" s="3165"/>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4"/>
      <c r="H28" s="435">
        <f>SUMIF(92:92,G28,93:93)-SUMIF(92:92,C28,93:93)+100</f>
        <v>100</v>
      </c>
      <c r="I28" s="434"/>
      <c r="J28" s="435">
        <f>SUMIF(92:92,I28,93:93)-SUMIF(92:92,C28,93:93)+100</f>
        <v>100</v>
      </c>
      <c r="K28" s="2600"/>
      <c r="L28" s="1140"/>
      <c r="M28" s="1131"/>
      <c r="N28" s="1131"/>
      <c r="O28" s="1131"/>
      <c r="P28" s="3239"/>
      <c r="Q28" s="1810">
        <f t="shared" si="11"/>
        <v>111</v>
      </c>
      <c r="R28" s="774" t="s">
        <v>21</v>
      </c>
      <c r="S28" s="775">
        <f t="shared" si="12"/>
        <v>100</v>
      </c>
      <c r="T28" s="774" t="s">
        <v>21</v>
      </c>
      <c r="U28" s="775">
        <f t="shared" si="13"/>
        <v>100</v>
      </c>
      <c r="V28" s="774" t="s">
        <v>21</v>
      </c>
      <c r="W28" s="775">
        <f t="shared" si="14"/>
        <v>100</v>
      </c>
      <c r="X28" s="1813"/>
      <c r="Y28" s="3165"/>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4"/>
      <c r="H29" s="435">
        <f>SUMIF(94:94,G29,95:95)-SUMIF(94:94,C29,95:95)+100</f>
        <v>100</v>
      </c>
      <c r="I29" s="434"/>
      <c r="J29" s="435">
        <f>SUMIF(94:94,I29,95:95)-SUMIF(94:94,C29,95:95)+100</f>
        <v>100</v>
      </c>
      <c r="K29" s="2600"/>
      <c r="L29" s="1140"/>
      <c r="M29" s="1131"/>
      <c r="N29" s="1131"/>
      <c r="O29" s="1131"/>
      <c r="P29" s="3239"/>
      <c r="Q29" s="1810">
        <f t="shared" si="11"/>
        <v>111</v>
      </c>
      <c r="R29" s="774" t="s">
        <v>21</v>
      </c>
      <c r="S29" s="775">
        <f t="shared" si="12"/>
        <v>100</v>
      </c>
      <c r="T29" s="774" t="s">
        <v>21</v>
      </c>
      <c r="U29" s="775">
        <f t="shared" si="13"/>
        <v>100</v>
      </c>
      <c r="V29" s="774" t="s">
        <v>21</v>
      </c>
      <c r="W29" s="775">
        <f t="shared" si="14"/>
        <v>100</v>
      </c>
      <c r="X29" s="1813"/>
      <c r="Y29" s="3165"/>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4"/>
      <c r="H30" s="435">
        <f>SUMIF(96:96,G30,97:97)-SUMIF(96:96,C30,97:97)+100</f>
        <v>100</v>
      </c>
      <c r="I30" s="434"/>
      <c r="J30" s="435">
        <f>SUMIF(96:96,I30,97:97)-SUMIF(96:96,C30,97:97)+100</f>
        <v>100</v>
      </c>
      <c r="K30" s="2600"/>
      <c r="L30" s="1140"/>
      <c r="M30" s="1131"/>
      <c r="N30" s="1131"/>
      <c r="O30" s="1131"/>
      <c r="P30" s="3239"/>
      <c r="Q30" s="1810">
        <f t="shared" si="11"/>
        <v>111</v>
      </c>
      <c r="R30" s="774" t="s">
        <v>21</v>
      </c>
      <c r="S30" s="775">
        <f t="shared" si="12"/>
        <v>100</v>
      </c>
      <c r="T30" s="774" t="s">
        <v>21</v>
      </c>
      <c r="U30" s="775">
        <f t="shared" si="13"/>
        <v>100</v>
      </c>
      <c r="V30" s="774" t="s">
        <v>21</v>
      </c>
      <c r="W30" s="775">
        <f t="shared" si="14"/>
        <v>100</v>
      </c>
      <c r="X30" s="1813"/>
      <c r="Y30" s="3165"/>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5"/>
      <c r="H31" s="438">
        <f>SUMIF(98:98,G31,99:99)-SUMIF(98:98,C31,99:99)+100</f>
        <v>100</v>
      </c>
      <c r="I31" s="437"/>
      <c r="J31" s="438">
        <f>SUMIF(98:98,I31,99:99)-SUMIF(98:98,C31,99:99)+100</f>
        <v>100</v>
      </c>
      <c r="K31" s="2600"/>
      <c r="L31" s="1140"/>
      <c r="M31" s="1131"/>
      <c r="N31" s="1131"/>
      <c r="O31" s="1131"/>
      <c r="P31" s="3239"/>
      <c r="Q31" s="1810">
        <f t="shared" si="11"/>
        <v>111</v>
      </c>
      <c r="R31" s="774" t="s">
        <v>21</v>
      </c>
      <c r="S31" s="775">
        <f t="shared" si="12"/>
        <v>100</v>
      </c>
      <c r="T31" s="774" t="s">
        <v>21</v>
      </c>
      <c r="U31" s="775">
        <f t="shared" si="13"/>
        <v>100</v>
      </c>
      <c r="V31" s="774" t="s">
        <v>21</v>
      </c>
      <c r="W31" s="775">
        <f t="shared" si="14"/>
        <v>100</v>
      </c>
      <c r="X31" s="1813"/>
      <c r="Y31" s="3165"/>
      <c r="Z31" s="1814">
        <f t="shared" si="18"/>
        <v>111</v>
      </c>
      <c r="AA31" s="1811">
        <f t="shared" si="15"/>
        <v>1</v>
      </c>
      <c r="AB31" s="1811">
        <f t="shared" si="16"/>
        <v>1</v>
      </c>
      <c r="AC31" s="1811">
        <f t="shared" si="17"/>
        <v>1</v>
      </c>
    </row>
    <row r="32" spans="1:29" ht="15">
      <c r="A32" s="440" t="s">
        <v>2554</v>
      </c>
      <c r="B32" s="71" t="s">
        <v>2555</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0"/>
      <c r="M32" s="1131"/>
      <c r="N32" s="1131"/>
      <c r="O32" s="1131"/>
      <c r="P32" s="3234" t="s">
        <v>2556</v>
      </c>
      <c r="Q32" s="1810" t="str">
        <f t="shared" si="11"/>
        <v>建筑类型</v>
      </c>
      <c r="R32" s="774" t="s">
        <v>21</v>
      </c>
      <c r="S32" s="775">
        <f t="shared" si="12"/>
        <v>100</v>
      </c>
      <c r="T32" s="774" t="s">
        <v>21</v>
      </c>
      <c r="U32" s="775">
        <f t="shared" si="13"/>
        <v>100</v>
      </c>
      <c r="V32" s="774" t="s">
        <v>21</v>
      </c>
      <c r="W32" s="775">
        <f t="shared" si="14"/>
        <v>100</v>
      </c>
      <c r="X32" s="1813"/>
      <c r="Y32" s="3167" t="s">
        <v>2556</v>
      </c>
      <c r="Z32" s="1814" t="str">
        <f t="shared" si="18"/>
        <v>建筑类型</v>
      </c>
      <c r="AA32" s="1811">
        <f t="shared" si="15"/>
        <v>1</v>
      </c>
      <c r="AB32" s="1811">
        <f t="shared" si="16"/>
        <v>1</v>
      </c>
      <c r="AC32" s="1811">
        <f t="shared" si="17"/>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8"/>
      <c r="M33" s="1141"/>
      <c r="N33" s="1141"/>
      <c r="O33" s="1141"/>
      <c r="P33" s="3235"/>
      <c r="Q33" s="776" t="str">
        <f t="shared" si="11"/>
        <v>项目建筑规模</v>
      </c>
      <c r="R33" s="777" t="s">
        <v>21</v>
      </c>
      <c r="S33" s="778" t="e">
        <f t="shared" si="12"/>
        <v>#N/A</v>
      </c>
      <c r="T33" s="777" t="s">
        <v>21</v>
      </c>
      <c r="U33" s="778" t="e">
        <f t="shared" si="13"/>
        <v>#N/A</v>
      </c>
      <c r="V33" s="777" t="s">
        <v>21</v>
      </c>
      <c r="W33" s="778" t="e">
        <f t="shared" si="14"/>
        <v>#N/A</v>
      </c>
      <c r="X33" s="779"/>
      <c r="Y33" s="3167"/>
      <c r="Z33" s="780" t="str">
        <f t="shared" si="18"/>
        <v>项目建筑规模</v>
      </c>
      <c r="AA33" s="1811" t="e">
        <f t="shared" si="15"/>
        <v>#N/A</v>
      </c>
      <c r="AB33" s="1811" t="e">
        <f t="shared" si="16"/>
        <v>#N/A</v>
      </c>
      <c r="AC33" s="1811" t="e">
        <f t="shared" si="17"/>
        <v>#N/A</v>
      </c>
    </row>
    <row r="34" spans="1:29" ht="15">
      <c r="A34" s="472"/>
      <c r="B34" s="422" t="s">
        <v>2558</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0"/>
      <c r="M34" s="1131"/>
      <c r="N34" s="1131"/>
      <c r="O34" s="1131"/>
      <c r="P34" s="3235"/>
      <c r="Q34" s="1810" t="str">
        <f t="shared" si="11"/>
        <v>建筑结构</v>
      </c>
      <c r="R34" s="774" t="s">
        <v>21</v>
      </c>
      <c r="S34" s="775">
        <f t="shared" si="12"/>
        <v>100</v>
      </c>
      <c r="T34" s="774" t="s">
        <v>21</v>
      </c>
      <c r="U34" s="775">
        <f t="shared" si="13"/>
        <v>100</v>
      </c>
      <c r="V34" s="774" t="s">
        <v>21</v>
      </c>
      <c r="W34" s="775">
        <f t="shared" si="14"/>
        <v>100</v>
      </c>
      <c r="X34" s="1813"/>
      <c r="Y34" s="3167"/>
      <c r="Z34" s="1814" t="str">
        <f t="shared" si="18"/>
        <v>建筑结构</v>
      </c>
      <c r="AA34" s="1811">
        <f t="shared" si="15"/>
        <v>1</v>
      </c>
      <c r="AB34" s="1811">
        <f t="shared" si="16"/>
        <v>1</v>
      </c>
      <c r="AC34" s="1811">
        <f t="shared" si="17"/>
        <v>1</v>
      </c>
    </row>
    <row r="35" spans="1:29" ht="15">
      <c r="A35" s="472"/>
      <c r="B35" s="422" t="s">
        <v>2559</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0"/>
      <c r="M35" s="1131"/>
      <c r="N35" s="1131"/>
      <c r="O35" s="1131"/>
      <c r="P35" s="3235"/>
      <c r="Q35" s="1810" t="str">
        <f t="shared" si="11"/>
        <v>建筑品质</v>
      </c>
      <c r="R35" s="774" t="s">
        <v>21</v>
      </c>
      <c r="S35" s="775">
        <f t="shared" si="12"/>
        <v>100</v>
      </c>
      <c r="T35" s="774" t="s">
        <v>21</v>
      </c>
      <c r="U35" s="775">
        <f t="shared" si="13"/>
        <v>100</v>
      </c>
      <c r="V35" s="774" t="s">
        <v>21</v>
      </c>
      <c r="W35" s="775">
        <f t="shared" si="14"/>
        <v>100</v>
      </c>
      <c r="X35" s="1813"/>
      <c r="Y35" s="3167"/>
      <c r="Z35" s="1814" t="str">
        <f t="shared" si="18"/>
        <v>建筑品质</v>
      </c>
      <c r="AA35" s="1811">
        <f t="shared" si="15"/>
        <v>1</v>
      </c>
      <c r="AB35" s="1811">
        <f t="shared" si="16"/>
        <v>1</v>
      </c>
      <c r="AC35" s="1811">
        <f t="shared" si="17"/>
        <v>1</v>
      </c>
    </row>
    <row r="36" spans="1:29" ht="15">
      <c r="A36" s="472"/>
      <c r="B36" s="422" t="s">
        <v>2560</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0"/>
      <c r="M36" s="1131"/>
      <c r="N36" s="1131"/>
      <c r="O36" s="1131"/>
      <c r="P36" s="3235"/>
      <c r="Q36" s="1810" t="str">
        <f t="shared" si="11"/>
        <v>公共部分装修</v>
      </c>
      <c r="R36" s="774" t="s">
        <v>21</v>
      </c>
      <c r="S36" s="775">
        <f t="shared" si="12"/>
        <v>100</v>
      </c>
      <c r="T36" s="774" t="s">
        <v>21</v>
      </c>
      <c r="U36" s="775">
        <f t="shared" si="13"/>
        <v>100</v>
      </c>
      <c r="V36" s="774" t="s">
        <v>21</v>
      </c>
      <c r="W36" s="775">
        <f t="shared" si="14"/>
        <v>100</v>
      </c>
      <c r="X36" s="1813"/>
      <c r="Y36" s="3167"/>
      <c r="Z36" s="1814" t="str">
        <f t="shared" si="18"/>
        <v>公共部分装修</v>
      </c>
      <c r="AA36" s="1811">
        <f t="shared" si="15"/>
        <v>1</v>
      </c>
      <c r="AB36" s="1811">
        <f t="shared" si="16"/>
        <v>1</v>
      </c>
      <c r="AC36" s="1811">
        <f t="shared" si="17"/>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35"/>
      <c r="Q37" s="1795" t="str">
        <f t="shared" si="11"/>
        <v>成新度</v>
      </c>
      <c r="R37" s="770" t="s">
        <v>21</v>
      </c>
      <c r="S37" s="771" t="e">
        <f t="shared" si="12"/>
        <v>#N/A</v>
      </c>
      <c r="T37" s="770" t="s">
        <v>21</v>
      </c>
      <c r="U37" s="771" t="e">
        <f t="shared" si="13"/>
        <v>#N/A</v>
      </c>
      <c r="V37" s="770" t="s">
        <v>21</v>
      </c>
      <c r="W37" s="771" t="e">
        <f t="shared" si="14"/>
        <v>#N/A</v>
      </c>
      <c r="X37" s="772"/>
      <c r="Y37" s="3167"/>
      <c r="Z37" s="55" t="str">
        <f t="shared" si="18"/>
        <v>成新度</v>
      </c>
      <c r="AA37" s="773" t="e">
        <f t="shared" si="15"/>
        <v>#N/A</v>
      </c>
      <c r="AB37" s="773" t="e">
        <f t="shared" si="16"/>
        <v>#N/A</v>
      </c>
      <c r="AC37" s="773" t="e">
        <f t="shared" si="17"/>
        <v>#N/A</v>
      </c>
    </row>
    <row r="38" spans="1:29" ht="15">
      <c r="A38" s="472"/>
      <c r="B38" s="422" t="s">
        <v>2562</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0"/>
      <c r="M38" s="1131"/>
      <c r="N38" s="1131"/>
      <c r="O38" s="1131"/>
      <c r="P38" s="3235" t="s">
        <v>2556</v>
      </c>
      <c r="Q38" s="1810" t="str">
        <f t="shared" si="11"/>
        <v>物业管理</v>
      </c>
      <c r="R38" s="774" t="s">
        <v>21</v>
      </c>
      <c r="S38" s="775">
        <f t="shared" si="12"/>
        <v>100</v>
      </c>
      <c r="T38" s="774" t="s">
        <v>21</v>
      </c>
      <c r="U38" s="775">
        <f t="shared" si="13"/>
        <v>100</v>
      </c>
      <c r="V38" s="774" t="s">
        <v>21</v>
      </c>
      <c r="W38" s="775">
        <f t="shared" si="14"/>
        <v>100</v>
      </c>
      <c r="X38" s="1813"/>
      <c r="Y38" s="3167" t="s">
        <v>2556</v>
      </c>
      <c r="Z38" s="1814" t="str">
        <f t="shared" si="18"/>
        <v>物业管理</v>
      </c>
      <c r="AA38" s="1811">
        <f t="shared" si="15"/>
        <v>1</v>
      </c>
      <c r="AB38" s="1811">
        <f t="shared" si="16"/>
        <v>1</v>
      </c>
      <c r="AC38" s="1811">
        <f t="shared" si="17"/>
        <v>1</v>
      </c>
    </row>
    <row r="39" spans="1:29" ht="15">
      <c r="A39" s="472"/>
      <c r="B39" s="422" t="s">
        <v>2563</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0"/>
      <c r="M39" s="1131"/>
      <c r="N39" s="1131"/>
      <c r="O39" s="1131"/>
      <c r="P39" s="3235"/>
      <c r="Q39" s="1810" t="str">
        <f t="shared" si="11"/>
        <v>市政基础设施</v>
      </c>
      <c r="R39" s="774" t="s">
        <v>21</v>
      </c>
      <c r="S39" s="775">
        <f t="shared" si="12"/>
        <v>100</v>
      </c>
      <c r="T39" s="774" t="s">
        <v>21</v>
      </c>
      <c r="U39" s="775">
        <f t="shared" si="13"/>
        <v>100</v>
      </c>
      <c r="V39" s="774" t="s">
        <v>21</v>
      </c>
      <c r="W39" s="775">
        <f t="shared" si="14"/>
        <v>100</v>
      </c>
      <c r="X39" s="1813"/>
      <c r="Y39" s="3167"/>
      <c r="Z39" s="1814" t="str">
        <f t="shared" si="18"/>
        <v>市政基础设施</v>
      </c>
      <c r="AA39" s="1811">
        <f t="shared" si="15"/>
        <v>1</v>
      </c>
      <c r="AB39" s="1811">
        <f t="shared" si="16"/>
        <v>1</v>
      </c>
      <c r="AC39" s="1811">
        <f t="shared" si="17"/>
        <v>1</v>
      </c>
    </row>
    <row r="40" spans="1:29" ht="15">
      <c r="A40" s="472"/>
      <c r="B40" s="422" t="s">
        <v>2564</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0"/>
      <c r="M40" s="1131"/>
      <c r="N40" s="1131"/>
      <c r="O40" s="1131"/>
      <c r="P40" s="3235"/>
      <c r="Q40" s="1810" t="str">
        <f t="shared" si="11"/>
        <v>房型</v>
      </c>
      <c r="R40" s="774" t="s">
        <v>21</v>
      </c>
      <c r="S40" s="775">
        <f t="shared" si="12"/>
        <v>100</v>
      </c>
      <c r="T40" s="774" t="s">
        <v>21</v>
      </c>
      <c r="U40" s="775">
        <f t="shared" si="13"/>
        <v>100</v>
      </c>
      <c r="V40" s="774" t="s">
        <v>21</v>
      </c>
      <c r="W40" s="775">
        <f t="shared" si="14"/>
        <v>100</v>
      </c>
      <c r="X40" s="1813"/>
      <c r="Y40" s="3167"/>
      <c r="Z40" s="1814" t="str">
        <f t="shared" si="18"/>
        <v>房型</v>
      </c>
      <c r="AA40" s="1811">
        <f t="shared" si="15"/>
        <v>1</v>
      </c>
      <c r="AB40" s="1811">
        <f t="shared" si="16"/>
        <v>1</v>
      </c>
      <c r="AC40" s="1811">
        <f t="shared" si="17"/>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8"/>
      <c r="M41" s="1141"/>
      <c r="N41" s="1141"/>
      <c r="O41" s="1141"/>
      <c r="P41" s="3235"/>
      <c r="Q41" s="776" t="str">
        <f t="shared" si="11"/>
        <v>单套/主力户型建筑面积</v>
      </c>
      <c r="R41" s="777" t="s">
        <v>21</v>
      </c>
      <c r="S41" s="778">
        <f t="shared" si="12"/>
        <v>100</v>
      </c>
      <c r="T41" s="777" t="s">
        <v>21</v>
      </c>
      <c r="U41" s="778">
        <f t="shared" si="13"/>
        <v>100</v>
      </c>
      <c r="V41" s="777" t="s">
        <v>21</v>
      </c>
      <c r="W41" s="778">
        <f t="shared" si="14"/>
        <v>100</v>
      </c>
      <c r="X41" s="779"/>
      <c r="Y41" s="3167"/>
      <c r="Z41" s="780" t="str">
        <f t="shared" si="18"/>
        <v>单套/主力户型建筑面积</v>
      </c>
      <c r="AA41" s="1811">
        <f t="shared" si="15"/>
        <v>1</v>
      </c>
      <c r="AB41" s="1811">
        <f t="shared" si="16"/>
        <v>1</v>
      </c>
      <c r="AC41" s="1811">
        <f t="shared" si="17"/>
        <v>1</v>
      </c>
    </row>
    <row r="42" spans="1:29" ht="15">
      <c r="A42" s="472"/>
      <c r="B42" s="422" t="s">
        <v>2566</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0"/>
      <c r="M42" s="1131"/>
      <c r="N42" s="1131"/>
      <c r="O42" s="1131"/>
      <c r="P42" s="3235"/>
      <c r="Q42" s="1810" t="str">
        <f t="shared" si="11"/>
        <v>内部装修</v>
      </c>
      <c r="R42" s="774" t="s">
        <v>21</v>
      </c>
      <c r="S42" s="775">
        <f t="shared" si="12"/>
        <v>100</v>
      </c>
      <c r="T42" s="774" t="s">
        <v>21</v>
      </c>
      <c r="U42" s="775">
        <f t="shared" si="13"/>
        <v>100</v>
      </c>
      <c r="V42" s="774" t="s">
        <v>21</v>
      </c>
      <c r="W42" s="775">
        <f t="shared" si="14"/>
        <v>100</v>
      </c>
      <c r="X42" s="1813"/>
      <c r="Y42" s="3167"/>
      <c r="Z42" s="1814" t="str">
        <f t="shared" si="18"/>
        <v>内部装修</v>
      </c>
      <c r="AA42" s="1811">
        <f t="shared" si="15"/>
        <v>1</v>
      </c>
      <c r="AB42" s="1811">
        <f t="shared" si="16"/>
        <v>1</v>
      </c>
      <c r="AC42" s="1811">
        <f t="shared" si="17"/>
        <v>1</v>
      </c>
    </row>
    <row r="43" spans="1:29" ht="15">
      <c r="A43" s="472"/>
      <c r="B43" s="422" t="s">
        <v>2567</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0"/>
      <c r="M43" s="1131"/>
      <c r="N43" s="1131"/>
      <c r="O43" s="1131"/>
      <c r="P43" s="3235"/>
      <c r="Q43" s="1810" t="str">
        <f t="shared" si="11"/>
        <v>内部装修维护情况</v>
      </c>
      <c r="R43" s="774" t="s">
        <v>21</v>
      </c>
      <c r="S43" s="775">
        <f t="shared" si="12"/>
        <v>100</v>
      </c>
      <c r="T43" s="774" t="s">
        <v>21</v>
      </c>
      <c r="U43" s="775">
        <f t="shared" si="13"/>
        <v>100</v>
      </c>
      <c r="V43" s="774" t="s">
        <v>21</v>
      </c>
      <c r="W43" s="775">
        <f t="shared" si="14"/>
        <v>100</v>
      </c>
      <c r="X43" s="1813"/>
      <c r="Y43" s="3167"/>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35"/>
      <c r="Q44" s="1795">
        <f t="shared" si="11"/>
        <v>111</v>
      </c>
      <c r="R44" s="770" t="s">
        <v>21</v>
      </c>
      <c r="S44" s="771">
        <f t="shared" si="12"/>
        <v>100</v>
      </c>
      <c r="T44" s="770" t="s">
        <v>21</v>
      </c>
      <c r="U44" s="771">
        <f t="shared" si="13"/>
        <v>100</v>
      </c>
      <c r="V44" s="770" t="s">
        <v>21</v>
      </c>
      <c r="W44" s="771">
        <f t="shared" si="14"/>
        <v>100</v>
      </c>
      <c r="X44" s="772"/>
      <c r="Y44" s="3167"/>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35"/>
      <c r="Q45" s="1810">
        <f t="shared" si="11"/>
        <v>111</v>
      </c>
      <c r="R45" s="774" t="s">
        <v>21</v>
      </c>
      <c r="S45" s="775">
        <f t="shared" si="12"/>
        <v>100</v>
      </c>
      <c r="T45" s="774" t="s">
        <v>21</v>
      </c>
      <c r="U45" s="775">
        <f t="shared" si="13"/>
        <v>100</v>
      </c>
      <c r="V45" s="774" t="s">
        <v>21</v>
      </c>
      <c r="W45" s="775">
        <f t="shared" si="14"/>
        <v>100</v>
      </c>
      <c r="X45" s="1813"/>
      <c r="Y45" s="3167"/>
      <c r="Z45" s="1814">
        <f t="shared" si="18"/>
        <v>111</v>
      </c>
      <c r="AA45" s="1811">
        <f t="shared" si="15"/>
        <v>1</v>
      </c>
      <c r="AB45" s="1811">
        <f t="shared" si="16"/>
        <v>1</v>
      </c>
      <c r="AC45" s="1811">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36"/>
      <c r="Q46" s="1810">
        <f t="shared" si="11"/>
        <v>111</v>
      </c>
      <c r="R46" s="774" t="s">
        <v>20</v>
      </c>
      <c r="S46" s="775">
        <f t="shared" si="12"/>
        <v>100</v>
      </c>
      <c r="T46" s="774" t="s">
        <v>20</v>
      </c>
      <c r="U46" s="775">
        <f t="shared" si="13"/>
        <v>100</v>
      </c>
      <c r="V46" s="774" t="s">
        <v>20</v>
      </c>
      <c r="W46" s="775">
        <f t="shared" si="14"/>
        <v>100</v>
      </c>
      <c r="X46" s="1813"/>
      <c r="Y46" s="3237"/>
      <c r="Z46" s="1814">
        <f t="shared" si="18"/>
        <v>111</v>
      </c>
      <c r="AA46" s="1811">
        <f t="shared" si="15"/>
        <v>1</v>
      </c>
      <c r="AB46" s="1811">
        <f t="shared" si="16"/>
        <v>1</v>
      </c>
      <c r="AC46" s="1811">
        <f t="shared" si="17"/>
        <v>1</v>
      </c>
    </row>
    <row r="47" spans="1:29" ht="15">
      <c r="A47" s="479" t="s">
        <v>2568</v>
      </c>
      <c r="B47" s="480"/>
      <c r="C47" s="1407" t="s">
        <v>19</v>
      </c>
      <c r="D47" s="1408"/>
      <c r="E47" s="1409"/>
      <c r="F47" s="1410"/>
      <c r="G47" s="1411"/>
      <c r="H47" s="1412"/>
      <c r="I47" s="1409"/>
      <c r="J47" s="1412"/>
      <c r="K47" s="2620"/>
      <c r="L47" s="1143"/>
      <c r="M47" s="1144"/>
      <c r="N47" s="1131"/>
      <c r="O47" s="1144"/>
      <c r="P47" s="3161" t="str">
        <f>A47</f>
        <v>成交单价（元/平方米）</v>
      </c>
      <c r="Q47" s="3161"/>
      <c r="R47" s="3233">
        <f>E47</f>
        <v>0</v>
      </c>
      <c r="S47" s="3233"/>
      <c r="T47" s="3233">
        <f>G47</f>
        <v>0</v>
      </c>
      <c r="U47" s="3233"/>
      <c r="V47" s="3233">
        <f>I47</f>
        <v>0</v>
      </c>
      <c r="W47" s="3233"/>
      <c r="X47" s="759"/>
      <c r="Y47" s="781"/>
      <c r="Z47" s="759"/>
      <c r="AA47" s="759"/>
      <c r="AB47" s="759"/>
      <c r="AC47" s="759"/>
    </row>
    <row r="48" spans="1:29" ht="15.75" thickBot="1">
      <c r="A48" s="486" t="s">
        <v>2569</v>
      </c>
      <c r="B48" s="487"/>
      <c r="C48" s="1413" t="e">
        <f>R49</f>
        <v>#DIV/0!</v>
      </c>
      <c r="D48" s="1414"/>
      <c r="E48" s="1415" t="e">
        <f>R48</f>
        <v>#DIV/0!</v>
      </c>
      <c r="F48" s="1415"/>
      <c r="G48" s="1413" t="e">
        <f>T48</f>
        <v>#DIV/0!</v>
      </c>
      <c r="H48" s="1414"/>
      <c r="I48" s="1415" t="e">
        <f>V48</f>
        <v>#DIV/0!</v>
      </c>
      <c r="J48" s="1414"/>
      <c r="K48" s="2621"/>
      <c r="L48" s="1143"/>
      <c r="M48" s="1144"/>
      <c r="N48" s="1144"/>
      <c r="O48" s="1144"/>
      <c r="P48" s="3161" t="str">
        <f>A48</f>
        <v>比较价值（元/平方米）</v>
      </c>
      <c r="Q48" s="3161"/>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9"/>
      <c r="Y48" s="759"/>
      <c r="Z48" s="759"/>
      <c r="AA48" s="759"/>
      <c r="AB48" s="759"/>
      <c r="AC48" s="759"/>
    </row>
    <row r="49" spans="1:29" ht="15.75" thickBot="1">
      <c r="A49" s="492" t="s">
        <v>2570</v>
      </c>
      <c r="B49" s="493"/>
      <c r="C49" s="1416" t="e">
        <f>R49</f>
        <v>#DIV/0!</v>
      </c>
      <c r="D49" s="1417"/>
      <c r="E49" s="1417"/>
      <c r="F49" s="1417"/>
      <c r="G49" s="1417"/>
      <c r="H49" s="1417"/>
      <c r="I49" s="1417"/>
      <c r="J49" s="1417"/>
      <c r="K49" s="2622"/>
      <c r="L49" s="1143"/>
      <c r="M49" s="1144"/>
      <c r="N49" s="1144"/>
      <c r="O49" s="1144"/>
      <c r="P49" s="3158" t="str">
        <f>A49</f>
        <v>估价对象XX用房的比较价值（楼面单价，元/平方米）</v>
      </c>
      <c r="Q49" s="3159"/>
      <c r="R49" s="3232" t="e">
        <f>IF(F1="售价",ROUND(AVERAGE(R48:V48),0),ROUND(AVERAGE(R48:V48),1))</f>
        <v>#DIV/0!</v>
      </c>
      <c r="S49" s="3232"/>
      <c r="T49" s="3232"/>
      <c r="U49" s="3232"/>
      <c r="V49" s="3232"/>
      <c r="W49" s="323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2574</v>
      </c>
      <c r="B57" s="759"/>
      <c r="C57" s="764"/>
      <c r="D57" s="764"/>
      <c r="E57" s="764"/>
      <c r="F57" s="765"/>
      <c r="G57" s="765"/>
      <c r="H57" s="764"/>
      <c r="I57" s="764"/>
      <c r="J57" s="764"/>
      <c r="K57" s="1160"/>
      <c r="L57" s="1161"/>
      <c r="M57" s="1159"/>
      <c r="N57" s="1159"/>
      <c r="O57" s="1159"/>
      <c r="P57" s="2625"/>
      <c r="Q57" s="504"/>
    </row>
    <row r="58" spans="1:29" s="508" customFormat="1" ht="15">
      <c r="A58" s="505" t="s">
        <v>2575</v>
      </c>
      <c r="B58" s="506"/>
      <c r="C58" s="1576" t="str">
        <f>YEAR(C7)&amp;"-"&amp;MONTH(C7)</f>
        <v>2020-7</v>
      </c>
      <c r="D58" s="1575">
        <f>EDATE(C58,-1)</f>
        <v>43983</v>
      </c>
      <c r="E58" s="1575">
        <f>EDATE(D58,-1)</f>
        <v>43952</v>
      </c>
      <c r="F58" s="1575">
        <f t="shared" ref="F58:O58" si="19">EDATE(E58,-1)</f>
        <v>43922</v>
      </c>
      <c r="G58" s="1575">
        <f t="shared" si="19"/>
        <v>43891</v>
      </c>
      <c r="H58" s="1575">
        <f t="shared" si="19"/>
        <v>43862</v>
      </c>
      <c r="I58" s="1575">
        <f t="shared" si="19"/>
        <v>43831</v>
      </c>
      <c r="J58" s="1575">
        <f t="shared" si="19"/>
        <v>43800</v>
      </c>
      <c r="K58" s="1575">
        <f t="shared" si="19"/>
        <v>43770</v>
      </c>
      <c r="L58" s="1575">
        <f t="shared" si="19"/>
        <v>43739</v>
      </c>
      <c r="M58" s="1575">
        <f t="shared" si="19"/>
        <v>43709</v>
      </c>
      <c r="N58" s="1575">
        <f t="shared" si="19"/>
        <v>43678</v>
      </c>
      <c r="O58" s="1575">
        <f t="shared" si="19"/>
        <v>43647</v>
      </c>
      <c r="P58" s="1570"/>
    </row>
    <row r="59" spans="1:29" s="117" customFormat="1" ht="15">
      <c r="A59" s="509"/>
      <c r="B59" s="2626"/>
      <c r="C59" s="1573">
        <v>100</v>
      </c>
      <c r="D59" s="511"/>
      <c r="E59" s="512"/>
      <c r="F59" s="512"/>
      <c r="G59" s="512"/>
      <c r="H59" s="512"/>
      <c r="I59" s="512"/>
      <c r="J59" s="512"/>
      <c r="K59" s="512"/>
      <c r="L59" s="512"/>
      <c r="M59" s="513"/>
      <c r="N59" s="512"/>
      <c r="O59" s="513"/>
      <c r="P59" s="2627"/>
    </row>
    <row r="60" spans="1:29" s="117" customFormat="1" ht="15.75" thickBot="1">
      <c r="A60" s="515" t="s">
        <v>2576</v>
      </c>
      <c r="B60" s="516"/>
      <c r="C60" s="517"/>
      <c r="D60" s="518"/>
      <c r="E60" s="518"/>
      <c r="F60" s="518"/>
      <c r="G60" s="518"/>
      <c r="H60" s="518"/>
      <c r="I60" s="518"/>
      <c r="J60" s="518"/>
      <c r="K60" s="518"/>
      <c r="L60" s="518"/>
      <c r="M60" s="519"/>
      <c r="N60" s="518"/>
      <c r="O60" s="519"/>
      <c r="P60" s="2627"/>
      <c r="Q60" s="504"/>
    </row>
    <row r="61" spans="1:29" s="117" customFormat="1" ht="15">
      <c r="A61" s="521" t="s">
        <v>2577</v>
      </c>
      <c r="B61" s="510"/>
      <c r="C61" s="522" t="s">
        <v>2578</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2579</v>
      </c>
      <c r="B63" s="528" t="s">
        <v>2545</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9"/>
      <c r="Q66" s="504"/>
    </row>
    <row r="67" spans="1:17" ht="15.75" thickTop="1">
      <c r="A67" s="534"/>
      <c r="B67" s="546" t="s">
        <v>2549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2091</v>
      </c>
      <c r="C82" s="539" t="s">
        <v>2595</v>
      </c>
      <c r="D82" s="539" t="s">
        <v>2596</v>
      </c>
      <c r="E82" s="539" t="s">
        <v>2597</v>
      </c>
      <c r="F82" s="539" t="s">
        <v>2598</v>
      </c>
      <c r="G82" s="539" t="s">
        <v>2599</v>
      </c>
      <c r="H82" s="539"/>
      <c r="I82" s="539"/>
      <c r="J82" s="539"/>
      <c r="K82" s="539"/>
      <c r="L82" s="539"/>
      <c r="M82" s="1382"/>
      <c r="N82" s="1153"/>
      <c r="O82" s="1153"/>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9"/>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2601</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9"/>
      <c r="Q87" s="504"/>
    </row>
    <row r="88" spans="1:17" s="117" customFormat="1" ht="15.75" thickTop="1">
      <c r="A88" s="579"/>
      <c r="B88" s="538" t="s">
        <v>2602</v>
      </c>
      <c r="C88" s="554"/>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9"/>
      <c r="Q89" s="504"/>
    </row>
    <row r="90" spans="1:17" s="471" customFormat="1" ht="15.75" thickTop="1">
      <c r="A90" s="553"/>
      <c r="B90" s="538">
        <f>B27</f>
        <v>111</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111</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111</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2554</v>
      </c>
      <c r="B100" s="528" t="s">
        <v>2603</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9"/>
      <c r="Q101" s="504"/>
    </row>
    <row r="102" spans="1:17" ht="15.75" thickTop="1">
      <c r="A102" s="534"/>
      <c r="B102" s="538" t="s">
        <v>2604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0"/>
      <c r="Q104" s="559"/>
    </row>
    <row r="105" spans="1:17" ht="15" thickTop="1">
      <c r="A105" s="599"/>
      <c r="B105" s="538" t="s">
        <v>2605</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9"/>
      <c r="Q106" s="504"/>
    </row>
    <row r="107" spans="1:17" ht="15" thickTop="1">
      <c r="A107" s="599"/>
      <c r="B107" s="538" t="s">
        <v>2606</v>
      </c>
      <c r="C107" s="583"/>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9"/>
      <c r="Q108" s="504"/>
    </row>
    <row r="109" spans="1:17" ht="15" thickTop="1">
      <c r="A109" s="599"/>
      <c r="B109" s="538" t="s">
        <v>2607</v>
      </c>
      <c r="C109" s="554"/>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9"/>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0"/>
      <c r="Q113" s="559"/>
    </row>
    <row r="114" spans="1:17" ht="15" thickTop="1">
      <c r="A114" s="599"/>
      <c r="B114" s="538" t="s">
        <v>2608</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9"/>
      <c r="Q115" s="504"/>
    </row>
    <row r="116" spans="1:17" ht="15" thickTop="1">
      <c r="A116" s="599"/>
      <c r="B116" s="538" t="s">
        <v>2609</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2610</v>
      </c>
      <c r="C118" s="583"/>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9"/>
      <c r="Q119" s="504"/>
    </row>
    <row r="120" spans="1:17" s="471" customFormat="1" ht="28.5" thickTop="1">
      <c r="A120" s="593"/>
      <c r="B120" s="538" t="s">
        <v>2565</v>
      </c>
      <c r="C120" s="554"/>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0"/>
      <c r="Q121" s="559"/>
    </row>
    <row r="122" spans="1:17" ht="15" thickTop="1">
      <c r="A122" s="599"/>
      <c r="B122" s="538" t="s">
        <v>2611</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9"/>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2613</v>
      </c>
    </row>
    <row r="137" spans="1:17" ht="15">
      <c r="B137" s="2637" t="s">
        <v>2614</v>
      </c>
      <c r="C137" s="2638"/>
      <c r="D137" s="2638"/>
      <c r="E137" s="2638"/>
      <c r="F137" s="2638"/>
      <c r="G137" s="2639"/>
      <c r="H137" s="2640"/>
      <c r="I137" s="2641" t="s">
        <v>2615</v>
      </c>
      <c r="J137" s="2638"/>
      <c r="K137" s="2642"/>
    </row>
    <row r="138" spans="1:17" ht="15">
      <c r="B138" s="2643"/>
      <c r="C138" s="146" t="s">
        <v>2616</v>
      </c>
      <c r="D138" s="146" t="s">
        <v>2617</v>
      </c>
      <c r="E138" s="2644" t="s">
        <v>2618</v>
      </c>
      <c r="F138" s="2645" t="s">
        <v>2619</v>
      </c>
      <c r="G138" s="146" t="s">
        <v>2617</v>
      </c>
      <c r="H138" s="147" t="s">
        <v>2618</v>
      </c>
      <c r="I138" s="2646"/>
      <c r="J138" s="146" t="s">
        <v>2620</v>
      </c>
      <c r="K138" s="147" t="s">
        <v>2621</v>
      </c>
    </row>
    <row r="139" spans="1:17" ht="15">
      <c r="B139" s="1084">
        <v>6</v>
      </c>
      <c r="C139" s="1085">
        <v>96</v>
      </c>
      <c r="D139" s="2647" t="s">
        <v>2622</v>
      </c>
      <c r="E139" s="1086">
        <v>100</v>
      </c>
      <c r="F139" s="1087">
        <v>102.5</v>
      </c>
      <c r="G139" s="2647" t="s">
        <v>2622</v>
      </c>
      <c r="H139" s="1088">
        <v>105</v>
      </c>
      <c r="I139" s="2648" t="s">
        <v>2623</v>
      </c>
      <c r="J139" s="1085">
        <v>20</v>
      </c>
      <c r="K139" s="1089">
        <f>C145/(J139-2)</f>
        <v>4.0555555555555553E-3</v>
      </c>
    </row>
    <row r="140" spans="1:17" ht="15">
      <c r="B140" s="1090">
        <v>5</v>
      </c>
      <c r="C140" s="1091">
        <v>100</v>
      </c>
      <c r="D140" s="1091"/>
      <c r="E140" s="1092"/>
      <c r="F140" s="1093">
        <v>102</v>
      </c>
      <c r="G140" s="1091"/>
      <c r="H140" s="1094"/>
      <c r="I140" s="2649" t="s">
        <v>2624</v>
      </c>
      <c r="J140" s="315">
        <f>ROUNDUP((J139-1)/2,0)</f>
        <v>10</v>
      </c>
      <c r="K140" s="1095">
        <v>100</v>
      </c>
    </row>
    <row r="141" spans="1:17" ht="15">
      <c r="B141" s="1090">
        <v>4</v>
      </c>
      <c r="C141" s="1091">
        <v>102</v>
      </c>
      <c r="D141" s="1091"/>
      <c r="E141" s="1092"/>
      <c r="F141" s="1093">
        <v>101.5</v>
      </c>
      <c r="G141" s="1091"/>
      <c r="H141" s="1094"/>
      <c r="I141" s="2649" t="s">
        <v>2625</v>
      </c>
      <c r="J141" s="315">
        <v>1</v>
      </c>
      <c r="K141" s="1096">
        <f>ROUND(100+(J141-J140)*K139*100,1)</f>
        <v>96.4</v>
      </c>
    </row>
    <row r="142" spans="1:17" ht="15">
      <c r="B142" s="1090">
        <v>3</v>
      </c>
      <c r="C142" s="1091">
        <v>103</v>
      </c>
      <c r="D142" s="1091"/>
      <c r="E142" s="1092"/>
      <c r="F142" s="1093">
        <v>101</v>
      </c>
      <c r="G142" s="1091"/>
      <c r="H142" s="1094"/>
      <c r="I142" s="2649" t="s">
        <v>2626</v>
      </c>
      <c r="J142" s="315">
        <f>J139</f>
        <v>20</v>
      </c>
      <c r="K142" s="1097">
        <v>95</v>
      </c>
    </row>
    <row r="143" spans="1:17" ht="15">
      <c r="B143" s="1090">
        <v>2</v>
      </c>
      <c r="C143" s="1091">
        <v>100</v>
      </c>
      <c r="D143" s="1091"/>
      <c r="E143" s="1092"/>
      <c r="F143" s="1093">
        <v>100.5</v>
      </c>
      <c r="G143" s="1091"/>
      <c r="H143" s="1094"/>
      <c r="I143" s="2649" t="s">
        <v>2627</v>
      </c>
      <c r="J143" s="1091">
        <v>15</v>
      </c>
      <c r="K143" s="1096">
        <f>ROUND(100+(J143-J140)*K139*100,1)</f>
        <v>102</v>
      </c>
    </row>
    <row r="144" spans="1:17" ht="15">
      <c r="B144" s="1090">
        <v>1</v>
      </c>
      <c r="C144" s="1091">
        <v>98</v>
      </c>
      <c r="D144" s="2650" t="s">
        <v>2628</v>
      </c>
      <c r="E144" s="1092">
        <v>102</v>
      </c>
      <c r="F144" s="1098">
        <v>100</v>
      </c>
      <c r="G144" s="2650" t="s">
        <v>2628</v>
      </c>
      <c r="H144" s="1094">
        <v>105</v>
      </c>
      <c r="I144" s="2649" t="s">
        <v>2627</v>
      </c>
      <c r="J144" s="1091">
        <v>18</v>
      </c>
      <c r="K144" s="1096">
        <f>ROUND(100+(J144-J140)*K139*100,1)</f>
        <v>103.2</v>
      </c>
    </row>
    <row r="145" spans="2:11" ht="15.75" thickBot="1">
      <c r="B145" s="2651" t="s">
        <v>2629</v>
      </c>
      <c r="C145" s="1099">
        <f>ROUND(MAX(C139:C144)/MIN(C139:C144)-1,3)</f>
        <v>7.2999999999999995E-2</v>
      </c>
      <c r="D145" s="1100"/>
      <c r="E145" s="1100"/>
      <c r="F145" s="2652" t="s">
        <v>2630</v>
      </c>
      <c r="G145" s="2653"/>
      <c r="H145" s="2654"/>
      <c r="I145" s="2655" t="s">
        <v>2627</v>
      </c>
      <c r="J145" s="1101">
        <v>8</v>
      </c>
      <c r="K145" s="1102">
        <f>ROUND(100+(J145-J140)*K139*100,1)</f>
        <v>99.2</v>
      </c>
    </row>
    <row r="147" spans="2:11">
      <c r="B147" s="2636" t="s">
        <v>2631</v>
      </c>
    </row>
    <row r="148" spans="2:11">
      <c r="B148" s="2636" t="s">
        <v>2632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81" t="s">
        <v>2633</v>
      </c>
      <c r="C1" s="1634" t="s">
        <v>2521</v>
      </c>
      <c r="D1" s="1621"/>
      <c r="E1" s="2656"/>
      <c r="F1" s="2583"/>
      <c r="G1" s="1631" t="s">
        <v>2634</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2318</v>
      </c>
      <c r="B2" s="1418" t="e">
        <f ca="1">IF(C2="——",ROUND(C49*D3/10000,0),ROUND(C49*D3/10000,0)-D2)</f>
        <v>#DIV/0!</v>
      </c>
      <c r="C2" s="2585"/>
      <c r="D2" s="1365" t="e">
        <f ca="1">SUMIF(INDIRECT("'"&amp;F2&amp;"'"&amp;"!A:A"),"承租人权益价值",INDIRECT("'"&amp;F2&amp;"'"&amp;"!c:c"))</f>
        <v>#REF!</v>
      </c>
      <c r="E2" s="2586" t="s">
        <v>2319</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2320</v>
      </c>
      <c r="B3" s="609" t="e">
        <f ca="1">IF(C2="——",C49,ROUND(B2*10000/D3,0))</f>
        <v>#DIV/0!</v>
      </c>
      <c r="C3" s="400" t="s">
        <v>2635</v>
      </c>
      <c r="D3" s="399">
        <f>IF(D1="",'数据-汇总表'!E3,SUMIF('数据-汇总表'!$C19:$C33,D1,'数据-汇总表'!$E19:$E33))</f>
        <v>2547.4699999999998</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3" t="s">
        <v>2639</v>
      </c>
      <c r="AC4" s="3168" t="s">
        <v>2640</v>
      </c>
    </row>
    <row r="5" spans="1:29" ht="15">
      <c r="A5" s="404"/>
      <c r="B5" s="405"/>
      <c r="C5" s="3192" t="s">
        <v>2533</v>
      </c>
      <c r="D5" s="3193"/>
      <c r="E5" s="3181" t="s">
        <v>2534</v>
      </c>
      <c r="F5" s="3182"/>
      <c r="G5" s="3192" t="s">
        <v>2535</v>
      </c>
      <c r="H5" s="3193"/>
      <c r="I5" s="3192" t="s">
        <v>2536</v>
      </c>
      <c r="J5" s="3193"/>
      <c r="K5" s="610"/>
      <c r="L5" s="1130"/>
      <c r="M5" s="1131"/>
      <c r="N5" s="1131"/>
      <c r="O5" s="1131"/>
      <c r="P5" s="3177"/>
      <c r="Q5" s="3178"/>
      <c r="R5" s="3190"/>
      <c r="S5" s="3191"/>
      <c r="T5" s="3190"/>
      <c r="U5" s="3191"/>
      <c r="V5" s="3163"/>
      <c r="W5" s="3163"/>
      <c r="X5" s="1813"/>
      <c r="Y5" s="3190"/>
      <c r="Z5" s="3191"/>
      <c r="AA5" s="3169"/>
      <c r="AB5" s="3163"/>
      <c r="AC5" s="3169"/>
    </row>
    <row r="6" spans="1:29" ht="15.75" thickBot="1">
      <c r="A6" s="406"/>
      <c r="B6" s="407"/>
      <c r="C6" s="3228" t="s">
        <v>2537</v>
      </c>
      <c r="D6" s="3229"/>
      <c r="E6" s="3230" t="s">
        <v>2537</v>
      </c>
      <c r="F6" s="3231"/>
      <c r="G6" s="3228" t="s">
        <v>2537</v>
      </c>
      <c r="H6" s="3229"/>
      <c r="I6" s="3228" t="s">
        <v>2537</v>
      </c>
      <c r="J6" s="3229"/>
      <c r="K6" s="610" t="s">
        <v>2538</v>
      </c>
      <c r="L6" s="1130"/>
      <c r="M6" s="1131"/>
      <c r="N6" s="1131"/>
      <c r="O6" s="1131"/>
      <c r="P6" s="3179"/>
      <c r="Q6" s="3180"/>
      <c r="R6" s="3190"/>
      <c r="S6" s="3191"/>
      <c r="T6" s="3199"/>
      <c r="U6" s="3200"/>
      <c r="V6" s="3163"/>
      <c r="W6" s="3163"/>
      <c r="X6" s="1813"/>
      <c r="Y6" s="3199"/>
      <c r="Z6" s="3200"/>
      <c r="AA6" s="3170"/>
      <c r="AB6" s="3163"/>
      <c r="AC6" s="3170"/>
    </row>
    <row r="7" spans="1:29" s="117" customFormat="1" ht="15.75" thickBot="1">
      <c r="A7" s="408" t="s">
        <v>2539</v>
      </c>
      <c r="B7" s="409"/>
      <c r="C7" s="410">
        <f>'数据-取费表'!B2</f>
        <v>44015</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3" t="s">
        <v>2540</v>
      </c>
      <c r="Q7" s="3196"/>
      <c r="R7" s="770" t="s">
        <v>17</v>
      </c>
      <c r="S7" s="771">
        <f t="shared" ref="S7:S15" si="0">F7</f>
        <v>0</v>
      </c>
      <c r="T7" s="770" t="s">
        <v>17</v>
      </c>
      <c r="U7" s="771">
        <f t="shared" ref="U7:U15" si="1">H7</f>
        <v>0</v>
      </c>
      <c r="V7" s="770" t="s">
        <v>17</v>
      </c>
      <c r="W7" s="771">
        <f t="shared" ref="W7:W15" si="2">J7</f>
        <v>0</v>
      </c>
      <c r="X7" s="772"/>
      <c r="Y7" s="3183" t="s">
        <v>2540</v>
      </c>
      <c r="Z7" s="3184"/>
      <c r="AA7" s="773" t="e">
        <f>D7/F7</f>
        <v>#DIV/0!</v>
      </c>
      <c r="AB7" s="773" t="e">
        <f>D7/H7</f>
        <v>#DIV/0!</v>
      </c>
      <c r="AC7" s="773" t="e">
        <f>D7/J7</f>
        <v>#DIV/0!</v>
      </c>
    </row>
    <row r="8" spans="1:29" s="117" customFormat="1" ht="15.75" thickBot="1">
      <c r="A8" s="408" t="s">
        <v>2541</v>
      </c>
      <c r="B8" s="409"/>
      <c r="C8" s="414" t="s">
        <v>2643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3" t="s">
        <v>2543</v>
      </c>
      <c r="Q8" s="3184"/>
      <c r="R8" s="770" t="s">
        <v>17</v>
      </c>
      <c r="S8" s="771">
        <f t="shared" si="0"/>
        <v>0</v>
      </c>
      <c r="T8" s="770" t="s">
        <v>17</v>
      </c>
      <c r="U8" s="771">
        <f t="shared" si="1"/>
        <v>0</v>
      </c>
      <c r="V8" s="770" t="s">
        <v>17</v>
      </c>
      <c r="W8" s="771">
        <f t="shared" si="2"/>
        <v>0</v>
      </c>
      <c r="X8" s="772"/>
      <c r="Y8" s="3183" t="s">
        <v>2543</v>
      </c>
      <c r="Z8" s="3184"/>
      <c r="AA8" s="773" t="e">
        <f t="shared" ref="AA8:AA46" si="3">D8/F8</f>
        <v>#DIV/0!</v>
      </c>
      <c r="AB8" s="773" t="e">
        <f t="shared" ref="AB8:AB46" si="4">D8/H8</f>
        <v>#DIV/0!</v>
      </c>
      <c r="AC8" s="773" t="e">
        <f t="shared" ref="AC8:AC46" si="5">D8/J8</f>
        <v>#DIV/0!</v>
      </c>
    </row>
    <row r="9" spans="1:29" s="117" customFormat="1">
      <c r="A9" s="415" t="s">
        <v>2544</v>
      </c>
      <c r="B9" s="71" t="s">
        <v>2545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6"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6"/>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6"/>
      <c r="Q11" s="1795"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6"/>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6"/>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6"/>
      <c r="Q14" s="1795">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71.25">
      <c r="A15" s="440" t="s">
        <v>2550</v>
      </c>
      <c r="B15" s="69" t="s">
        <v>2644</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8" t="s">
        <v>2551</v>
      </c>
      <c r="Q15" s="1810" t="str">
        <f t="shared" si="6"/>
        <v>商业繁华度</v>
      </c>
      <c r="R15" s="774" t="s">
        <v>17</v>
      </c>
      <c r="S15" s="775">
        <f t="shared" si="0"/>
        <v>100</v>
      </c>
      <c r="T15" s="774" t="s">
        <v>17</v>
      </c>
      <c r="U15" s="775">
        <f t="shared" si="1"/>
        <v>100</v>
      </c>
      <c r="V15" s="774" t="s">
        <v>17</v>
      </c>
      <c r="W15" s="775">
        <f t="shared" si="2"/>
        <v>100</v>
      </c>
      <c r="X15" s="1813"/>
      <c r="Y15" s="3164" t="s">
        <v>2551</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39"/>
      <c r="Q16" s="1810"/>
      <c r="R16" s="774"/>
      <c r="S16" s="775"/>
      <c r="T16" s="774"/>
      <c r="U16" s="775"/>
      <c r="V16" s="774"/>
      <c r="W16" s="775"/>
      <c r="X16" s="1813"/>
      <c r="Y16" s="3165"/>
      <c r="Z16" s="1814"/>
      <c r="AA16" s="1811">
        <v>1</v>
      </c>
      <c r="AB16" s="1811">
        <v>1</v>
      </c>
      <c r="AC16" s="1811">
        <v>1</v>
      </c>
    </row>
    <row r="17" spans="1:29" ht="85.5">
      <c r="A17" s="428"/>
      <c r="B17" s="451" t="s">
        <v>2090</v>
      </c>
      <c r="C17" s="2606"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9"/>
      <c r="Q17" s="1810" t="str">
        <f>B17</f>
        <v>交通便捷度</v>
      </c>
      <c r="R17" s="774" t="s">
        <v>17</v>
      </c>
      <c r="S17" s="775">
        <f>F17</f>
        <v>100</v>
      </c>
      <c r="T17" s="774" t="s">
        <v>17</v>
      </c>
      <c r="U17" s="775">
        <f>H17</f>
        <v>100</v>
      </c>
      <c r="V17" s="774" t="s">
        <v>17</v>
      </c>
      <c r="W17" s="775">
        <f>J17</f>
        <v>100</v>
      </c>
      <c r="X17" s="1813"/>
      <c r="Y17" s="3165"/>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1"/>
      <c r="P18" s="3239"/>
      <c r="Q18" s="1810"/>
      <c r="R18" s="774"/>
      <c r="S18" s="775"/>
      <c r="T18" s="774"/>
      <c r="U18" s="775"/>
      <c r="V18" s="774"/>
      <c r="W18" s="775"/>
      <c r="X18" s="1813"/>
      <c r="Y18" s="3165"/>
      <c r="Z18" s="1814"/>
      <c r="AA18" s="1811">
        <v>1</v>
      </c>
      <c r="AB18" s="1811">
        <v>1</v>
      </c>
      <c r="AC18" s="1811">
        <v>1</v>
      </c>
    </row>
    <row r="19" spans="1:29" ht="42.75">
      <c r="A19" s="428"/>
      <c r="B19" s="451" t="s">
        <v>2645</v>
      </c>
      <c r="C19" s="2606"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9"/>
      <c r="Q19" s="1810" t="str">
        <f>B19</f>
        <v>公共配套设施</v>
      </c>
      <c r="R19" s="774" t="s">
        <v>17</v>
      </c>
      <c r="S19" s="775">
        <f>F19</f>
        <v>100</v>
      </c>
      <c r="T19" s="774" t="s">
        <v>17</v>
      </c>
      <c r="U19" s="775">
        <f>H19</f>
        <v>100</v>
      </c>
      <c r="V19" s="774" t="s">
        <v>17</v>
      </c>
      <c r="W19" s="775">
        <f>J19</f>
        <v>100</v>
      </c>
      <c r="X19" s="1813"/>
      <c r="Y19" s="3165"/>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1"/>
      <c r="P20" s="3239"/>
      <c r="Q20" s="1810"/>
      <c r="R20" s="774"/>
      <c r="S20" s="775"/>
      <c r="T20" s="774"/>
      <c r="U20" s="775"/>
      <c r="V20" s="774"/>
      <c r="W20" s="775"/>
      <c r="X20" s="1813"/>
      <c r="Y20" s="3165"/>
      <c r="Z20" s="1814"/>
      <c r="AA20" s="1811">
        <v>1</v>
      </c>
      <c r="AB20" s="1811">
        <v>1</v>
      </c>
      <c r="AC20" s="1811">
        <v>1</v>
      </c>
    </row>
    <row r="21" spans="1:29" ht="28.5">
      <c r="A21" s="428"/>
      <c r="B21" s="1384" t="s">
        <v>2646</v>
      </c>
      <c r="C21" s="2606"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9"/>
      <c r="Q21" s="1810" t="str">
        <f>B21</f>
        <v>基础设施水平</v>
      </c>
      <c r="R21" s="774" t="s">
        <v>17</v>
      </c>
      <c r="S21" s="775">
        <f>F21</f>
        <v>100</v>
      </c>
      <c r="T21" s="774" t="s">
        <v>17</v>
      </c>
      <c r="U21" s="775">
        <f>H21</f>
        <v>100</v>
      </c>
      <c r="V21" s="774" t="s">
        <v>17</v>
      </c>
      <c r="W21" s="775">
        <f>J21</f>
        <v>100</v>
      </c>
      <c r="X21" s="1813"/>
      <c r="Y21" s="316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1"/>
      <c r="P22" s="3239"/>
      <c r="Q22" s="1810"/>
      <c r="R22" s="774"/>
      <c r="S22" s="775"/>
      <c r="T22" s="774"/>
      <c r="U22" s="775"/>
      <c r="V22" s="774"/>
      <c r="W22" s="775"/>
      <c r="X22" s="1813"/>
      <c r="Y22" s="3165"/>
      <c r="Z22" s="1814"/>
      <c r="AA22" s="1811">
        <v>1</v>
      </c>
      <c r="AB22" s="1811">
        <v>1</v>
      </c>
      <c r="AC22" s="1811">
        <v>1</v>
      </c>
    </row>
    <row r="23" spans="1:29" ht="57">
      <c r="A23" s="428"/>
      <c r="B23" s="451" t="s">
        <v>2095</v>
      </c>
      <c r="C23" s="2663"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9"/>
      <c r="Q23" s="1810" t="str">
        <f>B23</f>
        <v>自然及人文环境</v>
      </c>
      <c r="R23" s="774" t="s">
        <v>17</v>
      </c>
      <c r="S23" s="775">
        <f>F23</f>
        <v>100</v>
      </c>
      <c r="T23" s="774" t="s">
        <v>17</v>
      </c>
      <c r="U23" s="775">
        <f>H23</f>
        <v>100</v>
      </c>
      <c r="V23" s="774" t="s">
        <v>17</v>
      </c>
      <c r="W23" s="775">
        <f>J23</f>
        <v>100</v>
      </c>
      <c r="X23" s="1813"/>
      <c r="Y23" s="3165"/>
      <c r="Z23" s="1814" t="str">
        <f>Q23</f>
        <v>自然及人文环境</v>
      </c>
      <c r="AA23" s="1811">
        <f t="shared" si="3"/>
        <v>1</v>
      </c>
      <c r="AB23" s="1811">
        <f t="shared" si="4"/>
        <v>1</v>
      </c>
      <c r="AC23" s="1811">
        <f t="shared" si="5"/>
        <v>1</v>
      </c>
    </row>
    <row r="24" spans="1:29" ht="15">
      <c r="A24" s="428"/>
      <c r="B24" s="456"/>
      <c r="C24" s="447"/>
      <c r="D24" s="448"/>
      <c r="E24" s="2604"/>
      <c r="F24" s="449"/>
      <c r="G24" s="2603"/>
      <c r="H24" s="448"/>
      <c r="I24" s="2604"/>
      <c r="J24" s="448"/>
      <c r="K24" s="615"/>
      <c r="L24" s="1140"/>
      <c r="M24" s="1131"/>
      <c r="N24" s="1131"/>
      <c r="O24" s="1131"/>
      <c r="P24" s="3239"/>
      <c r="Q24" s="1810"/>
      <c r="R24" s="774"/>
      <c r="S24" s="775"/>
      <c r="T24" s="774"/>
      <c r="U24" s="775"/>
      <c r="V24" s="774"/>
      <c r="W24" s="775"/>
      <c r="X24" s="1813"/>
      <c r="Y24" s="3165"/>
      <c r="Z24" s="1814"/>
      <c r="AA24" s="1811">
        <v>1</v>
      </c>
      <c r="AB24" s="1811">
        <v>1</v>
      </c>
      <c r="AC24" s="1811">
        <v>1</v>
      </c>
    </row>
    <row r="25" spans="1:29" ht="15">
      <c r="A25" s="428"/>
      <c r="B25" s="422" t="s">
        <v>2647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9"/>
      <c r="Q25" s="1810" t="str">
        <f t="shared" ref="Q25:Q46" si="11">B25</f>
        <v>临街状况</v>
      </c>
      <c r="R25" s="774" t="s">
        <v>17</v>
      </c>
      <c r="S25" s="775">
        <f>F25</f>
        <v>100</v>
      </c>
      <c r="T25" s="774" t="s">
        <v>17</v>
      </c>
      <c r="U25" s="775">
        <f>H25</f>
        <v>100</v>
      </c>
      <c r="V25" s="774" t="s">
        <v>17</v>
      </c>
      <c r="W25" s="775">
        <f>J25</f>
        <v>100</v>
      </c>
      <c r="X25" s="1813"/>
      <c r="Y25" s="3165"/>
      <c r="Z25" s="1814" t="str">
        <f>Q25</f>
        <v>临街状况</v>
      </c>
      <c r="AA25" s="1811">
        <f t="shared" si="3"/>
        <v>1</v>
      </c>
      <c r="AB25" s="1811">
        <f t="shared" si="4"/>
        <v>1</v>
      </c>
      <c r="AC25" s="1811">
        <f t="shared" si="5"/>
        <v>1</v>
      </c>
    </row>
    <row r="26" spans="1:29" ht="15">
      <c r="A26" s="428"/>
      <c r="B26" s="1386" t="s">
        <v>2648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9"/>
      <c r="Q26" s="1810" t="str">
        <f t="shared" si="11"/>
        <v>平面位置/可视性</v>
      </c>
      <c r="R26" s="774" t="s">
        <v>17</v>
      </c>
      <c r="S26" s="775">
        <f>F26</f>
        <v>100</v>
      </c>
      <c r="T26" s="774" t="s">
        <v>17</v>
      </c>
      <c r="U26" s="775">
        <f>H26</f>
        <v>100</v>
      </c>
      <c r="V26" s="774" t="s">
        <v>17</v>
      </c>
      <c r="W26" s="775">
        <f>J26</f>
        <v>100</v>
      </c>
      <c r="X26" s="1813"/>
      <c r="Y26" s="3165"/>
      <c r="Z26" s="1814" t="str">
        <f>Q26</f>
        <v>平面位置/可视性</v>
      </c>
      <c r="AA26" s="1811">
        <f t="shared" si="3"/>
        <v>1</v>
      </c>
      <c r="AB26" s="1811">
        <f t="shared" si="4"/>
        <v>1</v>
      </c>
      <c r="AC26" s="1811">
        <f t="shared" si="5"/>
        <v>1</v>
      </c>
    </row>
    <row r="27" spans="1:29" s="117" customFormat="1" ht="15">
      <c r="A27" s="431"/>
      <c r="B27" s="451" t="s">
        <v>2649</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239"/>
      <c r="Q27" s="1795" t="str">
        <f t="shared" si="11"/>
        <v>人流量</v>
      </c>
      <c r="R27" s="770" t="s">
        <v>17</v>
      </c>
      <c r="S27" s="771">
        <f>F27</f>
        <v>100</v>
      </c>
      <c r="T27" s="770" t="s">
        <v>17</v>
      </c>
      <c r="U27" s="771">
        <f>H27</f>
        <v>100</v>
      </c>
      <c r="V27" s="770" t="s">
        <v>17</v>
      </c>
      <c r="W27" s="771">
        <f>J27</f>
        <v>100</v>
      </c>
      <c r="X27" s="772"/>
      <c r="Y27" s="3165"/>
      <c r="Z27" s="55" t="str">
        <f>Q27</f>
        <v>人流量</v>
      </c>
      <c r="AA27" s="1811">
        <f>D27/F27</f>
        <v>1</v>
      </c>
      <c r="AB27" s="1811">
        <f>D27/H27</f>
        <v>1</v>
      </c>
      <c r="AC27" s="1811">
        <f>D27/J27</f>
        <v>1</v>
      </c>
    </row>
    <row r="28" spans="1:29" ht="15">
      <c r="A28" s="428"/>
      <c r="B28" s="422" t="s">
        <v>2650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9"/>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65"/>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9"/>
      <c r="Q29" s="1810">
        <f t="shared" si="11"/>
        <v>111</v>
      </c>
      <c r="R29" s="774" t="s">
        <v>17</v>
      </c>
      <c r="S29" s="775">
        <f t="shared" si="12"/>
        <v>100</v>
      </c>
      <c r="T29" s="774" t="s">
        <v>17</v>
      </c>
      <c r="U29" s="775">
        <f t="shared" si="13"/>
        <v>100</v>
      </c>
      <c r="V29" s="774" t="s">
        <v>17</v>
      </c>
      <c r="W29" s="775">
        <f t="shared" si="14"/>
        <v>100</v>
      </c>
      <c r="X29" s="1813"/>
      <c r="Y29" s="3165"/>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9"/>
      <c r="Q30" s="1810">
        <f t="shared" si="11"/>
        <v>111</v>
      </c>
      <c r="R30" s="774" t="s">
        <v>17</v>
      </c>
      <c r="S30" s="775">
        <f t="shared" si="12"/>
        <v>100</v>
      </c>
      <c r="T30" s="774" t="s">
        <v>17</v>
      </c>
      <c r="U30" s="775">
        <f t="shared" si="13"/>
        <v>100</v>
      </c>
      <c r="V30" s="774" t="s">
        <v>17</v>
      </c>
      <c r="W30" s="775">
        <f t="shared" si="14"/>
        <v>100</v>
      </c>
      <c r="X30" s="1813"/>
      <c r="Y30" s="3165"/>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9"/>
      <c r="Q31" s="1810">
        <f t="shared" si="11"/>
        <v>111</v>
      </c>
      <c r="R31" s="774" t="s">
        <v>17</v>
      </c>
      <c r="S31" s="775">
        <f t="shared" si="12"/>
        <v>100</v>
      </c>
      <c r="T31" s="774" t="s">
        <v>17</v>
      </c>
      <c r="U31" s="775">
        <f t="shared" si="13"/>
        <v>100</v>
      </c>
      <c r="V31" s="774" t="s">
        <v>17</v>
      </c>
      <c r="W31" s="775">
        <f t="shared" si="14"/>
        <v>100</v>
      </c>
      <c r="X31" s="1813"/>
      <c r="Y31" s="3165"/>
      <c r="Z31" s="1814">
        <f t="shared" si="15"/>
        <v>111</v>
      </c>
      <c r="AA31" s="1811">
        <f t="shared" si="3"/>
        <v>1</v>
      </c>
      <c r="AB31" s="1811">
        <f t="shared" si="4"/>
        <v>1</v>
      </c>
      <c r="AC31" s="1811">
        <f t="shared" si="5"/>
        <v>1</v>
      </c>
    </row>
    <row r="32" spans="1:29" ht="15">
      <c r="A32" s="440" t="s">
        <v>2554</v>
      </c>
      <c r="B32" s="71" t="s">
        <v>2651</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234" t="s">
        <v>2556</v>
      </c>
      <c r="Q32" s="1810" t="str">
        <f t="shared" si="11"/>
        <v>商业类型</v>
      </c>
      <c r="R32" s="774" t="s">
        <v>17</v>
      </c>
      <c r="S32" s="775">
        <f t="shared" si="12"/>
        <v>100</v>
      </c>
      <c r="T32" s="774" t="s">
        <v>17</v>
      </c>
      <c r="U32" s="775">
        <f t="shared" si="13"/>
        <v>100</v>
      </c>
      <c r="V32" s="774" t="s">
        <v>17</v>
      </c>
      <c r="W32" s="775">
        <f t="shared" si="14"/>
        <v>100</v>
      </c>
      <c r="X32" s="1813"/>
      <c r="Y32" s="3167" t="s">
        <v>2556</v>
      </c>
      <c r="Z32" s="1814" t="str">
        <f t="shared" si="15"/>
        <v>商业类型</v>
      </c>
      <c r="AA32" s="1811">
        <f t="shared" si="3"/>
        <v>1</v>
      </c>
      <c r="AB32" s="1811">
        <f t="shared" si="4"/>
        <v>1</v>
      </c>
      <c r="AC32" s="1811">
        <f t="shared" si="5"/>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35"/>
      <c r="Q33" s="776" t="str">
        <f t="shared" si="11"/>
        <v>项目建筑规模</v>
      </c>
      <c r="R33" s="777" t="s">
        <v>17</v>
      </c>
      <c r="S33" s="778" t="e">
        <f t="shared" si="12"/>
        <v>#N/A</v>
      </c>
      <c r="T33" s="777" t="s">
        <v>17</v>
      </c>
      <c r="U33" s="778" t="e">
        <f t="shared" si="13"/>
        <v>#N/A</v>
      </c>
      <c r="V33" s="777" t="s">
        <v>17</v>
      </c>
      <c r="W33" s="778" t="e">
        <f t="shared" si="14"/>
        <v>#N/A</v>
      </c>
      <c r="X33" s="779"/>
      <c r="Y33" s="3167"/>
      <c r="Z33" s="780" t="str">
        <f t="shared" si="15"/>
        <v>项目建筑规模</v>
      </c>
      <c r="AA33" s="1811" t="e">
        <f t="shared" si="3"/>
        <v>#N/A</v>
      </c>
      <c r="AB33" s="1811" t="e">
        <f t="shared" si="4"/>
        <v>#N/A</v>
      </c>
      <c r="AC33" s="1811" t="e">
        <f t="shared" si="5"/>
        <v>#N/A</v>
      </c>
    </row>
    <row r="34" spans="1:29" ht="15">
      <c r="A34" s="472"/>
      <c r="B34" s="422" t="s">
        <v>2558</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235"/>
      <c r="Q34" s="1810" t="str">
        <f t="shared" si="11"/>
        <v>建筑结构</v>
      </c>
      <c r="R34" s="774" t="s">
        <v>17</v>
      </c>
      <c r="S34" s="775">
        <f t="shared" si="12"/>
        <v>100</v>
      </c>
      <c r="T34" s="774" t="s">
        <v>17</v>
      </c>
      <c r="U34" s="775">
        <f t="shared" si="13"/>
        <v>100</v>
      </c>
      <c r="V34" s="774" t="s">
        <v>17</v>
      </c>
      <c r="W34" s="775">
        <f t="shared" si="14"/>
        <v>100</v>
      </c>
      <c r="X34" s="1813"/>
      <c r="Y34" s="3167"/>
      <c r="Z34" s="1814" t="str">
        <f t="shared" si="15"/>
        <v>建筑结构</v>
      </c>
      <c r="AA34" s="1811">
        <f t="shared" si="3"/>
        <v>1</v>
      </c>
      <c r="AB34" s="1811">
        <f t="shared" si="4"/>
        <v>1</v>
      </c>
      <c r="AC34" s="1811">
        <f t="shared" si="5"/>
        <v>1</v>
      </c>
    </row>
    <row r="35" spans="1:29" ht="15">
      <c r="A35" s="472"/>
      <c r="B35" s="422" t="s">
        <v>2652</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235"/>
      <c r="Q35" s="1810" t="str">
        <f t="shared" si="11"/>
        <v>公共部分装修</v>
      </c>
      <c r="R35" s="774" t="s">
        <v>17</v>
      </c>
      <c r="S35" s="775">
        <f t="shared" si="12"/>
        <v>100</v>
      </c>
      <c r="T35" s="774" t="s">
        <v>17</v>
      </c>
      <c r="U35" s="775">
        <f t="shared" si="13"/>
        <v>100</v>
      </c>
      <c r="V35" s="774" t="s">
        <v>17</v>
      </c>
      <c r="W35" s="775">
        <f t="shared" si="14"/>
        <v>100</v>
      </c>
      <c r="X35" s="1813"/>
      <c r="Y35" s="3167"/>
      <c r="Z35" s="1814" t="str">
        <f t="shared" si="15"/>
        <v>公共部分装修</v>
      </c>
      <c r="AA35" s="1811">
        <f t="shared" si="3"/>
        <v>1</v>
      </c>
      <c r="AB35" s="1811">
        <f t="shared" si="4"/>
        <v>1</v>
      </c>
      <c r="AC35" s="1811">
        <f t="shared" si="5"/>
        <v>1</v>
      </c>
    </row>
    <row r="36" spans="1:29" ht="15">
      <c r="A36" s="472"/>
      <c r="B36" s="422" t="s">
        <v>2653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35"/>
      <c r="Q36" s="1810" t="str">
        <f t="shared" si="11"/>
        <v>成新度</v>
      </c>
      <c r="R36" s="774" t="s">
        <v>17</v>
      </c>
      <c r="S36" s="775" t="e">
        <f t="shared" si="12"/>
        <v>#N/A</v>
      </c>
      <c r="T36" s="774" t="s">
        <v>17</v>
      </c>
      <c r="U36" s="775" t="e">
        <f t="shared" si="13"/>
        <v>#N/A</v>
      </c>
      <c r="V36" s="774" t="s">
        <v>17</v>
      </c>
      <c r="W36" s="775" t="e">
        <f t="shared" si="14"/>
        <v>#N/A</v>
      </c>
      <c r="X36" s="1813"/>
      <c r="Y36" s="3167"/>
      <c r="Z36" s="1814" t="str">
        <f t="shared" si="15"/>
        <v>成新度</v>
      </c>
      <c r="AA36" s="1811" t="e">
        <f t="shared" si="3"/>
        <v>#N/A</v>
      </c>
      <c r="AB36" s="1811" t="e">
        <f t="shared" si="4"/>
        <v>#N/A</v>
      </c>
      <c r="AC36" s="1811" t="e">
        <f t="shared" si="5"/>
        <v>#N/A</v>
      </c>
    </row>
    <row r="37" spans="1:29" s="117" customFormat="1" ht="15">
      <c r="A37" s="473"/>
      <c r="B37" s="422" t="s">
        <v>2654</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235"/>
      <c r="Q37" s="1795" t="str">
        <f t="shared" si="11"/>
        <v>市政基础设施</v>
      </c>
      <c r="R37" s="770" t="s">
        <v>17</v>
      </c>
      <c r="S37" s="771">
        <f t="shared" si="12"/>
        <v>100</v>
      </c>
      <c r="T37" s="770" t="s">
        <v>17</v>
      </c>
      <c r="U37" s="771">
        <f t="shared" si="13"/>
        <v>100</v>
      </c>
      <c r="V37" s="770" t="s">
        <v>17</v>
      </c>
      <c r="W37" s="771">
        <f t="shared" si="14"/>
        <v>100</v>
      </c>
      <c r="X37" s="772"/>
      <c r="Y37" s="3167"/>
      <c r="Z37" s="55" t="str">
        <f t="shared" si="15"/>
        <v>市政基础设施</v>
      </c>
      <c r="AA37" s="773">
        <f t="shared" si="3"/>
        <v>1</v>
      </c>
      <c r="AB37" s="773">
        <f t="shared" si="4"/>
        <v>1</v>
      </c>
      <c r="AC37" s="773">
        <f t="shared" si="5"/>
        <v>1</v>
      </c>
    </row>
    <row r="38" spans="1:29" ht="15">
      <c r="A38" s="472"/>
      <c r="B38" s="422" t="s">
        <v>2655</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235" t="s">
        <v>2556</v>
      </c>
      <c r="Q38" s="1810" t="str">
        <f t="shared" si="11"/>
        <v>业态</v>
      </c>
      <c r="R38" s="774" t="s">
        <v>17</v>
      </c>
      <c r="S38" s="775">
        <f t="shared" si="12"/>
        <v>100</v>
      </c>
      <c r="T38" s="774" t="s">
        <v>17</v>
      </c>
      <c r="U38" s="775">
        <f t="shared" si="13"/>
        <v>100</v>
      </c>
      <c r="V38" s="774" t="s">
        <v>17</v>
      </c>
      <c r="W38" s="775">
        <f t="shared" si="14"/>
        <v>100</v>
      </c>
      <c r="X38" s="1813"/>
      <c r="Y38" s="3167" t="s">
        <v>2556</v>
      </c>
      <c r="Z38" s="1814" t="str">
        <f t="shared" si="15"/>
        <v>业态</v>
      </c>
      <c r="AA38" s="1811">
        <f t="shared" si="3"/>
        <v>1</v>
      </c>
      <c r="AB38" s="1811">
        <f t="shared" si="4"/>
        <v>1</v>
      </c>
      <c r="AC38" s="1811">
        <f t="shared" si="5"/>
        <v>1</v>
      </c>
    </row>
    <row r="39" spans="1:29" ht="15">
      <c r="A39" s="472"/>
      <c r="B39" s="422" t="s">
        <v>2656</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235"/>
      <c r="Q39" s="1810" t="str">
        <f t="shared" si="11"/>
        <v>层高</v>
      </c>
      <c r="R39" s="774" t="s">
        <v>17</v>
      </c>
      <c r="S39" s="775">
        <f t="shared" si="12"/>
        <v>100</v>
      </c>
      <c r="T39" s="774" t="s">
        <v>17</v>
      </c>
      <c r="U39" s="775">
        <f t="shared" si="13"/>
        <v>100</v>
      </c>
      <c r="V39" s="774" t="s">
        <v>17</v>
      </c>
      <c r="W39" s="775">
        <f t="shared" si="14"/>
        <v>100</v>
      </c>
      <c r="X39" s="1813"/>
      <c r="Y39" s="3167"/>
      <c r="Z39" s="1814" t="str">
        <f t="shared" si="15"/>
        <v>层高</v>
      </c>
      <c r="AA39" s="1811">
        <f t="shared" si="3"/>
        <v>1</v>
      </c>
      <c r="AB39" s="1811">
        <f t="shared" si="4"/>
        <v>1</v>
      </c>
      <c r="AC39" s="1811">
        <f t="shared" si="5"/>
        <v>1</v>
      </c>
    </row>
    <row r="40" spans="1:29" ht="15">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35"/>
      <c r="Q40" s="1810" t="str">
        <f t="shared" si="11"/>
        <v>单套建筑面积</v>
      </c>
      <c r="R40" s="774" t="s">
        <v>17</v>
      </c>
      <c r="S40" s="775">
        <f t="shared" si="12"/>
        <v>100</v>
      </c>
      <c r="T40" s="774" t="s">
        <v>17</v>
      </c>
      <c r="U40" s="775">
        <f t="shared" si="13"/>
        <v>100</v>
      </c>
      <c r="V40" s="774" t="s">
        <v>17</v>
      </c>
      <c r="W40" s="775">
        <f t="shared" si="14"/>
        <v>100</v>
      </c>
      <c r="X40" s="1813"/>
      <c r="Y40" s="3167"/>
      <c r="Z40" s="1814" t="str">
        <f t="shared" si="15"/>
        <v>单套建筑面积</v>
      </c>
      <c r="AA40" s="1811">
        <f t="shared" si="3"/>
        <v>1</v>
      </c>
      <c r="AB40" s="1811">
        <f t="shared" si="4"/>
        <v>1</v>
      </c>
      <c r="AC40" s="1811">
        <f t="shared" si="5"/>
        <v>1</v>
      </c>
    </row>
    <row r="41" spans="1:29" s="471" customFormat="1" ht="15">
      <c r="A41" s="468"/>
      <c r="B41" s="1812"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35"/>
      <c r="Q41" s="776" t="str">
        <f t="shared" si="11"/>
        <v>进深比</v>
      </c>
      <c r="R41" s="777" t="s">
        <v>17</v>
      </c>
      <c r="S41" s="778">
        <f t="shared" si="12"/>
        <v>100</v>
      </c>
      <c r="T41" s="777" t="s">
        <v>17</v>
      </c>
      <c r="U41" s="778">
        <f t="shared" si="13"/>
        <v>100</v>
      </c>
      <c r="V41" s="777" t="s">
        <v>17</v>
      </c>
      <c r="W41" s="778">
        <f t="shared" si="14"/>
        <v>100</v>
      </c>
      <c r="X41" s="779"/>
      <c r="Y41" s="3167"/>
      <c r="Z41" s="780" t="str">
        <f t="shared" si="15"/>
        <v>进深比</v>
      </c>
      <c r="AA41" s="1811">
        <f t="shared" si="3"/>
        <v>1</v>
      </c>
      <c r="AB41" s="1811">
        <f t="shared" si="4"/>
        <v>1</v>
      </c>
      <c r="AC41" s="1811">
        <f t="shared" si="5"/>
        <v>1</v>
      </c>
    </row>
    <row r="42" spans="1:29" ht="15">
      <c r="A42" s="472"/>
      <c r="B42" s="422" t="s">
        <v>2659</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235"/>
      <c r="Q42" s="1810" t="str">
        <f t="shared" si="11"/>
        <v>内部装修</v>
      </c>
      <c r="R42" s="774" t="s">
        <v>17</v>
      </c>
      <c r="S42" s="775">
        <f t="shared" si="12"/>
        <v>100</v>
      </c>
      <c r="T42" s="774" t="s">
        <v>17</v>
      </c>
      <c r="U42" s="775">
        <f t="shared" si="13"/>
        <v>100</v>
      </c>
      <c r="V42" s="774" t="s">
        <v>17</v>
      </c>
      <c r="W42" s="775">
        <f t="shared" si="14"/>
        <v>100</v>
      </c>
      <c r="X42" s="1813"/>
      <c r="Y42" s="3167"/>
      <c r="Z42" s="1814" t="str">
        <f t="shared" si="15"/>
        <v>内部装修</v>
      </c>
      <c r="AA42" s="1811">
        <f t="shared" si="3"/>
        <v>1</v>
      </c>
      <c r="AB42" s="1811">
        <f t="shared" si="4"/>
        <v>1</v>
      </c>
      <c r="AC42" s="1811">
        <f t="shared" si="5"/>
        <v>1</v>
      </c>
    </row>
    <row r="43" spans="1:29" ht="15">
      <c r="A43" s="472"/>
      <c r="B43" s="422" t="s">
        <v>2567</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235"/>
      <c r="Q43" s="1810" t="str">
        <f t="shared" si="11"/>
        <v>内部装修维护情况</v>
      </c>
      <c r="R43" s="774" t="s">
        <v>17</v>
      </c>
      <c r="S43" s="775">
        <f t="shared" si="12"/>
        <v>100</v>
      </c>
      <c r="T43" s="774" t="s">
        <v>17</v>
      </c>
      <c r="U43" s="775">
        <f t="shared" si="13"/>
        <v>100</v>
      </c>
      <c r="V43" s="774" t="s">
        <v>17</v>
      </c>
      <c r="W43" s="775">
        <f t="shared" si="14"/>
        <v>100</v>
      </c>
      <c r="X43" s="1813"/>
      <c r="Y43" s="3167"/>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35"/>
      <c r="Q44" s="1795">
        <f t="shared" si="11"/>
        <v>111</v>
      </c>
      <c r="R44" s="770" t="s">
        <v>17</v>
      </c>
      <c r="S44" s="771">
        <f t="shared" si="12"/>
        <v>100</v>
      </c>
      <c r="T44" s="770" t="s">
        <v>17</v>
      </c>
      <c r="U44" s="771">
        <f t="shared" si="13"/>
        <v>100</v>
      </c>
      <c r="V44" s="770" t="s">
        <v>17</v>
      </c>
      <c r="W44" s="771">
        <f t="shared" si="14"/>
        <v>100</v>
      </c>
      <c r="X44" s="772"/>
      <c r="Y44" s="316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35"/>
      <c r="Q45" s="1810">
        <f t="shared" si="11"/>
        <v>111</v>
      </c>
      <c r="R45" s="774" t="s">
        <v>17</v>
      </c>
      <c r="S45" s="775">
        <f t="shared" si="12"/>
        <v>100</v>
      </c>
      <c r="T45" s="774" t="s">
        <v>17</v>
      </c>
      <c r="U45" s="775">
        <f t="shared" si="13"/>
        <v>100</v>
      </c>
      <c r="V45" s="774" t="s">
        <v>17</v>
      </c>
      <c r="W45" s="775">
        <f t="shared" si="14"/>
        <v>100</v>
      </c>
      <c r="X45" s="1813"/>
      <c r="Y45" s="3167"/>
      <c r="Z45" s="1814">
        <f t="shared" si="15"/>
        <v>111</v>
      </c>
      <c r="AA45" s="1811">
        <f t="shared" si="3"/>
        <v>1</v>
      </c>
      <c r="AB45" s="1811">
        <f t="shared" si="4"/>
        <v>1</v>
      </c>
      <c r="AC45" s="1811">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36"/>
      <c r="Q46" s="1810">
        <f t="shared" si="11"/>
        <v>111</v>
      </c>
      <c r="R46" s="774" t="s">
        <v>17</v>
      </c>
      <c r="S46" s="775">
        <f t="shared" si="12"/>
        <v>100</v>
      </c>
      <c r="T46" s="774" t="s">
        <v>17</v>
      </c>
      <c r="U46" s="775">
        <f t="shared" si="13"/>
        <v>100</v>
      </c>
      <c r="V46" s="774" t="s">
        <v>17</v>
      </c>
      <c r="W46" s="775">
        <f t="shared" si="14"/>
        <v>100</v>
      </c>
      <c r="X46" s="1813"/>
      <c r="Y46" s="3237"/>
      <c r="Z46" s="1814">
        <f t="shared" si="15"/>
        <v>111</v>
      </c>
      <c r="AA46" s="1811">
        <f t="shared" si="3"/>
        <v>1</v>
      </c>
      <c r="AB46" s="1811">
        <f t="shared" si="4"/>
        <v>1</v>
      </c>
      <c r="AC46" s="1811">
        <f t="shared" si="5"/>
        <v>1</v>
      </c>
    </row>
    <row r="47" spans="1:29" ht="15">
      <c r="A47" s="479" t="s">
        <v>2568</v>
      </c>
      <c r="B47" s="480"/>
      <c r="C47" s="1407" t="s">
        <v>1</v>
      </c>
      <c r="D47" s="1408"/>
      <c r="E47" s="1409"/>
      <c r="F47" s="1410"/>
      <c r="G47" s="1411"/>
      <c r="H47" s="1412"/>
      <c r="I47" s="1409"/>
      <c r="J47" s="1412"/>
      <c r="K47" s="783"/>
      <c r="L47" s="1143"/>
      <c r="M47" s="1144"/>
      <c r="N47" s="1131"/>
      <c r="O47" s="1144"/>
      <c r="P47" s="3161" t="str">
        <f>A47</f>
        <v>成交单价（元/平方米）</v>
      </c>
      <c r="Q47" s="3161"/>
      <c r="R47" s="3163">
        <f>E47</f>
        <v>0</v>
      </c>
      <c r="S47" s="3163"/>
      <c r="T47" s="3163">
        <f>G47</f>
        <v>0</v>
      </c>
      <c r="U47" s="3163"/>
      <c r="V47" s="3163">
        <f>I47</f>
        <v>0</v>
      </c>
      <c r="W47" s="3163"/>
      <c r="X47" s="759"/>
      <c r="Y47" s="781"/>
      <c r="Z47" s="759"/>
      <c r="AA47" s="759"/>
      <c r="AB47" s="759"/>
      <c r="AC47" s="759"/>
    </row>
    <row r="48" spans="1:29" ht="15.75" thickBot="1">
      <c r="A48" s="486" t="s">
        <v>2660</v>
      </c>
      <c r="B48" s="487"/>
      <c r="C48" s="1413" t="e">
        <f>R49</f>
        <v>#DIV/0!</v>
      </c>
      <c r="D48" s="1414"/>
      <c r="E48" s="1415" t="e">
        <f>R48</f>
        <v>#DIV/0!</v>
      </c>
      <c r="F48" s="1415"/>
      <c r="G48" s="1413" t="e">
        <f>T48</f>
        <v>#DIV/0!</v>
      </c>
      <c r="H48" s="1414"/>
      <c r="I48" s="1415" t="e">
        <f>V48</f>
        <v>#DIV/0!</v>
      </c>
      <c r="J48" s="1414"/>
      <c r="K48" s="784"/>
      <c r="L48" s="1143"/>
      <c r="M48" s="1144"/>
      <c r="N48" s="1131"/>
      <c r="O48" s="1144"/>
      <c r="P48" s="3161" t="str">
        <f>A48</f>
        <v>比较价值（元/平方米）</v>
      </c>
      <c r="Q48" s="3161"/>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9"/>
      <c r="Y48" s="759"/>
      <c r="Z48" s="759"/>
      <c r="AA48" s="759"/>
      <c r="AB48" s="759"/>
      <c r="AC48" s="759"/>
    </row>
    <row r="49" spans="1:29" ht="15.75" thickBot="1">
      <c r="A49" s="492" t="s">
        <v>2661</v>
      </c>
      <c r="B49" s="493"/>
      <c r="C49" s="1417" t="e">
        <f>R49</f>
        <v>#DIV/0!</v>
      </c>
      <c r="D49" s="1417"/>
      <c r="E49" s="1417"/>
      <c r="F49" s="1417"/>
      <c r="G49" s="1417"/>
      <c r="H49" s="1417"/>
      <c r="I49" s="1417"/>
      <c r="J49" s="1417"/>
      <c r="K49" s="785"/>
      <c r="L49" s="1143"/>
      <c r="M49" s="1144"/>
      <c r="N49" s="1131"/>
      <c r="O49" s="1144"/>
      <c r="P49" s="3158" t="str">
        <f>A49</f>
        <v>估价对象XX用房的比较价值（楼面单价，元/平方米）</v>
      </c>
      <c r="Q49" s="3159"/>
      <c r="R49" s="3232" t="e">
        <f>IF(F1="售价",ROUND(AVERAGE(R48:V48),0),ROUND(AVERAGE(R48:V48),1))</f>
        <v>#DIV/0!</v>
      </c>
      <c r="S49" s="3232"/>
      <c r="T49" s="3232"/>
      <c r="U49" s="3232"/>
      <c r="V49" s="3232"/>
      <c r="W49" s="323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2665</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2539</v>
      </c>
      <c r="B58" s="506"/>
      <c r="C58" s="1574" t="str">
        <f>YEAR(C7)&amp;"-"&amp;MONTH(C7)</f>
        <v>2020-7</v>
      </c>
      <c r="D58" s="1575">
        <f>EDATE(C58,-1)</f>
        <v>43983</v>
      </c>
      <c r="E58" s="1575">
        <f t="shared" ref="E58:N58" si="16">EDATE(D58,-1)</f>
        <v>43952</v>
      </c>
      <c r="F58" s="1575">
        <f t="shared" si="16"/>
        <v>43922</v>
      </c>
      <c r="G58" s="1575">
        <f t="shared" si="16"/>
        <v>43891</v>
      </c>
      <c r="H58" s="1575">
        <f t="shared" si="16"/>
        <v>43862</v>
      </c>
      <c r="I58" s="1575">
        <f t="shared" si="16"/>
        <v>43831</v>
      </c>
      <c r="J58" s="1575">
        <f t="shared" si="16"/>
        <v>43800</v>
      </c>
      <c r="K58" s="1575">
        <f t="shared" si="16"/>
        <v>43770</v>
      </c>
      <c r="L58" s="1575">
        <f t="shared" si="16"/>
        <v>43739</v>
      </c>
      <c r="M58" s="1575">
        <f t="shared" si="16"/>
        <v>43709</v>
      </c>
      <c r="N58" s="1575">
        <f t="shared" si="16"/>
        <v>43678</v>
      </c>
      <c r="O58" s="1575">
        <f>EDATE(N58,-1)</f>
        <v>43647</v>
      </c>
      <c r="P58" s="1570"/>
    </row>
    <row r="59" spans="1:29" s="117" customFormat="1" ht="15">
      <c r="A59" s="509"/>
      <c r="B59" s="510"/>
      <c r="C59" s="1573">
        <v>100</v>
      </c>
      <c r="D59" s="512"/>
      <c r="E59" s="512"/>
      <c r="F59" s="512"/>
      <c r="G59" s="512"/>
      <c r="H59" s="512"/>
      <c r="I59" s="512"/>
      <c r="J59" s="512"/>
      <c r="K59" s="512"/>
      <c r="L59" s="512"/>
      <c r="M59" s="513"/>
      <c r="N59" s="512"/>
      <c r="O59" s="513"/>
      <c r="P59" s="2627"/>
    </row>
    <row r="60" spans="1:29" s="117" customFormat="1" ht="15.75" thickBot="1">
      <c r="A60" s="515" t="s">
        <v>2576</v>
      </c>
      <c r="B60" s="516"/>
      <c r="C60" s="517"/>
      <c r="D60" s="518"/>
      <c r="E60" s="518"/>
      <c r="F60" s="518"/>
      <c r="G60" s="518"/>
      <c r="H60" s="518"/>
      <c r="I60" s="518"/>
      <c r="J60" s="518"/>
      <c r="K60" s="518"/>
      <c r="L60" s="518"/>
      <c r="M60" s="519"/>
      <c r="N60" s="518"/>
      <c r="O60" s="519"/>
      <c r="P60" s="2627"/>
      <c r="Q60" s="504"/>
    </row>
    <row r="61" spans="1:29" s="117" customFormat="1" ht="15">
      <c r="A61" s="521" t="s">
        <v>2541</v>
      </c>
      <c r="B61" s="510"/>
      <c r="C61" s="522" t="s">
        <v>2643</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2579</v>
      </c>
      <c r="B63" s="528" t="s">
        <v>2545</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2549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2646</v>
      </c>
      <c r="C82" s="660" t="s">
        <v>2666</v>
      </c>
      <c r="D82" s="660" t="s">
        <v>2667</v>
      </c>
      <c r="E82" s="660" t="s">
        <v>2668</v>
      </c>
      <c r="F82" s="660" t="s">
        <v>2669</v>
      </c>
      <c r="G82" s="660" t="s">
        <v>2670</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2671</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2554</v>
      </c>
      <c r="B100" s="528" t="s">
        <v>2672</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2604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2605</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2607</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2609</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2673</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2674</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2675</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2676</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2611</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68" t="s">
        <v>2677</v>
      </c>
      <c r="C1" s="1620" t="s">
        <v>2521</v>
      </c>
      <c r="D1" s="1621"/>
      <c r="E1" s="1630"/>
      <c r="F1" s="2583"/>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IF(C2="——",ROUND(C50*D3/10000,0),ROUND(C50*D3/10000,0)-D2)</f>
        <v>#DIV/0!</v>
      </c>
      <c r="C2" s="2585"/>
      <c r="D2" s="1365" t="e">
        <f ca="1">SUMIF(INDIRECT("'"&amp;F2&amp;"'"&amp;"!A:A"),"承租人权益价值",INDIRECT("'"&amp;F2&amp;"'"&amp;"!c:c"))</f>
        <v>#REF!</v>
      </c>
      <c r="E2" s="2586" t="s">
        <v>2319</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IF(C2="——",C50,ROUND(B2*10000/D3,0))</f>
        <v>#DIV/0!</v>
      </c>
      <c r="C3" s="400" t="s">
        <v>2635</v>
      </c>
      <c r="D3" s="399">
        <f>IF(D1="",'数据-汇总表'!E3,SUMIF('数据-汇总表'!$C19:$C33,D1,'数据-汇总表'!$E19:$E33))</f>
        <v>2547.4699999999998</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246" t="s">
        <v>2642</v>
      </c>
      <c r="Q4" s="3247"/>
      <c r="R4" s="3241" t="s">
        <v>2638</v>
      </c>
      <c r="S4" s="3242"/>
      <c r="T4" s="3241" t="s">
        <v>2639</v>
      </c>
      <c r="U4" s="3242"/>
      <c r="V4" s="3250" t="s">
        <v>2640</v>
      </c>
      <c r="W4" s="3250"/>
      <c r="X4" s="2669"/>
      <c r="Y4" s="3241" t="s">
        <v>2642</v>
      </c>
      <c r="Z4" s="3242"/>
      <c r="AA4" s="3240" t="s">
        <v>2638</v>
      </c>
      <c r="AB4" s="3240" t="s">
        <v>2639</v>
      </c>
      <c r="AC4" s="3243" t="s">
        <v>2640</v>
      </c>
    </row>
    <row r="5" spans="1:29" ht="15">
      <c r="A5" s="404"/>
      <c r="B5" s="405"/>
      <c r="C5" s="3192" t="s">
        <v>2533</v>
      </c>
      <c r="D5" s="3193"/>
      <c r="E5" s="3181" t="s">
        <v>2534</v>
      </c>
      <c r="F5" s="3182"/>
      <c r="G5" s="3192" t="s">
        <v>2535</v>
      </c>
      <c r="H5" s="3193"/>
      <c r="I5" s="3192" t="s">
        <v>2536</v>
      </c>
      <c r="J5" s="3193"/>
      <c r="K5" s="610"/>
      <c r="L5" s="1130"/>
      <c r="M5" s="1131"/>
      <c r="N5" s="1131"/>
      <c r="O5" s="1131"/>
      <c r="P5" s="3248"/>
      <c r="Q5" s="3178"/>
      <c r="R5" s="3190"/>
      <c r="S5" s="3191"/>
      <c r="T5" s="3190"/>
      <c r="U5" s="3191"/>
      <c r="V5" s="3163"/>
      <c r="W5" s="3163"/>
      <c r="X5" s="1813"/>
      <c r="Y5" s="3190"/>
      <c r="Z5" s="3191"/>
      <c r="AA5" s="3169"/>
      <c r="AB5" s="3169"/>
      <c r="AC5" s="3244"/>
    </row>
    <row r="6" spans="1:29" ht="15.75" thickBot="1">
      <c r="A6" s="406"/>
      <c r="B6" s="407"/>
      <c r="C6" s="3228" t="s">
        <v>2537</v>
      </c>
      <c r="D6" s="3229"/>
      <c r="E6" s="3230" t="s">
        <v>2537</v>
      </c>
      <c r="F6" s="3231"/>
      <c r="G6" s="3228" t="s">
        <v>2537</v>
      </c>
      <c r="H6" s="3229"/>
      <c r="I6" s="3228" t="s">
        <v>2537</v>
      </c>
      <c r="J6" s="3229"/>
      <c r="K6" s="610" t="s">
        <v>2538</v>
      </c>
      <c r="L6" s="1130"/>
      <c r="M6" s="1131"/>
      <c r="N6" s="1131"/>
      <c r="O6" s="1131"/>
      <c r="P6" s="3249"/>
      <c r="Q6" s="3180"/>
      <c r="R6" s="3190"/>
      <c r="S6" s="3191"/>
      <c r="T6" s="3199"/>
      <c r="U6" s="3200"/>
      <c r="V6" s="3163"/>
      <c r="W6" s="3163"/>
      <c r="X6" s="1813"/>
      <c r="Y6" s="3199"/>
      <c r="Z6" s="3200"/>
      <c r="AA6" s="3170"/>
      <c r="AB6" s="3170"/>
      <c r="AC6" s="3245"/>
    </row>
    <row r="7" spans="1:29" s="117" customFormat="1" ht="15.75" thickBot="1">
      <c r="A7" s="408" t="s">
        <v>2539</v>
      </c>
      <c r="B7" s="409"/>
      <c r="C7" s="410">
        <f>'数据-取费表'!B2</f>
        <v>44015</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1" t="s">
        <v>2540</v>
      </c>
      <c r="Q7" s="3196"/>
      <c r="R7" s="770" t="s">
        <v>17</v>
      </c>
      <c r="S7" s="771">
        <f t="shared" ref="S7:S15" si="0">F7</f>
        <v>0</v>
      </c>
      <c r="T7" s="770" t="s">
        <v>17</v>
      </c>
      <c r="U7" s="771">
        <f t="shared" ref="U7:U15" si="1">H7</f>
        <v>0</v>
      </c>
      <c r="V7" s="770" t="s">
        <v>17</v>
      </c>
      <c r="W7" s="771">
        <f t="shared" ref="W7:W15" si="2">J7</f>
        <v>0</v>
      </c>
      <c r="X7" s="772"/>
      <c r="Y7" s="3183" t="s">
        <v>2540</v>
      </c>
      <c r="Z7" s="3184"/>
      <c r="AA7" s="773" t="e">
        <f>D7/F7</f>
        <v>#DIV/0!</v>
      </c>
      <c r="AB7" s="773" t="e">
        <f>D7/H7</f>
        <v>#DIV/0!</v>
      </c>
      <c r="AC7" s="2670" t="e">
        <f>D7/J7</f>
        <v>#DIV/0!</v>
      </c>
    </row>
    <row r="8" spans="1:29" s="117" customFormat="1" ht="15.75" thickBot="1">
      <c r="A8" s="408" t="s">
        <v>2541</v>
      </c>
      <c r="B8" s="409"/>
      <c r="C8" s="414" t="s">
        <v>2643</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1" t="s">
        <v>2543</v>
      </c>
      <c r="Q8" s="3184"/>
      <c r="R8" s="770" t="s">
        <v>17</v>
      </c>
      <c r="S8" s="771">
        <f t="shared" si="0"/>
        <v>0</v>
      </c>
      <c r="T8" s="770" t="s">
        <v>17</v>
      </c>
      <c r="U8" s="771">
        <f t="shared" si="1"/>
        <v>0</v>
      </c>
      <c r="V8" s="770" t="s">
        <v>17</v>
      </c>
      <c r="W8" s="771">
        <f t="shared" si="2"/>
        <v>0</v>
      </c>
      <c r="X8" s="772"/>
      <c r="Y8" s="3183" t="s">
        <v>2543</v>
      </c>
      <c r="Z8" s="3184"/>
      <c r="AA8" s="773" t="e">
        <f t="shared" ref="AA8:AA47" si="3">D8/F8</f>
        <v>#DIV/0!</v>
      </c>
      <c r="AB8" s="773" t="e">
        <f t="shared" ref="AB8:AB47" si="4">D8/H8</f>
        <v>#DIV/0!</v>
      </c>
      <c r="AC8" s="2670" t="e">
        <f t="shared" ref="AC8:AC47" si="5">D8/J8</f>
        <v>#DIV/0!</v>
      </c>
    </row>
    <row r="9" spans="1:29" s="117" customFormat="1">
      <c r="A9" s="415" t="s">
        <v>2544</v>
      </c>
      <c r="B9" s="71" t="s">
        <v>2545</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6"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2670">
        <f t="shared" si="5"/>
        <v>1</v>
      </c>
    </row>
    <row r="10" spans="1:29" s="427" customFormat="1" ht="27">
      <c r="A10" s="421"/>
      <c r="B10" s="422" t="s">
        <v>2548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6"/>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2670">
        <f t="shared" si="5"/>
        <v>1</v>
      </c>
    </row>
    <row r="11" spans="1:29" ht="15">
      <c r="A11" s="428"/>
      <c r="B11" s="422" t="s">
        <v>2549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6"/>
      <c r="Q11" s="1795"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186"/>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186"/>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0"/>
      <c r="M14" s="1131"/>
      <c r="N14" s="1131"/>
      <c r="O14" s="1131"/>
      <c r="P14" s="3186"/>
      <c r="Q14" s="1795">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2670">
        <f t="shared" si="5"/>
        <v>1</v>
      </c>
    </row>
    <row r="15" spans="1:29" ht="71.25">
      <c r="A15" s="440" t="s">
        <v>2550</v>
      </c>
      <c r="B15" s="629" t="s">
        <v>2678</v>
      </c>
      <c r="C15" s="2672"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38" t="s">
        <v>2551</v>
      </c>
      <c r="Q15" s="1810" t="str">
        <f t="shared" si="6"/>
        <v>办公集聚程度</v>
      </c>
      <c r="R15" s="774" t="s">
        <v>17</v>
      </c>
      <c r="S15" s="775">
        <f t="shared" si="0"/>
        <v>100</v>
      </c>
      <c r="T15" s="774" t="s">
        <v>17</v>
      </c>
      <c r="U15" s="775">
        <f t="shared" si="1"/>
        <v>100</v>
      </c>
      <c r="V15" s="774" t="s">
        <v>17</v>
      </c>
      <c r="W15" s="775">
        <f t="shared" si="2"/>
        <v>100</v>
      </c>
      <c r="X15" s="1813"/>
      <c r="Y15" s="3164" t="s">
        <v>2551</v>
      </c>
      <c r="Z15" s="1814" t="str">
        <f t="shared" si="7"/>
        <v>办公集聚程度</v>
      </c>
      <c r="AA15" s="1811">
        <f t="shared" si="3"/>
        <v>1</v>
      </c>
      <c r="AB15" s="1811">
        <f t="shared" si="4"/>
        <v>1</v>
      </c>
      <c r="AC15" s="2673">
        <f t="shared" si="5"/>
        <v>1</v>
      </c>
    </row>
    <row r="16" spans="1:29" ht="15">
      <c r="A16" s="428"/>
      <c r="B16" s="630"/>
      <c r="C16" s="2610"/>
      <c r="D16" s="448"/>
      <c r="E16" s="447"/>
      <c r="F16" s="448"/>
      <c r="G16" s="2610"/>
      <c r="H16" s="450"/>
      <c r="I16" s="447"/>
      <c r="J16" s="448"/>
      <c r="K16" s="615"/>
      <c r="L16" s="1140"/>
      <c r="M16" s="1131"/>
      <c r="N16" s="1131"/>
      <c r="O16" s="1131"/>
      <c r="P16" s="3239"/>
      <c r="Q16" s="1810"/>
      <c r="R16" s="774"/>
      <c r="S16" s="775"/>
      <c r="T16" s="774"/>
      <c r="U16" s="775"/>
      <c r="V16" s="774"/>
      <c r="W16" s="775"/>
      <c r="X16" s="1813"/>
      <c r="Y16" s="3165"/>
      <c r="Z16" s="1814"/>
      <c r="AA16" s="1811">
        <v>1</v>
      </c>
      <c r="AB16" s="1811">
        <v>1</v>
      </c>
      <c r="AC16" s="2673">
        <v>1</v>
      </c>
    </row>
    <row r="17" spans="1:29" ht="71.25">
      <c r="A17" s="428"/>
      <c r="B17" s="631" t="s">
        <v>2090</v>
      </c>
      <c r="C17" s="2674"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39"/>
      <c r="Q17" s="1810" t="str">
        <f>B17</f>
        <v>交通便捷度</v>
      </c>
      <c r="R17" s="774" t="s">
        <v>17</v>
      </c>
      <c r="S17" s="775">
        <f>F17</f>
        <v>100</v>
      </c>
      <c r="T17" s="774" t="s">
        <v>17</v>
      </c>
      <c r="U17" s="775">
        <f>H17</f>
        <v>100</v>
      </c>
      <c r="V17" s="774" t="s">
        <v>17</v>
      </c>
      <c r="W17" s="775">
        <f>J17</f>
        <v>100</v>
      </c>
      <c r="X17" s="1813"/>
      <c r="Y17" s="3165"/>
      <c r="Z17" s="1814" t="str">
        <f>Q17</f>
        <v>交通便捷度</v>
      </c>
      <c r="AA17" s="1811">
        <f t="shared" si="3"/>
        <v>1</v>
      </c>
      <c r="AB17" s="1811">
        <f t="shared" si="4"/>
        <v>1</v>
      </c>
      <c r="AC17" s="2673">
        <f t="shared" si="5"/>
        <v>1</v>
      </c>
    </row>
    <row r="18" spans="1:29" ht="15">
      <c r="A18" s="428"/>
      <c r="B18" s="632"/>
      <c r="C18" s="2675"/>
      <c r="D18" s="450"/>
      <c r="E18" s="2608"/>
      <c r="F18" s="450"/>
      <c r="G18" s="2609"/>
      <c r="H18" s="448"/>
      <c r="I18" s="2609"/>
      <c r="J18" s="448"/>
      <c r="K18" s="615"/>
      <c r="L18" s="1140"/>
      <c r="M18" s="1131"/>
      <c r="N18" s="1131"/>
      <c r="O18" s="1131"/>
      <c r="P18" s="3239"/>
      <c r="Q18" s="1810"/>
      <c r="R18" s="774"/>
      <c r="S18" s="775"/>
      <c r="T18" s="774"/>
      <c r="U18" s="775"/>
      <c r="V18" s="774"/>
      <c r="W18" s="775"/>
      <c r="X18" s="1813"/>
      <c r="Y18" s="3165"/>
      <c r="Z18" s="1814"/>
      <c r="AA18" s="1811">
        <v>1</v>
      </c>
      <c r="AB18" s="1811">
        <v>1</v>
      </c>
      <c r="AC18" s="2673">
        <v>1</v>
      </c>
    </row>
    <row r="19" spans="1:29" ht="42.75">
      <c r="A19" s="428"/>
      <c r="B19" s="631" t="s">
        <v>2679</v>
      </c>
      <c r="C19" s="2674"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39"/>
      <c r="Q19" s="1810" t="str">
        <f>B19</f>
        <v>公共配套设施</v>
      </c>
      <c r="R19" s="774" t="s">
        <v>17</v>
      </c>
      <c r="S19" s="775">
        <f>F19</f>
        <v>100</v>
      </c>
      <c r="T19" s="774" t="s">
        <v>17</v>
      </c>
      <c r="U19" s="775">
        <f>H19</f>
        <v>100</v>
      </c>
      <c r="V19" s="774" t="s">
        <v>17</v>
      </c>
      <c r="W19" s="775">
        <f>J19</f>
        <v>100</v>
      </c>
      <c r="X19" s="1813"/>
      <c r="Y19" s="3165"/>
      <c r="Z19" s="1814" t="str">
        <f>Q19</f>
        <v>公共配套设施</v>
      </c>
      <c r="AA19" s="1811">
        <f t="shared" si="3"/>
        <v>1</v>
      </c>
      <c r="AB19" s="1811">
        <f t="shared" si="4"/>
        <v>1</v>
      </c>
      <c r="AC19" s="2673">
        <f t="shared" si="5"/>
        <v>1</v>
      </c>
    </row>
    <row r="20" spans="1:29" ht="15">
      <c r="A20" s="428"/>
      <c r="B20" s="632"/>
      <c r="C20" s="2610"/>
      <c r="D20" s="448"/>
      <c r="E20" s="2603"/>
      <c r="F20" s="448"/>
      <c r="G20" s="2604"/>
      <c r="H20" s="448"/>
      <c r="I20" s="2604"/>
      <c r="J20" s="448"/>
      <c r="K20" s="615"/>
      <c r="L20" s="1140"/>
      <c r="M20" s="1131"/>
      <c r="N20" s="1131"/>
      <c r="O20" s="1131"/>
      <c r="P20" s="3239"/>
      <c r="Q20" s="1810"/>
      <c r="R20" s="774"/>
      <c r="S20" s="775"/>
      <c r="T20" s="774"/>
      <c r="U20" s="775"/>
      <c r="V20" s="774"/>
      <c r="W20" s="775"/>
      <c r="X20" s="1813"/>
      <c r="Y20" s="3165"/>
      <c r="Z20" s="1814"/>
      <c r="AA20" s="1811">
        <v>1</v>
      </c>
      <c r="AB20" s="1811">
        <v>1</v>
      </c>
      <c r="AC20" s="2673">
        <v>1</v>
      </c>
    </row>
    <row r="21" spans="1:29" ht="28.5">
      <c r="A21" s="428"/>
      <c r="B21" s="633" t="s">
        <v>2680</v>
      </c>
      <c r="C21" s="2674"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39"/>
      <c r="Q21" s="1810" t="str">
        <f>B21</f>
        <v>基础设施水平</v>
      </c>
      <c r="R21" s="774" t="s">
        <v>17</v>
      </c>
      <c r="S21" s="775">
        <f>F21</f>
        <v>100</v>
      </c>
      <c r="T21" s="774" t="s">
        <v>17</v>
      </c>
      <c r="U21" s="775">
        <f>H21</f>
        <v>100</v>
      </c>
      <c r="V21" s="774" t="s">
        <v>17</v>
      </c>
      <c r="W21" s="775">
        <f>J21</f>
        <v>100</v>
      </c>
      <c r="X21" s="1813"/>
      <c r="Y21" s="3165"/>
      <c r="Z21" s="1814" t="str">
        <f>Q21</f>
        <v>基础设施水平</v>
      </c>
      <c r="AA21" s="1811">
        <f t="shared" ref="AA21" si="8">D21/F21</f>
        <v>1</v>
      </c>
      <c r="AB21" s="1811">
        <f t="shared" ref="AB21" si="9">D21/H21</f>
        <v>1</v>
      </c>
      <c r="AC21" s="2673">
        <f t="shared" ref="AC21" si="10">D21/J21</f>
        <v>1</v>
      </c>
    </row>
    <row r="22" spans="1:29" ht="15">
      <c r="A22" s="428"/>
      <c r="B22" s="633"/>
      <c r="C22" s="2675"/>
      <c r="D22" s="448"/>
      <c r="E22" s="447"/>
      <c r="F22" s="448"/>
      <c r="G22" s="2610"/>
      <c r="H22" s="448"/>
      <c r="I22" s="2610"/>
      <c r="J22" s="448"/>
      <c r="K22" s="1383"/>
      <c r="L22" s="1140"/>
      <c r="M22" s="1131"/>
      <c r="N22" s="1131"/>
      <c r="O22" s="1131"/>
      <c r="P22" s="3239"/>
      <c r="Q22" s="1810"/>
      <c r="R22" s="774"/>
      <c r="S22" s="775"/>
      <c r="T22" s="774"/>
      <c r="U22" s="775"/>
      <c r="V22" s="774"/>
      <c r="W22" s="775"/>
      <c r="X22" s="1813"/>
      <c r="Y22" s="3165"/>
      <c r="Z22" s="1814"/>
      <c r="AA22" s="1811">
        <v>1</v>
      </c>
      <c r="AB22" s="1811">
        <v>1</v>
      </c>
      <c r="AC22" s="2673">
        <v>1</v>
      </c>
    </row>
    <row r="23" spans="1:29" ht="42.75">
      <c r="A23" s="428"/>
      <c r="B23" s="631" t="s">
        <v>2681</v>
      </c>
      <c r="C23" s="2674"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39"/>
      <c r="Q23" s="1810" t="str">
        <f>B23</f>
        <v>环境质量</v>
      </c>
      <c r="R23" s="774" t="s">
        <v>17</v>
      </c>
      <c r="S23" s="775">
        <f>F23</f>
        <v>100</v>
      </c>
      <c r="T23" s="774" t="s">
        <v>17</v>
      </c>
      <c r="U23" s="775">
        <f>H23</f>
        <v>100</v>
      </c>
      <c r="V23" s="774" t="s">
        <v>17</v>
      </c>
      <c r="W23" s="775">
        <f>J23</f>
        <v>100</v>
      </c>
      <c r="X23" s="1813"/>
      <c r="Y23" s="3165"/>
      <c r="Z23" s="1814" t="str">
        <f>Q23</f>
        <v>环境质量</v>
      </c>
      <c r="AA23" s="1811">
        <f t="shared" si="3"/>
        <v>1</v>
      </c>
      <c r="AB23" s="1811">
        <f t="shared" si="4"/>
        <v>1</v>
      </c>
      <c r="AC23" s="2673">
        <f t="shared" si="5"/>
        <v>1</v>
      </c>
    </row>
    <row r="24" spans="1:29" ht="15">
      <c r="A24" s="428"/>
      <c r="B24" s="633"/>
      <c r="C24" s="2610"/>
      <c r="D24" s="448"/>
      <c r="E24" s="2603"/>
      <c r="F24" s="448"/>
      <c r="G24" s="2604"/>
      <c r="H24" s="448"/>
      <c r="I24" s="2604"/>
      <c r="J24" s="448"/>
      <c r="K24" s="615"/>
      <c r="L24" s="1140"/>
      <c r="M24" s="1131"/>
      <c r="N24" s="1131"/>
      <c r="O24" s="1131"/>
      <c r="P24" s="3239"/>
      <c r="Q24" s="1810"/>
      <c r="R24" s="774"/>
      <c r="S24" s="775"/>
      <c r="T24" s="774"/>
      <c r="U24" s="775"/>
      <c r="V24" s="774"/>
      <c r="W24" s="775"/>
      <c r="X24" s="1813"/>
      <c r="Y24" s="3165"/>
      <c r="Z24" s="1814"/>
      <c r="AA24" s="1811">
        <v>1</v>
      </c>
      <c r="AB24" s="1811">
        <v>1</v>
      </c>
      <c r="AC24" s="2673">
        <v>1</v>
      </c>
    </row>
    <row r="25" spans="1:29" ht="27">
      <c r="A25" s="404"/>
      <c r="B25" s="631" t="s">
        <v>2682</v>
      </c>
      <c r="C25" s="2614"/>
      <c r="D25" s="435">
        <v>100</v>
      </c>
      <c r="E25" s="434"/>
      <c r="F25" s="435">
        <f>SUMIF(87:87,E26,88:88)-SUMIF(87:87,C26,88:88)+100</f>
        <v>100</v>
      </c>
      <c r="G25" s="2614"/>
      <c r="H25" s="435">
        <f>SUMIF(87:87,G26,88:88)-SUMIF(87:87,C26,88:88)+100</f>
        <v>100</v>
      </c>
      <c r="I25" s="434"/>
      <c r="J25" s="435">
        <f>SUMIF(87:87,I26,88:88)-SUMIF(87:87,C26,88:88)+100</f>
        <v>100</v>
      </c>
      <c r="K25" s="614"/>
      <c r="L25" s="1140"/>
      <c r="M25" s="1131"/>
      <c r="N25" s="1131"/>
      <c r="O25" s="1131"/>
      <c r="P25" s="3239"/>
      <c r="Q25" s="1810" t="str">
        <f>B25</f>
        <v>毗邻道路的类型与等级</v>
      </c>
      <c r="R25" s="774" t="s">
        <v>17</v>
      </c>
      <c r="S25" s="775">
        <f>F25</f>
        <v>100</v>
      </c>
      <c r="T25" s="774" t="s">
        <v>17</v>
      </c>
      <c r="U25" s="775">
        <f>H25</f>
        <v>100</v>
      </c>
      <c r="V25" s="774" t="s">
        <v>17</v>
      </c>
      <c r="W25" s="775">
        <f>J25</f>
        <v>100</v>
      </c>
      <c r="X25" s="1813"/>
      <c r="Y25" s="3165"/>
      <c r="Z25" s="1814" t="str">
        <f>Q25</f>
        <v>毗邻道路的类型与等级</v>
      </c>
      <c r="AA25" s="1811">
        <f t="shared" si="3"/>
        <v>1</v>
      </c>
      <c r="AB25" s="1811">
        <f t="shared" si="4"/>
        <v>1</v>
      </c>
      <c r="AC25" s="2673">
        <f t="shared" si="5"/>
        <v>1</v>
      </c>
    </row>
    <row r="26" spans="1:29" ht="15">
      <c r="A26" s="404"/>
      <c r="B26" s="632"/>
      <c r="C26" s="634"/>
      <c r="D26" s="435"/>
      <c r="E26" s="616"/>
      <c r="F26" s="435"/>
      <c r="G26" s="634"/>
      <c r="H26" s="435"/>
      <c r="I26" s="616"/>
      <c r="J26" s="435"/>
      <c r="K26" s="615"/>
      <c r="L26" s="1140"/>
      <c r="M26" s="1131"/>
      <c r="N26" s="1131"/>
      <c r="O26" s="1131"/>
      <c r="P26" s="3239"/>
      <c r="Q26" s="1810"/>
      <c r="R26" s="774"/>
      <c r="S26" s="775"/>
      <c r="T26" s="774"/>
      <c r="U26" s="775"/>
      <c r="V26" s="774"/>
      <c r="W26" s="775"/>
      <c r="X26" s="1813"/>
      <c r="Y26" s="3165"/>
      <c r="Z26" s="1814"/>
      <c r="AA26" s="1811">
        <v>1</v>
      </c>
      <c r="AB26" s="1811">
        <v>1</v>
      </c>
      <c r="AC26" s="2673">
        <v>1</v>
      </c>
    </row>
    <row r="27" spans="1:29" ht="15">
      <c r="A27" s="428"/>
      <c r="B27" s="632" t="s">
        <v>2650</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39"/>
      <c r="Q27" s="1810" t="str">
        <f t="shared" ref="Q27:Q47" si="11">B27</f>
        <v>楼层</v>
      </c>
      <c r="R27" s="774" t="s">
        <v>17</v>
      </c>
      <c r="S27" s="775">
        <f>F27</f>
        <v>100</v>
      </c>
      <c r="T27" s="774" t="s">
        <v>17</v>
      </c>
      <c r="U27" s="775">
        <f>H27</f>
        <v>100</v>
      </c>
      <c r="V27" s="774" t="s">
        <v>17</v>
      </c>
      <c r="W27" s="775">
        <f>J27</f>
        <v>100</v>
      </c>
      <c r="X27" s="1813"/>
      <c r="Y27" s="3165"/>
      <c r="Z27" s="1814" t="str">
        <f>Q27</f>
        <v>楼层</v>
      </c>
      <c r="AA27" s="1811">
        <f t="shared" si="3"/>
        <v>1</v>
      </c>
      <c r="AB27" s="1811">
        <f t="shared" si="4"/>
        <v>1</v>
      </c>
      <c r="AC27" s="2673">
        <f t="shared" si="5"/>
        <v>1</v>
      </c>
    </row>
    <row r="28" spans="1:29" s="117" customFormat="1" ht="15">
      <c r="A28" s="431"/>
      <c r="B28" s="631" t="s">
        <v>2683</v>
      </c>
      <c r="C28" s="2676"/>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239"/>
      <c r="Q28" s="1795" t="str">
        <f t="shared" si="11"/>
        <v>朝向</v>
      </c>
      <c r="R28" s="770" t="s">
        <v>17</v>
      </c>
      <c r="S28" s="771">
        <f>F28</f>
        <v>100</v>
      </c>
      <c r="T28" s="770" t="s">
        <v>17</v>
      </c>
      <c r="U28" s="771">
        <f>H28</f>
        <v>100</v>
      </c>
      <c r="V28" s="770" t="s">
        <v>17</v>
      </c>
      <c r="W28" s="771">
        <f>J28</f>
        <v>100</v>
      </c>
      <c r="X28" s="772"/>
      <c r="Y28" s="3165"/>
      <c r="Z28" s="55" t="str">
        <f>Q28</f>
        <v>朝向</v>
      </c>
      <c r="AA28" s="1811">
        <f>D28/F28</f>
        <v>1</v>
      </c>
      <c r="AB28" s="1811">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239"/>
      <c r="Q29" s="1810">
        <f t="shared" si="11"/>
        <v>111</v>
      </c>
      <c r="R29" s="774" t="s">
        <v>17</v>
      </c>
      <c r="S29" s="775">
        <f t="shared" ref="S29:S47" si="12">F29</f>
        <v>100</v>
      </c>
      <c r="T29" s="774" t="s">
        <v>17</v>
      </c>
      <c r="U29" s="775">
        <f t="shared" ref="U29:U47" si="13">H29</f>
        <v>100</v>
      </c>
      <c r="V29" s="774" t="s">
        <v>17</v>
      </c>
      <c r="W29" s="775">
        <f t="shared" ref="W29:W47" si="14">J29</f>
        <v>100</v>
      </c>
      <c r="X29" s="1813"/>
      <c r="Y29" s="3165"/>
      <c r="Z29" s="1814">
        <f t="shared" ref="Z29:Z47" si="15">Q29</f>
        <v>111</v>
      </c>
      <c r="AA29" s="1811">
        <f t="shared" si="3"/>
        <v>1</v>
      </c>
      <c r="AB29" s="1811">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239"/>
      <c r="Q30" s="1810">
        <f t="shared" si="11"/>
        <v>111</v>
      </c>
      <c r="R30" s="774" t="s">
        <v>17</v>
      </c>
      <c r="S30" s="775">
        <f t="shared" si="12"/>
        <v>100</v>
      </c>
      <c r="T30" s="774" t="s">
        <v>17</v>
      </c>
      <c r="U30" s="775">
        <f t="shared" si="13"/>
        <v>100</v>
      </c>
      <c r="V30" s="774" t="s">
        <v>17</v>
      </c>
      <c r="W30" s="775">
        <f t="shared" si="14"/>
        <v>100</v>
      </c>
      <c r="X30" s="1813"/>
      <c r="Y30" s="3165"/>
      <c r="Z30" s="1814">
        <f t="shared" si="15"/>
        <v>111</v>
      </c>
      <c r="AA30" s="1811">
        <f t="shared" si="3"/>
        <v>1</v>
      </c>
      <c r="AB30" s="1811">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239"/>
      <c r="Q31" s="1810">
        <f t="shared" si="11"/>
        <v>111</v>
      </c>
      <c r="R31" s="774" t="s">
        <v>17</v>
      </c>
      <c r="S31" s="775">
        <f t="shared" si="12"/>
        <v>100</v>
      </c>
      <c r="T31" s="774" t="s">
        <v>17</v>
      </c>
      <c r="U31" s="775">
        <f t="shared" si="13"/>
        <v>100</v>
      </c>
      <c r="V31" s="774" t="s">
        <v>17</v>
      </c>
      <c r="W31" s="775">
        <f t="shared" si="14"/>
        <v>100</v>
      </c>
      <c r="X31" s="1813"/>
      <c r="Y31" s="3165"/>
      <c r="Z31" s="1814">
        <f t="shared" si="15"/>
        <v>111</v>
      </c>
      <c r="AA31" s="1811">
        <f t="shared" si="3"/>
        <v>1</v>
      </c>
      <c r="AB31" s="1811">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0"/>
      <c r="M32" s="1131"/>
      <c r="N32" s="1131"/>
      <c r="O32" s="1131"/>
      <c r="P32" s="3239"/>
      <c r="Q32" s="1810">
        <f t="shared" si="11"/>
        <v>111</v>
      </c>
      <c r="R32" s="774" t="s">
        <v>17</v>
      </c>
      <c r="S32" s="775">
        <f t="shared" si="12"/>
        <v>100</v>
      </c>
      <c r="T32" s="774" t="s">
        <v>17</v>
      </c>
      <c r="U32" s="775">
        <f t="shared" si="13"/>
        <v>100</v>
      </c>
      <c r="V32" s="774" t="s">
        <v>17</v>
      </c>
      <c r="W32" s="775">
        <f t="shared" si="14"/>
        <v>100</v>
      </c>
      <c r="X32" s="1813"/>
      <c r="Y32" s="3165"/>
      <c r="Z32" s="1814">
        <f t="shared" si="15"/>
        <v>111</v>
      </c>
      <c r="AA32" s="1811">
        <f t="shared" si="3"/>
        <v>1</v>
      </c>
      <c r="AB32" s="1811">
        <f t="shared" si="4"/>
        <v>1</v>
      </c>
      <c r="AC32" s="2673">
        <f t="shared" si="5"/>
        <v>1</v>
      </c>
    </row>
    <row r="33" spans="1:29" ht="15">
      <c r="A33" s="440" t="s">
        <v>2554</v>
      </c>
      <c r="B33" s="71" t="s">
        <v>2684</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40"/>
      <c r="M33" s="1131"/>
      <c r="N33" s="1131"/>
      <c r="O33" s="1131"/>
      <c r="P33" s="3234" t="s">
        <v>2556</v>
      </c>
      <c r="Q33" s="1810" t="str">
        <f t="shared" si="11"/>
        <v>建筑类型</v>
      </c>
      <c r="R33" s="774" t="s">
        <v>17</v>
      </c>
      <c r="S33" s="775">
        <f t="shared" si="12"/>
        <v>100</v>
      </c>
      <c r="T33" s="774" t="s">
        <v>17</v>
      </c>
      <c r="U33" s="775">
        <f t="shared" si="13"/>
        <v>100</v>
      </c>
      <c r="V33" s="774" t="s">
        <v>17</v>
      </c>
      <c r="W33" s="775">
        <f t="shared" si="14"/>
        <v>100</v>
      </c>
      <c r="X33" s="1813"/>
      <c r="Y33" s="3167" t="s">
        <v>2556</v>
      </c>
      <c r="Z33" s="1814" t="str">
        <f t="shared" si="15"/>
        <v>建筑类型</v>
      </c>
      <c r="AA33" s="1811">
        <f t="shared" si="3"/>
        <v>1</v>
      </c>
      <c r="AB33" s="1811">
        <f t="shared" si="4"/>
        <v>1</v>
      </c>
      <c r="AC33" s="2673">
        <f t="shared" si="5"/>
        <v>1</v>
      </c>
    </row>
    <row r="34" spans="1:29" s="471" customFormat="1" ht="15">
      <c r="A34" s="468"/>
      <c r="B34" s="422" t="s">
        <v>2557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35"/>
      <c r="Q34" s="776" t="str">
        <f t="shared" si="11"/>
        <v>项目建筑规模</v>
      </c>
      <c r="R34" s="777" t="s">
        <v>17</v>
      </c>
      <c r="S34" s="778" t="e">
        <f t="shared" si="12"/>
        <v>#N/A</v>
      </c>
      <c r="T34" s="777" t="s">
        <v>17</v>
      </c>
      <c r="U34" s="778" t="e">
        <f t="shared" si="13"/>
        <v>#N/A</v>
      </c>
      <c r="V34" s="777" t="s">
        <v>17</v>
      </c>
      <c r="W34" s="778" t="e">
        <f t="shared" si="14"/>
        <v>#N/A</v>
      </c>
      <c r="X34" s="779"/>
      <c r="Y34" s="3167"/>
      <c r="Z34" s="780" t="str">
        <f t="shared" si="15"/>
        <v>项目建筑规模</v>
      </c>
      <c r="AA34" s="1811" t="e">
        <f t="shared" si="3"/>
        <v>#N/A</v>
      </c>
      <c r="AB34" s="1811" t="e">
        <f t="shared" si="4"/>
        <v>#N/A</v>
      </c>
      <c r="AC34" s="2673" t="e">
        <f t="shared" si="5"/>
        <v>#N/A</v>
      </c>
    </row>
    <row r="35" spans="1:29" ht="15">
      <c r="A35" s="472"/>
      <c r="B35" s="422" t="s">
        <v>2558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35"/>
      <c r="Q35" s="1810" t="str">
        <f t="shared" si="11"/>
        <v>建筑结构</v>
      </c>
      <c r="R35" s="774" t="s">
        <v>17</v>
      </c>
      <c r="S35" s="775">
        <f t="shared" si="12"/>
        <v>100</v>
      </c>
      <c r="T35" s="774" t="s">
        <v>17</v>
      </c>
      <c r="U35" s="775">
        <f t="shared" si="13"/>
        <v>100</v>
      </c>
      <c r="V35" s="774" t="s">
        <v>17</v>
      </c>
      <c r="W35" s="775">
        <f t="shared" si="14"/>
        <v>100</v>
      </c>
      <c r="X35" s="1813"/>
      <c r="Y35" s="3167"/>
      <c r="Z35" s="1814" t="str">
        <f t="shared" si="15"/>
        <v>建筑结构</v>
      </c>
      <c r="AA35" s="1811">
        <f t="shared" si="3"/>
        <v>1</v>
      </c>
      <c r="AB35" s="1811">
        <f t="shared" si="4"/>
        <v>1</v>
      </c>
      <c r="AC35" s="2673">
        <f t="shared" si="5"/>
        <v>1</v>
      </c>
    </row>
    <row r="36" spans="1:29" ht="15">
      <c r="A36" s="472"/>
      <c r="B36" s="422" t="s">
        <v>2652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35"/>
      <c r="Q36" s="1810" t="str">
        <f t="shared" si="11"/>
        <v>公共部分装修</v>
      </c>
      <c r="R36" s="774" t="s">
        <v>17</v>
      </c>
      <c r="S36" s="775">
        <f t="shared" si="12"/>
        <v>100</v>
      </c>
      <c r="T36" s="774" t="s">
        <v>17</v>
      </c>
      <c r="U36" s="775">
        <f t="shared" si="13"/>
        <v>100</v>
      </c>
      <c r="V36" s="774" t="s">
        <v>17</v>
      </c>
      <c r="W36" s="775">
        <f t="shared" si="14"/>
        <v>100</v>
      </c>
      <c r="X36" s="1813"/>
      <c r="Y36" s="3167"/>
      <c r="Z36" s="1814" t="str">
        <f t="shared" si="15"/>
        <v>公共部分装修</v>
      </c>
      <c r="AA36" s="1811">
        <f t="shared" si="3"/>
        <v>1</v>
      </c>
      <c r="AB36" s="1811">
        <f t="shared" si="4"/>
        <v>1</v>
      </c>
      <c r="AC36" s="2673">
        <f t="shared" si="5"/>
        <v>1</v>
      </c>
    </row>
    <row r="37" spans="1:29" ht="15">
      <c r="A37" s="472"/>
      <c r="B37" s="422" t="s">
        <v>2653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35"/>
      <c r="Q37" s="1810" t="str">
        <f t="shared" si="11"/>
        <v>成新度</v>
      </c>
      <c r="R37" s="774" t="s">
        <v>17</v>
      </c>
      <c r="S37" s="775" t="e">
        <f t="shared" si="12"/>
        <v>#N/A</v>
      </c>
      <c r="T37" s="774" t="s">
        <v>17</v>
      </c>
      <c r="U37" s="775" t="e">
        <f t="shared" si="13"/>
        <v>#N/A</v>
      </c>
      <c r="V37" s="774" t="s">
        <v>17</v>
      </c>
      <c r="W37" s="775" t="e">
        <f t="shared" si="14"/>
        <v>#N/A</v>
      </c>
      <c r="X37" s="1813"/>
      <c r="Y37" s="3167"/>
      <c r="Z37" s="1814" t="str">
        <f t="shared" si="15"/>
        <v>成新度</v>
      </c>
      <c r="AA37" s="1811" t="e">
        <f t="shared" si="3"/>
        <v>#N/A</v>
      </c>
      <c r="AB37" s="1811" t="e">
        <f t="shared" si="4"/>
        <v>#N/A</v>
      </c>
      <c r="AC37" s="2673" t="e">
        <f t="shared" si="5"/>
        <v>#N/A</v>
      </c>
    </row>
    <row r="38" spans="1:29" s="117" customFormat="1" ht="15">
      <c r="A38" s="473"/>
      <c r="B38" s="422" t="s">
        <v>2685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35"/>
      <c r="Q38" s="1795" t="str">
        <f t="shared" si="11"/>
        <v>写字楼等级</v>
      </c>
      <c r="R38" s="770" t="s">
        <v>17</v>
      </c>
      <c r="S38" s="771">
        <f t="shared" si="12"/>
        <v>100</v>
      </c>
      <c r="T38" s="770" t="s">
        <v>17</v>
      </c>
      <c r="U38" s="771">
        <f t="shared" si="13"/>
        <v>100</v>
      </c>
      <c r="V38" s="770" t="s">
        <v>17</v>
      </c>
      <c r="W38" s="771">
        <f t="shared" si="14"/>
        <v>100</v>
      </c>
      <c r="X38" s="772"/>
      <c r="Y38" s="3167"/>
      <c r="Z38" s="55" t="str">
        <f t="shared" si="15"/>
        <v>写字楼等级</v>
      </c>
      <c r="AA38" s="773">
        <f t="shared" si="3"/>
        <v>1</v>
      </c>
      <c r="AB38" s="773">
        <f t="shared" si="4"/>
        <v>1</v>
      </c>
      <c r="AC38" s="2670">
        <f t="shared" si="5"/>
        <v>1</v>
      </c>
    </row>
    <row r="39" spans="1:29" ht="15">
      <c r="A39" s="472"/>
      <c r="B39" s="422" t="s">
        <v>2686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35" t="s">
        <v>2556</v>
      </c>
      <c r="Q39" s="1810" t="str">
        <f t="shared" si="11"/>
        <v>物业管理</v>
      </c>
      <c r="R39" s="774" t="s">
        <v>17</v>
      </c>
      <c r="S39" s="775">
        <f t="shared" si="12"/>
        <v>100</v>
      </c>
      <c r="T39" s="774" t="s">
        <v>17</v>
      </c>
      <c r="U39" s="775">
        <f t="shared" si="13"/>
        <v>100</v>
      </c>
      <c r="V39" s="774" t="s">
        <v>17</v>
      </c>
      <c r="W39" s="775">
        <f t="shared" si="14"/>
        <v>100</v>
      </c>
      <c r="X39" s="1813"/>
      <c r="Y39" s="3167" t="s">
        <v>2556</v>
      </c>
      <c r="Z39" s="1814" t="str">
        <f t="shared" si="15"/>
        <v>物业管理</v>
      </c>
      <c r="AA39" s="1811">
        <f t="shared" si="3"/>
        <v>1</v>
      </c>
      <c r="AB39" s="1811">
        <f t="shared" si="4"/>
        <v>1</v>
      </c>
      <c r="AC39" s="2673">
        <f t="shared" si="5"/>
        <v>1</v>
      </c>
    </row>
    <row r="40" spans="1:29" ht="15">
      <c r="A40" s="472"/>
      <c r="B40" s="422" t="s">
        <v>2654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35"/>
      <c r="Q40" s="1810" t="str">
        <f t="shared" si="11"/>
        <v>市政基础设施</v>
      </c>
      <c r="R40" s="774" t="s">
        <v>17</v>
      </c>
      <c r="S40" s="775">
        <f t="shared" si="12"/>
        <v>100</v>
      </c>
      <c r="T40" s="774" t="s">
        <v>17</v>
      </c>
      <c r="U40" s="775">
        <f t="shared" si="13"/>
        <v>100</v>
      </c>
      <c r="V40" s="774" t="s">
        <v>17</v>
      </c>
      <c r="W40" s="775">
        <f t="shared" si="14"/>
        <v>100</v>
      </c>
      <c r="X40" s="1813"/>
      <c r="Y40" s="3167"/>
      <c r="Z40" s="1814" t="str">
        <f t="shared" si="15"/>
        <v>市政基础设施</v>
      </c>
      <c r="AA40" s="1811">
        <f t="shared" si="3"/>
        <v>1</v>
      </c>
      <c r="AB40" s="1811">
        <f t="shared" si="4"/>
        <v>1</v>
      </c>
      <c r="AC40" s="2673">
        <f t="shared" si="5"/>
        <v>1</v>
      </c>
    </row>
    <row r="41" spans="1:29" ht="15">
      <c r="A41" s="472"/>
      <c r="B41" s="422" t="s">
        <v>2656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35"/>
      <c r="Q41" s="1810" t="str">
        <f t="shared" si="11"/>
        <v>层高</v>
      </c>
      <c r="R41" s="774" t="s">
        <v>17</v>
      </c>
      <c r="S41" s="775">
        <f t="shared" si="12"/>
        <v>100</v>
      </c>
      <c r="T41" s="774" t="s">
        <v>17</v>
      </c>
      <c r="U41" s="775">
        <f t="shared" si="13"/>
        <v>100</v>
      </c>
      <c r="V41" s="774" t="s">
        <v>17</v>
      </c>
      <c r="W41" s="775">
        <f t="shared" si="14"/>
        <v>100</v>
      </c>
      <c r="X41" s="1813"/>
      <c r="Y41" s="3167"/>
      <c r="Z41" s="1814" t="str">
        <f t="shared" si="15"/>
        <v>层高</v>
      </c>
      <c r="AA41" s="1811">
        <f t="shared" si="3"/>
        <v>1</v>
      </c>
      <c r="AB41" s="1811">
        <f t="shared" si="4"/>
        <v>1</v>
      </c>
      <c r="AC41" s="2673">
        <f t="shared" si="5"/>
        <v>1</v>
      </c>
    </row>
    <row r="42" spans="1:29" s="471" customFormat="1" ht="15">
      <c r="A42" s="468"/>
      <c r="B42" s="1812" t="s">
        <v>2687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35"/>
      <c r="Q42" s="776" t="str">
        <f t="shared" si="11"/>
        <v>单套建筑面积</v>
      </c>
      <c r="R42" s="777" t="s">
        <v>17</v>
      </c>
      <c r="S42" s="778">
        <f t="shared" si="12"/>
        <v>100</v>
      </c>
      <c r="T42" s="777" t="s">
        <v>17</v>
      </c>
      <c r="U42" s="778">
        <f t="shared" si="13"/>
        <v>100</v>
      </c>
      <c r="V42" s="777" t="s">
        <v>17</v>
      </c>
      <c r="W42" s="778">
        <f t="shared" si="14"/>
        <v>100</v>
      </c>
      <c r="X42" s="779"/>
      <c r="Y42" s="3167"/>
      <c r="Z42" s="780" t="str">
        <f t="shared" si="15"/>
        <v>单套建筑面积</v>
      </c>
      <c r="AA42" s="1811">
        <f t="shared" si="3"/>
        <v>1</v>
      </c>
      <c r="AB42" s="1811">
        <f t="shared" si="4"/>
        <v>1</v>
      </c>
      <c r="AC42" s="2673">
        <f t="shared" si="5"/>
        <v>1</v>
      </c>
    </row>
    <row r="43" spans="1:29" ht="15">
      <c r="A43" s="472"/>
      <c r="B43" s="422" t="s">
        <v>2659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35"/>
      <c r="Q43" s="1810" t="str">
        <f t="shared" si="11"/>
        <v>内部装修</v>
      </c>
      <c r="R43" s="774" t="s">
        <v>17</v>
      </c>
      <c r="S43" s="775">
        <f t="shared" si="12"/>
        <v>100</v>
      </c>
      <c r="T43" s="774" t="s">
        <v>17</v>
      </c>
      <c r="U43" s="775">
        <f t="shared" si="13"/>
        <v>100</v>
      </c>
      <c r="V43" s="774" t="s">
        <v>17</v>
      </c>
      <c r="W43" s="775">
        <f t="shared" si="14"/>
        <v>100</v>
      </c>
      <c r="X43" s="1813"/>
      <c r="Y43" s="3167"/>
      <c r="Z43" s="1814" t="str">
        <f t="shared" si="15"/>
        <v>内部装修</v>
      </c>
      <c r="AA43" s="1811">
        <f t="shared" si="3"/>
        <v>1</v>
      </c>
      <c r="AB43" s="1811">
        <f t="shared" si="4"/>
        <v>1</v>
      </c>
      <c r="AC43" s="2673">
        <f t="shared" si="5"/>
        <v>1</v>
      </c>
    </row>
    <row r="44" spans="1:29" ht="15">
      <c r="A44" s="472"/>
      <c r="B44" s="422" t="s">
        <v>2567</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40"/>
      <c r="M44" s="1131"/>
      <c r="N44" s="1131"/>
      <c r="O44" s="1131"/>
      <c r="P44" s="3235"/>
      <c r="Q44" s="1810" t="str">
        <f t="shared" si="11"/>
        <v>内部装修维护情况</v>
      </c>
      <c r="R44" s="774" t="s">
        <v>17</v>
      </c>
      <c r="S44" s="775">
        <f t="shared" si="12"/>
        <v>100</v>
      </c>
      <c r="T44" s="774" t="s">
        <v>17</v>
      </c>
      <c r="U44" s="775">
        <f t="shared" si="13"/>
        <v>100</v>
      </c>
      <c r="V44" s="774" t="s">
        <v>17</v>
      </c>
      <c r="W44" s="775">
        <f t="shared" si="14"/>
        <v>100</v>
      </c>
      <c r="X44" s="1813"/>
      <c r="Y44" s="3167"/>
      <c r="Z44" s="1814" t="str">
        <f t="shared" si="15"/>
        <v>内部装修维护情况</v>
      </c>
      <c r="AA44" s="1811">
        <f t="shared" si="3"/>
        <v>1</v>
      </c>
      <c r="AB44" s="1811">
        <f t="shared" si="4"/>
        <v>1</v>
      </c>
      <c r="AC44" s="2673">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35"/>
      <c r="Q45" s="1795">
        <f t="shared" si="11"/>
        <v>111</v>
      </c>
      <c r="R45" s="770" t="s">
        <v>17</v>
      </c>
      <c r="S45" s="771">
        <f t="shared" si="12"/>
        <v>100</v>
      </c>
      <c r="T45" s="770" t="s">
        <v>17</v>
      </c>
      <c r="U45" s="771">
        <f t="shared" si="13"/>
        <v>100</v>
      </c>
      <c r="V45" s="770" t="s">
        <v>17</v>
      </c>
      <c r="W45" s="771">
        <f t="shared" si="14"/>
        <v>100</v>
      </c>
      <c r="X45" s="772"/>
      <c r="Y45" s="3167"/>
      <c r="Z45" s="55">
        <f t="shared" si="15"/>
        <v>111</v>
      </c>
      <c r="AA45" s="773">
        <f t="shared" si="3"/>
        <v>1</v>
      </c>
      <c r="AB45" s="773">
        <f t="shared" si="4"/>
        <v>1</v>
      </c>
      <c r="AC45" s="2670">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35"/>
      <c r="Q46" s="1810">
        <f t="shared" si="11"/>
        <v>111</v>
      </c>
      <c r="R46" s="774" t="s">
        <v>17</v>
      </c>
      <c r="S46" s="775">
        <f t="shared" si="12"/>
        <v>100</v>
      </c>
      <c r="T46" s="774" t="s">
        <v>17</v>
      </c>
      <c r="U46" s="775">
        <f t="shared" si="13"/>
        <v>100</v>
      </c>
      <c r="V46" s="774" t="s">
        <v>17</v>
      </c>
      <c r="W46" s="775">
        <f t="shared" si="14"/>
        <v>100</v>
      </c>
      <c r="X46" s="1813"/>
      <c r="Y46" s="3167"/>
      <c r="Z46" s="1814">
        <f t="shared" si="15"/>
        <v>111</v>
      </c>
      <c r="AA46" s="1811">
        <f t="shared" si="3"/>
        <v>1</v>
      </c>
      <c r="AB46" s="1811">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36"/>
      <c r="Q47" s="1810">
        <f t="shared" si="11"/>
        <v>111</v>
      </c>
      <c r="R47" s="774" t="s">
        <v>17</v>
      </c>
      <c r="S47" s="775">
        <f t="shared" si="12"/>
        <v>100</v>
      </c>
      <c r="T47" s="774" t="s">
        <v>17</v>
      </c>
      <c r="U47" s="775">
        <f t="shared" si="13"/>
        <v>100</v>
      </c>
      <c r="V47" s="774" t="s">
        <v>17</v>
      </c>
      <c r="W47" s="775">
        <f t="shared" si="14"/>
        <v>100</v>
      </c>
      <c r="X47" s="1813"/>
      <c r="Y47" s="3237"/>
      <c r="Z47" s="1814">
        <f t="shared" si="15"/>
        <v>111</v>
      </c>
      <c r="AA47" s="1811">
        <f t="shared" si="3"/>
        <v>1</v>
      </c>
      <c r="AB47" s="1811">
        <f t="shared" si="4"/>
        <v>1</v>
      </c>
      <c r="AC47" s="2673">
        <f t="shared" si="5"/>
        <v>1</v>
      </c>
    </row>
    <row r="48" spans="1:29" ht="15">
      <c r="A48" s="479" t="s">
        <v>2568</v>
      </c>
      <c r="B48" s="480"/>
      <c r="C48" s="1407" t="s">
        <v>1</v>
      </c>
      <c r="D48" s="1408"/>
      <c r="E48" s="1409"/>
      <c r="F48" s="1410"/>
      <c r="G48" s="1411"/>
      <c r="H48" s="1412"/>
      <c r="I48" s="1409"/>
      <c r="J48" s="485"/>
      <c r="K48" s="783"/>
      <c r="L48" s="1143"/>
      <c r="M48" s="1131"/>
      <c r="N48" s="1131"/>
      <c r="O48" s="1131"/>
      <c r="P48" s="3186" t="str">
        <f>A48</f>
        <v>成交单价（元/平方米）</v>
      </c>
      <c r="Q48" s="3161"/>
      <c r="R48" s="3233">
        <f>E48</f>
        <v>0</v>
      </c>
      <c r="S48" s="3233"/>
      <c r="T48" s="3233">
        <f>G48</f>
        <v>0</v>
      </c>
      <c r="U48" s="3233"/>
      <c r="V48" s="3233">
        <f>I48</f>
        <v>0</v>
      </c>
      <c r="W48" s="3233"/>
      <c r="X48" s="446"/>
      <c r="Y48" s="781"/>
      <c r="Z48" s="446"/>
      <c r="AA48" s="446"/>
      <c r="AB48" s="446"/>
      <c r="AC48" s="630"/>
    </row>
    <row r="49" spans="1:29" ht="15.75" thickBot="1">
      <c r="A49" s="486" t="s">
        <v>2660</v>
      </c>
      <c r="B49" s="487"/>
      <c r="C49" s="1413" t="e">
        <f>R50</f>
        <v>#DIV/0!</v>
      </c>
      <c r="D49" s="1414"/>
      <c r="E49" s="1415" t="e">
        <f>R49</f>
        <v>#DIV/0!</v>
      </c>
      <c r="F49" s="1415"/>
      <c r="G49" s="1413" t="e">
        <f>T49</f>
        <v>#DIV/0!</v>
      </c>
      <c r="H49" s="1414"/>
      <c r="I49" s="1415" t="e">
        <f>V49</f>
        <v>#DIV/0!</v>
      </c>
      <c r="J49" s="489"/>
      <c r="K49" s="784"/>
      <c r="L49" s="1143"/>
      <c r="M49" s="1131"/>
      <c r="N49" s="1131"/>
      <c r="O49" s="1131"/>
      <c r="P49" s="3186" t="str">
        <f>A49</f>
        <v>比较价值（元/平方米）</v>
      </c>
      <c r="Q49" s="3161"/>
      <c r="R49" s="3233" t="e">
        <f>IF(F1="售价",ROUND(PRODUCT(R48,AA7:AA47),0),ROUND(PRODUCT(R48,AA7:AA47),1))</f>
        <v>#DIV/0!</v>
      </c>
      <c r="S49" s="3233"/>
      <c r="T49" s="3233" t="e">
        <f>IF(F1="售价",ROUND(PRODUCT(T48,AB7:AB47),0),ROUND(PRODUCT(T48,AB7:AB47),1))</f>
        <v>#DIV/0!</v>
      </c>
      <c r="U49" s="3233"/>
      <c r="V49" s="3233" t="e">
        <f>IF(F1="售价",ROUND(PRODUCT(V48,AC7:AC47),0),ROUND(PRODUCT(V48,AC7:AC47),1))</f>
        <v>#DIV/0!</v>
      </c>
      <c r="W49" s="3233"/>
      <c r="X49" s="446"/>
      <c r="Y49" s="446"/>
      <c r="Z49" s="446"/>
      <c r="AA49" s="446"/>
      <c r="AB49" s="446"/>
      <c r="AC49" s="630"/>
    </row>
    <row r="50" spans="1:29" ht="15.75" thickBot="1">
      <c r="A50" s="492" t="s">
        <v>2661</v>
      </c>
      <c r="B50" s="493"/>
      <c r="C50" s="1417" t="e">
        <f>R50</f>
        <v>#DIV/0!</v>
      </c>
      <c r="D50" s="1417"/>
      <c r="E50" s="1417"/>
      <c r="F50" s="1417"/>
      <c r="G50" s="1417"/>
      <c r="H50" s="1417"/>
      <c r="I50" s="1417"/>
      <c r="J50" s="494"/>
      <c r="K50" s="785"/>
      <c r="L50" s="1143"/>
      <c r="M50" s="1131"/>
      <c r="N50" s="1131"/>
      <c r="O50" s="1131"/>
      <c r="P50" s="3252" t="str">
        <f>A50</f>
        <v>估价对象XX用房的比较价值（楼面单价，元/平方米）</v>
      </c>
      <c r="Q50" s="3253"/>
      <c r="R50" s="3254" t="e">
        <f>IF(F1="售价",ROUND(AVERAGE(R49:V49),0),ROUND(AVERAGE(R49:V49),1))</f>
        <v>#DIV/0!</v>
      </c>
      <c r="S50" s="3254"/>
      <c r="T50" s="3254"/>
      <c r="U50" s="3254"/>
      <c r="V50" s="3254"/>
      <c r="W50" s="3254"/>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2665</v>
      </c>
      <c r="B58" s="759"/>
      <c r="C58" s="764"/>
      <c r="D58" s="764"/>
      <c r="E58" s="764"/>
      <c r="F58" s="765"/>
      <c r="G58" s="765"/>
      <c r="H58" s="764"/>
      <c r="I58" s="764"/>
      <c r="J58" s="764"/>
      <c r="K58" s="766"/>
      <c r="L58" s="1161"/>
      <c r="M58" s="1159"/>
      <c r="N58" s="1159"/>
      <c r="O58" s="1159"/>
      <c r="P58" s="2680"/>
      <c r="Q58" s="504"/>
    </row>
    <row r="59" spans="1:29" s="508" customFormat="1" ht="15">
      <c r="A59" s="505" t="s">
        <v>2539</v>
      </c>
      <c r="B59" s="506"/>
      <c r="C59" s="1574" t="str">
        <f>YEAR(C7)&amp;"-"&amp;MONTH(C7)</f>
        <v>2020-7</v>
      </c>
      <c r="D59" s="1575">
        <f>EDATE(C59,-1)</f>
        <v>43983</v>
      </c>
      <c r="E59" s="1575">
        <f>EDATE(D59,-1)</f>
        <v>43952</v>
      </c>
      <c r="F59" s="1575">
        <f t="shared" ref="F59:O59" si="16">EDATE(E59,-1)</f>
        <v>43922</v>
      </c>
      <c r="G59" s="1575">
        <f t="shared" si="16"/>
        <v>43891</v>
      </c>
      <c r="H59" s="1575">
        <f t="shared" si="16"/>
        <v>43862</v>
      </c>
      <c r="I59" s="1575">
        <f t="shared" si="16"/>
        <v>43831</v>
      </c>
      <c r="J59" s="1575">
        <f t="shared" si="16"/>
        <v>43800</v>
      </c>
      <c r="K59" s="1575">
        <f t="shared" si="16"/>
        <v>43770</v>
      </c>
      <c r="L59" s="1575">
        <f t="shared" si="16"/>
        <v>43739</v>
      </c>
      <c r="M59" s="1575">
        <f t="shared" si="16"/>
        <v>43709</v>
      </c>
      <c r="N59" s="1575">
        <f t="shared" si="16"/>
        <v>43678</v>
      </c>
      <c r="O59" s="1575">
        <f t="shared" si="16"/>
        <v>43647</v>
      </c>
      <c r="P59" s="1571"/>
    </row>
    <row r="60" spans="1:29" s="117" customFormat="1" ht="15">
      <c r="A60" s="509"/>
      <c r="B60" s="510"/>
      <c r="C60" s="1573">
        <v>100</v>
      </c>
      <c r="D60" s="512"/>
      <c r="E60" s="512"/>
      <c r="F60" s="512"/>
      <c r="G60" s="512"/>
      <c r="H60" s="512"/>
      <c r="I60" s="512"/>
      <c r="J60" s="512"/>
      <c r="K60" s="512"/>
      <c r="L60" s="512"/>
      <c r="M60" s="513"/>
      <c r="N60" s="512"/>
      <c r="O60" s="513"/>
      <c r="P60" s="2681"/>
    </row>
    <row r="61" spans="1:29" s="117" customFormat="1" ht="15.75" thickBot="1">
      <c r="A61" s="515" t="s">
        <v>2576</v>
      </c>
      <c r="B61" s="516"/>
      <c r="C61" s="517"/>
      <c r="D61" s="518"/>
      <c r="E61" s="518"/>
      <c r="F61" s="518"/>
      <c r="G61" s="518"/>
      <c r="H61" s="518"/>
      <c r="I61" s="518"/>
      <c r="J61" s="518"/>
      <c r="K61" s="518"/>
      <c r="L61" s="518"/>
      <c r="M61" s="519"/>
      <c r="N61" s="518"/>
      <c r="O61" s="519"/>
      <c r="P61" s="2681"/>
      <c r="Q61" s="504"/>
    </row>
    <row r="62" spans="1:29" s="117" customFormat="1" ht="15">
      <c r="A62" s="521" t="s">
        <v>2541</v>
      </c>
      <c r="B62" s="510"/>
      <c r="C62" s="522" t="s">
        <v>2643</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2579</v>
      </c>
      <c r="B64" s="528" t="s">
        <v>2545</v>
      </c>
      <c r="C64" s="529">
        <f>C9</f>
        <v>0</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2"/>
      <c r="O66" s="1152"/>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3"/>
      <c r="Q67" s="504"/>
    </row>
    <row r="68" spans="1:17" ht="15.75" thickTop="1">
      <c r="A68" s="534"/>
      <c r="B68" s="546" t="s">
        <v>2549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c r="D69" s="549"/>
      <c r="E69" s="549"/>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2"/>
      <c r="O77" s="1152"/>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3"/>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2"/>
      <c r="O79" s="1152"/>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3"/>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2"/>
      <c r="O81" s="1152"/>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3"/>
      <c r="Q82" s="504"/>
    </row>
    <row r="83" spans="1:17" ht="15.75" thickTop="1">
      <c r="A83" s="534"/>
      <c r="B83" s="546" t="s">
        <v>2680</v>
      </c>
      <c r="C83" s="660" t="s">
        <v>2666</v>
      </c>
      <c r="D83" s="660" t="s">
        <v>2667</v>
      </c>
      <c r="E83" s="660" t="s">
        <v>2668</v>
      </c>
      <c r="F83" s="660" t="s">
        <v>2669</v>
      </c>
      <c r="G83" s="660" t="s">
        <v>2670</v>
      </c>
      <c r="H83" s="539"/>
      <c r="I83" s="539"/>
      <c r="J83" s="539"/>
      <c r="K83" s="539"/>
      <c r="L83" s="539"/>
      <c r="M83" s="1382"/>
      <c r="N83" s="1153"/>
      <c r="O83" s="1153"/>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3"/>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2"/>
      <c r="O85" s="1152"/>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3"/>
      <c r="Q86" s="504"/>
    </row>
    <row r="87" spans="1:17" s="117" customFormat="1" ht="27.75" thickTop="1">
      <c r="A87" s="579"/>
      <c r="B87" s="538" t="s">
        <v>2690</v>
      </c>
      <c r="C87" s="554"/>
      <c r="D87" s="554"/>
      <c r="E87" s="554"/>
      <c r="F87" s="554"/>
      <c r="G87" s="554"/>
      <c r="H87" s="554"/>
      <c r="I87" s="554"/>
      <c r="J87" s="554"/>
      <c r="K87" s="554"/>
      <c r="L87" s="580"/>
      <c r="M87" s="581"/>
      <c r="N87" s="1151"/>
      <c r="O87" s="1151"/>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3"/>
      <c r="Q88" s="504"/>
    </row>
    <row r="89" spans="1:17" s="117" customFormat="1" ht="15.75" thickTop="1">
      <c r="A89" s="579"/>
      <c r="B89" s="538" t="str">
        <f>B27</f>
        <v>楼层</v>
      </c>
      <c r="C89" s="554"/>
      <c r="D89" s="554"/>
      <c r="E89" s="554"/>
      <c r="F89" s="2634"/>
      <c r="G89" s="554"/>
      <c r="H89" s="554"/>
      <c r="I89" s="554"/>
      <c r="J89" s="554"/>
      <c r="K89" s="554"/>
      <c r="L89" s="554"/>
      <c r="M89" s="581"/>
      <c r="N89" s="1151"/>
      <c r="O89" s="1151"/>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2554</v>
      </c>
      <c r="B101" s="528" t="s">
        <v>2603</v>
      </c>
      <c r="C101" s="530"/>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3"/>
      <c r="Q102" s="504"/>
    </row>
    <row r="103" spans="1:17" ht="15.75" thickTop="1">
      <c r="A103" s="534"/>
      <c r="B103" s="538" t="s">
        <v>2604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c r="D104" s="595"/>
      <c r="E104" s="595"/>
      <c r="F104" s="595"/>
      <c r="G104" s="595"/>
      <c r="H104" s="595"/>
      <c r="I104" s="595"/>
      <c r="J104" s="596"/>
      <c r="K104" s="596"/>
      <c r="L104" s="597"/>
      <c r="M104" s="598"/>
      <c r="N104" s="1154"/>
      <c r="O104" s="1154"/>
      <c r="P104" s="2684"/>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4"/>
      <c r="Q105" s="559"/>
    </row>
    <row r="106" spans="1:17" ht="15" thickTop="1">
      <c r="A106" s="599"/>
      <c r="B106" s="538" t="s">
        <v>2605</v>
      </c>
      <c r="C106" s="554"/>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3"/>
      <c r="Q107" s="504"/>
    </row>
    <row r="108" spans="1:17" ht="15" thickTop="1">
      <c r="A108" s="599"/>
      <c r="B108" s="538" t="s">
        <v>2607</v>
      </c>
      <c r="C108" s="554"/>
      <c r="D108" s="554"/>
      <c r="E108" s="554"/>
      <c r="F108" s="583"/>
      <c r="G108" s="583"/>
      <c r="H108" s="583"/>
      <c r="I108" s="583"/>
      <c r="J108" s="583"/>
      <c r="K108" s="584"/>
      <c r="L108" s="585"/>
      <c r="M108" s="586"/>
      <c r="N108" s="1152"/>
      <c r="O108" s="1152"/>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3"/>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3"/>
      <c r="Q112" s="504"/>
    </row>
    <row r="113" spans="1:17" s="471" customFormat="1" ht="15" thickTop="1">
      <c r="A113" s="593"/>
      <c r="B113" s="538" t="s">
        <v>2691</v>
      </c>
      <c r="C113" s="554"/>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4"/>
      <c r="Q114" s="559"/>
    </row>
    <row r="115" spans="1:17" ht="15" thickTop="1">
      <c r="A115" s="599"/>
      <c r="B115" s="538" t="s">
        <v>2608</v>
      </c>
      <c r="C115" s="554"/>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3"/>
      <c r="Q116" s="504"/>
    </row>
    <row r="117" spans="1:17" ht="15" thickTop="1">
      <c r="A117" s="599"/>
      <c r="B117" s="538" t="s">
        <v>2609</v>
      </c>
      <c r="C117" s="554"/>
      <c r="D117" s="554"/>
      <c r="E117" s="554"/>
      <c r="F117" s="554"/>
      <c r="G117" s="554"/>
      <c r="H117" s="583"/>
      <c r="I117" s="583"/>
      <c r="J117" s="583"/>
      <c r="K117" s="584"/>
      <c r="L117" s="585"/>
      <c r="M117" s="586"/>
      <c r="N117" s="1152"/>
      <c r="O117" s="1152"/>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3"/>
      <c r="Q118" s="504"/>
    </row>
    <row r="119" spans="1:17" ht="15" thickTop="1">
      <c r="A119" s="599"/>
      <c r="B119" s="636" t="s">
        <v>2692</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3"/>
      <c r="Q120" s="504"/>
    </row>
    <row r="121" spans="1:17" s="471" customFormat="1" ht="15" thickTop="1">
      <c r="A121" s="593"/>
      <c r="B121" s="538" t="s">
        <v>2675</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2611</v>
      </c>
      <c r="C123" s="554"/>
      <c r="D123" s="554"/>
      <c r="E123" s="554"/>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3"/>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2"/>
      <c r="O125" s="1152"/>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河北复兴药业有限公司：</v>
      </c>
    </row>
    <row r="4" spans="1:1" ht="36">
      <c r="A4" s="1947" t="str">
        <f>"受贵公司委托，我公司对"&amp;项目基本情况!S1&amp;"进行了预评估。"</f>
        <v>受贵公司委托，我公司对河北省廊坊市开发区全兴路西工业用房房地产抵押价值进行了预评估。</v>
      </c>
    </row>
    <row r="5" spans="1:1" ht="18.75">
      <c r="A5" s="1948" t="s">
        <v>1607</v>
      </c>
    </row>
    <row r="6" spans="1:1" ht="18.75">
      <c r="A6" s="1949" t="s">
        <v>1608</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廊坊市开发区全兴路西工业用房房地产，为河北复兴药业有限公司所有。根据《国有土地使用证》[廊开国用（2010）第033号]，估价对象（分摊）出让国有建设用地使用权面积为6139平方米。根据《房屋所有权证》[廊坊市房权证廊开字第H4996号]，估价对象建筑面积为2547.47平方米。</v>
      </c>
    </row>
    <row r="8" spans="1:1" ht="57.75">
      <c r="A8" s="1950" t="s">
        <v>1609</v>
      </c>
    </row>
    <row r="9" spans="1:1" ht="18.75">
      <c r="A9" s="1949" t="s">
        <v>1610</v>
      </c>
    </row>
    <row r="10" spans="1:1" ht="90">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廊坊市开发区全兴路西工业用房房地产,属河北复兴药业有限公司开发建设的工业项目，该项目尚在开发建设中。根据《国有土地使用证》[廊开国用（2010）第033号]，估价对象（分摊）出让国有建设用地使用权面积为6139平方米。根据《房屋所有权证》[廊坊市房权证廊开字第H4996号]，估价对象规划建筑面积为2547.47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为估价委托人在向渤海银行办理贷款手续过程中，确定房地产抵押贷款额度提供参考依据而评估房地产抵押价值。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2020年7月3日（评估专业人员实地查勘之日）</v>
      </c>
    </row>
    <row r="16" spans="1:1" ht="18.75">
      <c r="A16" s="1952" t="s">
        <v>1614</v>
      </c>
    </row>
    <row r="17" spans="1:1" ht="75">
      <c r="A17" s="1947" t="s">
        <v>1615</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7月3日，估价对象规划用途为工业，土地取得方式为出让，出让国有建设用地使用权剩余土地使用年限为36.31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平整、）、红线内场地平整条件下，剩余土地使用年限为36.31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24" activeCellId="1" sqref="E3 I24"/>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68" t="s">
        <v>2693</v>
      </c>
      <c r="C1" s="1620" t="s">
        <v>2521</v>
      </c>
      <c r="D1" s="1621"/>
      <c r="E1" s="1630"/>
      <c r="F1" s="2583"/>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IF(C2="——",ROUND(C43*D3/10000,0),ROUND(C43*D3/10000,0)-D2)</f>
        <v>#DIV/0!</v>
      </c>
      <c r="C2" s="2585"/>
      <c r="D2" s="1124" t="e">
        <f ca="1">SUMIF(INDIRECT("'"&amp;F2&amp;"'"&amp;"!A:A"),"承租人权益价值",INDIRECT("'"&amp;F2&amp;"'"&amp;"!c:c"))</f>
        <v>#REF!</v>
      </c>
      <c r="E2" s="2586" t="s">
        <v>2319</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2635</v>
      </c>
      <c r="D3" s="399">
        <f>IF(D1="",'数据-汇总表'!E3,SUMIF('数据-汇总表'!$C19:$C33,D1,'数据-汇总表'!$E19:$E33))</f>
        <v>2547.4699999999998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9" t="s">
        <v>2639</v>
      </c>
      <c r="AC4" s="3168" t="s">
        <v>2640</v>
      </c>
    </row>
    <row r="5" spans="1:29" ht="15">
      <c r="A5" s="404"/>
      <c r="B5" s="405"/>
      <c r="C5" s="3192" t="s">
        <v>2533</v>
      </c>
      <c r="D5" s="3193"/>
      <c r="E5" s="3181" t="s">
        <v>2534</v>
      </c>
      <c r="F5" s="3182"/>
      <c r="G5" s="3192" t="s">
        <v>2535</v>
      </c>
      <c r="H5" s="3193"/>
      <c r="I5" s="3192" t="s">
        <v>2536</v>
      </c>
      <c r="J5" s="3193"/>
      <c r="K5" s="610"/>
      <c r="L5" s="1130"/>
      <c r="M5" s="1131"/>
      <c r="N5" s="1131"/>
      <c r="O5" s="1131"/>
      <c r="P5" s="3177"/>
      <c r="Q5" s="3178"/>
      <c r="R5" s="3190"/>
      <c r="S5" s="3191"/>
      <c r="T5" s="3190"/>
      <c r="U5" s="3191"/>
      <c r="V5" s="3163"/>
      <c r="W5" s="3163"/>
      <c r="X5" s="1813"/>
      <c r="Y5" s="3190"/>
      <c r="Z5" s="3191"/>
      <c r="AA5" s="3169"/>
      <c r="AB5" s="3169"/>
      <c r="AC5" s="3169"/>
    </row>
    <row r="6" spans="1:29" ht="15.75" thickBot="1">
      <c r="A6" s="406"/>
      <c r="B6" s="407"/>
      <c r="C6" s="3228" t="s">
        <v>2537</v>
      </c>
      <c r="D6" s="3229"/>
      <c r="E6" s="3230" t="s">
        <v>2537</v>
      </c>
      <c r="F6" s="3231"/>
      <c r="G6" s="3228" t="s">
        <v>2537</v>
      </c>
      <c r="H6" s="3229"/>
      <c r="I6" s="3228" t="s">
        <v>2537</v>
      </c>
      <c r="J6" s="3229"/>
      <c r="K6" s="610" t="s">
        <v>2538</v>
      </c>
      <c r="L6" s="1130"/>
      <c r="M6" s="1131"/>
      <c r="N6" s="1131"/>
      <c r="O6" s="1131"/>
      <c r="P6" s="3179"/>
      <c r="Q6" s="3180"/>
      <c r="R6" s="3190"/>
      <c r="S6" s="3191"/>
      <c r="T6" s="3199"/>
      <c r="U6" s="3200"/>
      <c r="V6" s="3163"/>
      <c r="W6" s="3163"/>
      <c r="X6" s="1813"/>
      <c r="Y6" s="3199"/>
      <c r="Z6" s="3200"/>
      <c r="AA6" s="3170"/>
      <c r="AB6" s="3170"/>
      <c r="AC6" s="3170"/>
    </row>
    <row r="7" spans="1:29" s="117" customFormat="1" ht="15.75" thickBot="1">
      <c r="A7" s="408" t="s">
        <v>2539</v>
      </c>
      <c r="B7" s="409"/>
      <c r="C7" s="410">
        <f>'数据-取费表'!B2</f>
        <v>44015</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3" t="s">
        <v>2540</v>
      </c>
      <c r="Q7" s="3196"/>
      <c r="R7" s="770" t="s">
        <v>17</v>
      </c>
      <c r="S7" s="771">
        <f t="shared" ref="S7:S15" si="0">F7</f>
        <v>0</v>
      </c>
      <c r="T7" s="770" t="s">
        <v>17</v>
      </c>
      <c r="U7" s="771">
        <f t="shared" ref="U7:U15" si="1">H7</f>
        <v>0</v>
      </c>
      <c r="V7" s="770" t="s">
        <v>17</v>
      </c>
      <c r="W7" s="771">
        <f t="shared" ref="W7:W15" si="2">J7</f>
        <v>0</v>
      </c>
      <c r="X7" s="772"/>
      <c r="Y7" s="3183" t="s">
        <v>2540</v>
      </c>
      <c r="Z7" s="3184"/>
      <c r="AA7" s="773" t="e">
        <f>D7/F7</f>
        <v>#DIV/0!</v>
      </c>
      <c r="AB7" s="773" t="e">
        <f>D7/H7</f>
        <v>#DIV/0!</v>
      </c>
      <c r="AC7" s="773"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3" t="s">
        <v>2543</v>
      </c>
      <c r="Q8" s="3184"/>
      <c r="R8" s="770" t="s">
        <v>17</v>
      </c>
      <c r="S8" s="771">
        <f t="shared" si="0"/>
        <v>0</v>
      </c>
      <c r="T8" s="770" t="s">
        <v>17</v>
      </c>
      <c r="U8" s="771">
        <f t="shared" si="1"/>
        <v>0</v>
      </c>
      <c r="V8" s="770" t="s">
        <v>17</v>
      </c>
      <c r="W8" s="771">
        <f t="shared" si="2"/>
        <v>0</v>
      </c>
      <c r="X8" s="772"/>
      <c r="Y8" s="3183" t="s">
        <v>2543</v>
      </c>
      <c r="Z8" s="3184"/>
      <c r="AA8" s="773" t="e">
        <f t="shared" ref="AA8:AA40" si="3">D8/F8</f>
        <v>#DIV/0!</v>
      </c>
      <c r="AB8" s="773" t="e">
        <f t="shared" ref="AB8:AB40" si="4">D8/H8</f>
        <v>#DIV/0!</v>
      </c>
      <c r="AC8" s="773"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61"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61"/>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61"/>
      <c r="Q11" s="1795"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161"/>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161"/>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161"/>
      <c r="Q14" s="1795">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57">
      <c r="A15" s="440" t="s">
        <v>2550</v>
      </c>
      <c r="B15" s="69" t="s">
        <v>2694</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64" t="s">
        <v>2551</v>
      </c>
      <c r="Q15" s="1810" t="str">
        <f t="shared" si="6"/>
        <v>产业集聚程度</v>
      </c>
      <c r="R15" s="774" t="s">
        <v>17</v>
      </c>
      <c r="S15" s="775">
        <f t="shared" si="0"/>
        <v>100</v>
      </c>
      <c r="T15" s="774" t="s">
        <v>17</v>
      </c>
      <c r="U15" s="775">
        <f t="shared" si="1"/>
        <v>100</v>
      </c>
      <c r="V15" s="774" t="s">
        <v>17</v>
      </c>
      <c r="W15" s="775">
        <f t="shared" si="2"/>
        <v>100</v>
      </c>
      <c r="X15" s="1813"/>
      <c r="Y15" s="3164" t="s">
        <v>2551</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65"/>
      <c r="Q16" s="1810"/>
      <c r="R16" s="774"/>
      <c r="S16" s="775"/>
      <c r="T16" s="774"/>
      <c r="U16" s="775"/>
      <c r="V16" s="774"/>
      <c r="W16" s="775"/>
      <c r="X16" s="1813"/>
      <c r="Y16" s="3165"/>
      <c r="Z16" s="1814"/>
      <c r="AA16" s="1811">
        <v>1</v>
      </c>
      <c r="AB16" s="1811">
        <v>1</v>
      </c>
      <c r="AC16" s="1811">
        <v>1</v>
      </c>
    </row>
    <row r="17" spans="1:29" ht="85.5">
      <c r="A17" s="428"/>
      <c r="B17" s="451" t="s">
        <v>2090</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65"/>
      <c r="Q17" s="1810" t="str">
        <f>B17</f>
        <v>交通便捷度</v>
      </c>
      <c r="R17" s="774" t="s">
        <v>17</v>
      </c>
      <c r="S17" s="775">
        <f>F17</f>
        <v>100</v>
      </c>
      <c r="T17" s="774" t="s">
        <v>17</v>
      </c>
      <c r="U17" s="775">
        <f>H17</f>
        <v>100</v>
      </c>
      <c r="V17" s="774" t="s">
        <v>17</v>
      </c>
      <c r="W17" s="775">
        <f>J17</f>
        <v>100</v>
      </c>
      <c r="X17" s="1813"/>
      <c r="Y17" s="3165"/>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9"/>
      <c r="P18" s="3165"/>
      <c r="Q18" s="1810"/>
      <c r="R18" s="774"/>
      <c r="S18" s="775"/>
      <c r="T18" s="774"/>
      <c r="U18" s="775"/>
      <c r="V18" s="774"/>
      <c r="W18" s="775"/>
      <c r="X18" s="1813"/>
      <c r="Y18" s="3165"/>
      <c r="Z18" s="1814"/>
      <c r="AA18" s="1811">
        <v>1</v>
      </c>
      <c r="AB18" s="1811">
        <v>1</v>
      </c>
      <c r="AC18" s="1811">
        <v>1</v>
      </c>
    </row>
    <row r="19" spans="1:29" ht="42.75">
      <c r="A19" s="428"/>
      <c r="B19" s="451" t="s">
        <v>2679</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65"/>
      <c r="Q19" s="1810" t="str">
        <f>B19</f>
        <v>公共配套设施</v>
      </c>
      <c r="R19" s="774" t="s">
        <v>17</v>
      </c>
      <c r="S19" s="775">
        <f>F19</f>
        <v>100</v>
      </c>
      <c r="T19" s="774" t="s">
        <v>17</v>
      </c>
      <c r="U19" s="775">
        <f>H19</f>
        <v>100</v>
      </c>
      <c r="V19" s="774" t="s">
        <v>17</v>
      </c>
      <c r="W19" s="775">
        <f>J19</f>
        <v>100</v>
      </c>
      <c r="X19" s="1813"/>
      <c r="Y19" s="3165"/>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9"/>
      <c r="P20" s="3165"/>
      <c r="Q20" s="1810"/>
      <c r="R20" s="774"/>
      <c r="S20" s="775"/>
      <c r="T20" s="774"/>
      <c r="U20" s="775"/>
      <c r="V20" s="774"/>
      <c r="W20" s="775"/>
      <c r="X20" s="1813"/>
      <c r="Y20" s="3165"/>
      <c r="Z20" s="1814"/>
      <c r="AA20" s="1811">
        <v>1</v>
      </c>
      <c r="AB20" s="1811">
        <v>1</v>
      </c>
      <c r="AC20" s="1811">
        <v>1</v>
      </c>
    </row>
    <row r="21" spans="1:29" ht="28.5">
      <c r="A21" s="428"/>
      <c r="B21" s="1384" t="s">
        <v>2680</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65"/>
      <c r="Q21" s="1810" t="str">
        <f>B21</f>
        <v>基础设施水平</v>
      </c>
      <c r="R21" s="774" t="s">
        <v>17</v>
      </c>
      <c r="S21" s="775">
        <f>F21</f>
        <v>100</v>
      </c>
      <c r="T21" s="774" t="s">
        <v>17</v>
      </c>
      <c r="U21" s="775">
        <f>H21</f>
        <v>100</v>
      </c>
      <c r="V21" s="774" t="s">
        <v>17</v>
      </c>
      <c r="W21" s="775">
        <f>J21</f>
        <v>100</v>
      </c>
      <c r="X21" s="1813"/>
      <c r="Y21" s="316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9"/>
      <c r="P22" s="3165"/>
      <c r="Q22" s="1810"/>
      <c r="R22" s="774"/>
      <c r="S22" s="775"/>
      <c r="T22" s="774"/>
      <c r="U22" s="775"/>
      <c r="V22" s="774"/>
      <c r="W22" s="775"/>
      <c r="X22" s="1813"/>
      <c r="Y22" s="3165"/>
      <c r="Z22" s="1814"/>
      <c r="AA22" s="1811">
        <v>1</v>
      </c>
      <c r="AB22" s="1811">
        <v>1</v>
      </c>
      <c r="AC22" s="1811">
        <v>1</v>
      </c>
    </row>
    <row r="23" spans="1:29" ht="71.25">
      <c r="A23" s="428"/>
      <c r="B23" s="451" t="s">
        <v>2681</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65"/>
      <c r="Q23" s="1810" t="str">
        <f>B23</f>
        <v>环境质量</v>
      </c>
      <c r="R23" s="774" t="s">
        <v>17</v>
      </c>
      <c r="S23" s="775">
        <f>F23</f>
        <v>100</v>
      </c>
      <c r="T23" s="774" t="s">
        <v>17</v>
      </c>
      <c r="U23" s="775">
        <f>H23</f>
        <v>100</v>
      </c>
      <c r="V23" s="774" t="s">
        <v>17</v>
      </c>
      <c r="W23" s="775">
        <f>J23</f>
        <v>100</v>
      </c>
      <c r="X23" s="1813"/>
      <c r="Y23" s="3165"/>
      <c r="Z23" s="1814" t="str">
        <f>Q23</f>
        <v>环境质量</v>
      </c>
      <c r="AA23" s="1811">
        <f t="shared" si="3"/>
        <v>1</v>
      </c>
      <c r="AB23" s="1811">
        <f t="shared" si="4"/>
        <v>1</v>
      </c>
      <c r="AC23" s="1811">
        <f t="shared" si="5"/>
        <v>1</v>
      </c>
    </row>
    <row r="24" spans="1:29" ht="15">
      <c r="A24" s="428"/>
      <c r="B24" s="1384"/>
      <c r="C24" s="447"/>
      <c r="D24" s="448"/>
      <c r="E24" s="2604"/>
      <c r="F24" s="449"/>
      <c r="G24" s="2603"/>
      <c r="H24" s="448"/>
      <c r="I24" s="2604"/>
      <c r="J24" s="448"/>
      <c r="K24" s="615"/>
      <c r="L24" s="1140"/>
      <c r="M24" s="1131"/>
      <c r="N24" s="1131"/>
      <c r="O24" s="1139"/>
      <c r="P24" s="3165"/>
      <c r="Q24" s="1810"/>
      <c r="R24" s="774"/>
      <c r="S24" s="775"/>
      <c r="T24" s="774"/>
      <c r="U24" s="775"/>
      <c r="V24" s="774"/>
      <c r="W24" s="775"/>
      <c r="X24" s="1813"/>
      <c r="Y24" s="3165"/>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65"/>
      <c r="Q25" s="1810">
        <f>B25</f>
        <v>111</v>
      </c>
      <c r="R25" s="774" t="s">
        <v>17</v>
      </c>
      <c r="S25" s="775">
        <f>F25</f>
        <v>100</v>
      </c>
      <c r="T25" s="774" t="s">
        <v>17</v>
      </c>
      <c r="U25" s="775">
        <f>H25</f>
        <v>100</v>
      </c>
      <c r="V25" s="774" t="s">
        <v>17</v>
      </c>
      <c r="W25" s="775">
        <f>J25</f>
        <v>100</v>
      </c>
      <c r="X25" s="1813"/>
      <c r="Y25" s="3165"/>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65"/>
      <c r="Q26" s="1810">
        <f t="shared" ref="Q26:Q40" si="11">B26</f>
        <v>111</v>
      </c>
      <c r="R26" s="774" t="s">
        <v>17</v>
      </c>
      <c r="S26" s="775">
        <f>F26</f>
        <v>100</v>
      </c>
      <c r="T26" s="774" t="s">
        <v>17</v>
      </c>
      <c r="U26" s="775">
        <f>H26</f>
        <v>100</v>
      </c>
      <c r="V26" s="774" t="s">
        <v>17</v>
      </c>
      <c r="W26" s="775">
        <f>J26</f>
        <v>100</v>
      </c>
      <c r="X26" s="1813"/>
      <c r="Y26" s="3165"/>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65"/>
      <c r="Q27" s="1795">
        <f t="shared" si="11"/>
        <v>111</v>
      </c>
      <c r="R27" s="770" t="s">
        <v>17</v>
      </c>
      <c r="S27" s="771">
        <f>F27</f>
        <v>100</v>
      </c>
      <c r="T27" s="770" t="s">
        <v>17</v>
      </c>
      <c r="U27" s="771">
        <f>H27</f>
        <v>100</v>
      </c>
      <c r="V27" s="770" t="s">
        <v>17</v>
      </c>
      <c r="W27" s="771">
        <f>J27</f>
        <v>100</v>
      </c>
      <c r="X27" s="772"/>
      <c r="Y27" s="3165"/>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65"/>
      <c r="Q28" s="1810">
        <f t="shared" si="11"/>
        <v>111</v>
      </c>
      <c r="R28" s="774" t="s">
        <v>17</v>
      </c>
      <c r="S28" s="775">
        <f t="shared" ref="S28:S40" si="12">F28</f>
        <v>100</v>
      </c>
      <c r="T28" s="774" t="s">
        <v>17</v>
      </c>
      <c r="U28" s="775">
        <f t="shared" ref="U28:U40" si="13">H28</f>
        <v>100</v>
      </c>
      <c r="V28" s="774" t="s">
        <v>17</v>
      </c>
      <c r="W28" s="775">
        <f t="shared" ref="W28:W40" si="14">J28</f>
        <v>100</v>
      </c>
      <c r="X28" s="1813"/>
      <c r="Y28" s="3165"/>
      <c r="Z28" s="1814">
        <f t="shared" ref="Z28:Z40" si="15">Q28</f>
        <v>111</v>
      </c>
      <c r="AA28" s="1811">
        <f t="shared" si="3"/>
        <v>1</v>
      </c>
      <c r="AB28" s="1811">
        <f t="shared" si="4"/>
        <v>1</v>
      </c>
      <c r="AC28" s="1811">
        <f t="shared" si="5"/>
        <v>1</v>
      </c>
    </row>
    <row r="29" spans="1:29" ht="28.5">
      <c r="A29" s="466" t="s">
        <v>2554</v>
      </c>
      <c r="B29" s="71" t="s">
        <v>2684</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166" t="s">
        <v>2556</v>
      </c>
      <c r="Q29" s="1810" t="str">
        <f t="shared" si="11"/>
        <v>建筑类型</v>
      </c>
      <c r="R29" s="774" t="s">
        <v>17</v>
      </c>
      <c r="S29" s="775">
        <f t="shared" si="12"/>
        <v>100</v>
      </c>
      <c r="T29" s="774" t="s">
        <v>17</v>
      </c>
      <c r="U29" s="775">
        <f t="shared" si="13"/>
        <v>100</v>
      </c>
      <c r="V29" s="774" t="s">
        <v>17</v>
      </c>
      <c r="W29" s="775">
        <f t="shared" si="14"/>
        <v>100</v>
      </c>
      <c r="X29" s="1813"/>
      <c r="Y29" s="3167" t="s">
        <v>2556</v>
      </c>
      <c r="Z29" s="1814" t="str">
        <f t="shared" si="15"/>
        <v>建筑类型</v>
      </c>
      <c r="AA29" s="1811">
        <f t="shared" si="3"/>
        <v>1</v>
      </c>
      <c r="AB29" s="1811">
        <f t="shared" si="4"/>
        <v>1</v>
      </c>
      <c r="AC29" s="1811">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67"/>
      <c r="Q30" s="776" t="str">
        <f t="shared" si="11"/>
        <v>项目建筑规模</v>
      </c>
      <c r="R30" s="777" t="s">
        <v>17</v>
      </c>
      <c r="S30" s="778" t="e">
        <f t="shared" si="12"/>
        <v>#N/A</v>
      </c>
      <c r="T30" s="777" t="s">
        <v>17</v>
      </c>
      <c r="U30" s="778" t="e">
        <f t="shared" si="13"/>
        <v>#N/A</v>
      </c>
      <c r="V30" s="777" t="s">
        <v>17</v>
      </c>
      <c r="W30" s="778" t="e">
        <f t="shared" si="14"/>
        <v>#N/A</v>
      </c>
      <c r="X30" s="779"/>
      <c r="Y30" s="3167"/>
      <c r="Z30" s="780" t="str">
        <f t="shared" si="15"/>
        <v>项目建筑规模</v>
      </c>
      <c r="AA30" s="1811" t="e">
        <f t="shared" si="3"/>
        <v>#N/A</v>
      </c>
      <c r="AB30" s="1811" t="e">
        <f t="shared" si="4"/>
        <v>#N/A</v>
      </c>
      <c r="AC30" s="1811"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67"/>
      <c r="Q31" s="1810" t="str">
        <f t="shared" si="11"/>
        <v>建筑结构</v>
      </c>
      <c r="R31" s="774" t="s">
        <v>17</v>
      </c>
      <c r="S31" s="775">
        <f t="shared" si="12"/>
        <v>100</v>
      </c>
      <c r="T31" s="774" t="s">
        <v>17</v>
      </c>
      <c r="U31" s="775">
        <f t="shared" si="13"/>
        <v>100</v>
      </c>
      <c r="V31" s="774" t="s">
        <v>17</v>
      </c>
      <c r="W31" s="775">
        <f t="shared" si="14"/>
        <v>100</v>
      </c>
      <c r="X31" s="1813"/>
      <c r="Y31" s="3167"/>
      <c r="Z31" s="1814" t="str">
        <f t="shared" si="15"/>
        <v>建筑结构</v>
      </c>
      <c r="AA31" s="1811">
        <f t="shared" si="3"/>
        <v>1</v>
      </c>
      <c r="AB31" s="1811">
        <f t="shared" si="4"/>
        <v>1</v>
      </c>
      <c r="AC31" s="1811">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67"/>
      <c r="Q32" s="1810" t="str">
        <f t="shared" si="11"/>
        <v>公共部分装修</v>
      </c>
      <c r="R32" s="774" t="s">
        <v>17</v>
      </c>
      <c r="S32" s="775">
        <f t="shared" si="12"/>
        <v>100</v>
      </c>
      <c r="T32" s="774" t="s">
        <v>17</v>
      </c>
      <c r="U32" s="775">
        <f t="shared" si="13"/>
        <v>100</v>
      </c>
      <c r="V32" s="774" t="s">
        <v>17</v>
      </c>
      <c r="W32" s="775">
        <f t="shared" si="14"/>
        <v>100</v>
      </c>
      <c r="X32" s="1813"/>
      <c r="Y32" s="3167"/>
      <c r="Z32" s="1814" t="str">
        <f t="shared" si="15"/>
        <v>公共部分装修</v>
      </c>
      <c r="AA32" s="1811">
        <f t="shared" si="3"/>
        <v>1</v>
      </c>
      <c r="AB32" s="1811">
        <f t="shared" si="4"/>
        <v>1</v>
      </c>
      <c r="AC32" s="1811">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67"/>
      <c r="Q33" s="1810" t="str">
        <f t="shared" si="11"/>
        <v>成新度</v>
      </c>
      <c r="R33" s="774" t="s">
        <v>17</v>
      </c>
      <c r="S33" s="775" t="e">
        <f t="shared" si="12"/>
        <v>#N/A</v>
      </c>
      <c r="T33" s="774" t="s">
        <v>17</v>
      </c>
      <c r="U33" s="775" t="e">
        <f t="shared" si="13"/>
        <v>#N/A</v>
      </c>
      <c r="V33" s="774" t="s">
        <v>17</v>
      </c>
      <c r="W33" s="775" t="e">
        <f t="shared" si="14"/>
        <v>#N/A</v>
      </c>
      <c r="X33" s="1813"/>
      <c r="Y33" s="3167"/>
      <c r="Z33" s="1814" t="str">
        <f t="shared" si="15"/>
        <v>成新度</v>
      </c>
      <c r="AA33" s="1811" t="e">
        <f t="shared" si="3"/>
        <v>#N/A</v>
      </c>
      <c r="AB33" s="1811" t="e">
        <f t="shared" si="4"/>
        <v>#N/A</v>
      </c>
      <c r="AC33" s="1811"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67"/>
      <c r="Q34" s="1795" t="str">
        <f t="shared" si="11"/>
        <v>物业管理</v>
      </c>
      <c r="R34" s="770" t="s">
        <v>17</v>
      </c>
      <c r="S34" s="771">
        <f t="shared" si="12"/>
        <v>100</v>
      </c>
      <c r="T34" s="770" t="s">
        <v>17</v>
      </c>
      <c r="U34" s="771">
        <f t="shared" si="13"/>
        <v>100</v>
      </c>
      <c r="V34" s="770" t="s">
        <v>17</v>
      </c>
      <c r="W34" s="771">
        <f t="shared" si="14"/>
        <v>100</v>
      </c>
      <c r="X34" s="772"/>
      <c r="Y34" s="3167"/>
      <c r="Z34" s="55" t="str">
        <f t="shared" si="15"/>
        <v>物业管理</v>
      </c>
      <c r="AA34" s="773">
        <f t="shared" si="3"/>
        <v>1</v>
      </c>
      <c r="AB34" s="773">
        <f t="shared" si="4"/>
        <v>1</v>
      </c>
      <c r="AC34" s="773">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67" t="s">
        <v>2556</v>
      </c>
      <c r="Q35" s="1810" t="str">
        <f t="shared" si="11"/>
        <v>市政基础设施</v>
      </c>
      <c r="R35" s="774" t="s">
        <v>17</v>
      </c>
      <c r="S35" s="775">
        <f t="shared" si="12"/>
        <v>100</v>
      </c>
      <c r="T35" s="774" t="s">
        <v>17</v>
      </c>
      <c r="U35" s="775">
        <f t="shared" si="13"/>
        <v>100</v>
      </c>
      <c r="V35" s="774" t="s">
        <v>17</v>
      </c>
      <c r="W35" s="775">
        <f t="shared" si="14"/>
        <v>100</v>
      </c>
      <c r="X35" s="1813"/>
      <c r="Y35" s="3167" t="s">
        <v>2556</v>
      </c>
      <c r="Z35" s="1814" t="str">
        <f t="shared" si="15"/>
        <v>市政基础设施</v>
      </c>
      <c r="AA35" s="1811">
        <f t="shared" si="3"/>
        <v>1</v>
      </c>
      <c r="AB35" s="1811">
        <f t="shared" si="4"/>
        <v>1</v>
      </c>
      <c r="AC35" s="1811">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67"/>
      <c r="Q36" s="1810" t="str">
        <f t="shared" si="11"/>
        <v>内部装修</v>
      </c>
      <c r="R36" s="774" t="s">
        <v>17</v>
      </c>
      <c r="S36" s="775">
        <f t="shared" si="12"/>
        <v>100</v>
      </c>
      <c r="T36" s="774" t="s">
        <v>17</v>
      </c>
      <c r="U36" s="775">
        <f t="shared" si="13"/>
        <v>100</v>
      </c>
      <c r="V36" s="774" t="s">
        <v>17</v>
      </c>
      <c r="W36" s="775">
        <f t="shared" si="14"/>
        <v>100</v>
      </c>
      <c r="X36" s="1813"/>
      <c r="Y36" s="3167"/>
      <c r="Z36" s="1814" t="str">
        <f t="shared" si="15"/>
        <v>内部装修</v>
      </c>
      <c r="AA36" s="1811">
        <f t="shared" si="3"/>
        <v>1</v>
      </c>
      <c r="AB36" s="1811">
        <f t="shared" si="4"/>
        <v>1</v>
      </c>
      <c r="AC36" s="1811">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67"/>
      <c r="Q37" s="1810" t="str">
        <f t="shared" si="11"/>
        <v>内部装修状况</v>
      </c>
      <c r="R37" s="774" t="s">
        <v>17</v>
      </c>
      <c r="S37" s="775">
        <f t="shared" si="12"/>
        <v>100</v>
      </c>
      <c r="T37" s="774" t="s">
        <v>17</v>
      </c>
      <c r="U37" s="775">
        <f t="shared" si="13"/>
        <v>100</v>
      </c>
      <c r="V37" s="774" t="s">
        <v>17</v>
      </c>
      <c r="W37" s="775">
        <f t="shared" si="14"/>
        <v>100</v>
      </c>
      <c r="X37" s="1813"/>
      <c r="Y37" s="3167"/>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67"/>
      <c r="Q38" s="776">
        <f t="shared" si="11"/>
        <v>111</v>
      </c>
      <c r="R38" s="777" t="s">
        <v>17</v>
      </c>
      <c r="S38" s="778">
        <f t="shared" si="12"/>
        <v>100</v>
      </c>
      <c r="T38" s="777" t="s">
        <v>17</v>
      </c>
      <c r="U38" s="778">
        <f t="shared" si="13"/>
        <v>100</v>
      </c>
      <c r="V38" s="777" t="s">
        <v>17</v>
      </c>
      <c r="W38" s="778">
        <f t="shared" si="14"/>
        <v>100</v>
      </c>
      <c r="X38" s="779"/>
      <c r="Y38" s="3167"/>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67"/>
      <c r="Q39" s="1810">
        <f t="shared" si="11"/>
        <v>111</v>
      </c>
      <c r="R39" s="774" t="s">
        <v>17</v>
      </c>
      <c r="S39" s="775">
        <f t="shared" si="12"/>
        <v>100</v>
      </c>
      <c r="T39" s="774" t="s">
        <v>17</v>
      </c>
      <c r="U39" s="775">
        <f t="shared" si="13"/>
        <v>100</v>
      </c>
      <c r="V39" s="774" t="s">
        <v>17</v>
      </c>
      <c r="W39" s="775">
        <f t="shared" si="14"/>
        <v>100</v>
      </c>
      <c r="X39" s="1813"/>
      <c r="Y39" s="3167"/>
      <c r="Z39" s="1814">
        <f t="shared" si="15"/>
        <v>111</v>
      </c>
      <c r="AA39" s="1811">
        <f t="shared" si="3"/>
        <v>1</v>
      </c>
      <c r="AB39" s="1811">
        <f t="shared" si="4"/>
        <v>1</v>
      </c>
      <c r="AC39" s="1811">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37"/>
      <c r="Q40" s="1810">
        <f t="shared" si="11"/>
        <v>111</v>
      </c>
      <c r="R40" s="774" t="s">
        <v>17</v>
      </c>
      <c r="S40" s="775">
        <f t="shared" si="12"/>
        <v>100</v>
      </c>
      <c r="T40" s="774" t="s">
        <v>17</v>
      </c>
      <c r="U40" s="775">
        <f t="shared" si="13"/>
        <v>100</v>
      </c>
      <c r="V40" s="774" t="s">
        <v>17</v>
      </c>
      <c r="W40" s="775">
        <f t="shared" si="14"/>
        <v>100</v>
      </c>
      <c r="X40" s="1813"/>
      <c r="Y40" s="3237"/>
      <c r="Z40" s="1814">
        <f t="shared" si="15"/>
        <v>111</v>
      </c>
      <c r="AA40" s="1811">
        <f t="shared" si="3"/>
        <v>1</v>
      </c>
      <c r="AB40" s="1811">
        <f t="shared" si="4"/>
        <v>1</v>
      </c>
      <c r="AC40" s="1811">
        <f t="shared" si="5"/>
        <v>1</v>
      </c>
    </row>
    <row r="41" spans="1:29" ht="15">
      <c r="A41" s="479" t="s">
        <v>2568</v>
      </c>
      <c r="B41" s="480"/>
      <c r="C41" s="1407" t="s">
        <v>1</v>
      </c>
      <c r="D41" s="1408"/>
      <c r="E41" s="1409"/>
      <c r="F41" s="1410"/>
      <c r="G41" s="1411"/>
      <c r="H41" s="1412"/>
      <c r="I41" s="1409"/>
      <c r="J41" s="1412"/>
      <c r="K41" s="783"/>
      <c r="L41" s="1143"/>
      <c r="M41" s="1144"/>
      <c r="N41" s="1131"/>
      <c r="O41" s="1144"/>
      <c r="P41" s="3161" t="str">
        <f>A41</f>
        <v>成交单价（元/平方米）</v>
      </c>
      <c r="Q41" s="3161"/>
      <c r="R41" s="3233">
        <f>E41</f>
        <v>0</v>
      </c>
      <c r="S41" s="3233"/>
      <c r="T41" s="3233">
        <f>G41</f>
        <v>0</v>
      </c>
      <c r="U41" s="3233"/>
      <c r="V41" s="3233">
        <f>I41</f>
        <v>0</v>
      </c>
      <c r="W41" s="3233"/>
      <c r="X41" s="759"/>
      <c r="Y41" s="781"/>
      <c r="Z41" s="759"/>
      <c r="AA41" s="759"/>
      <c r="AB41" s="759"/>
      <c r="AC41" s="759"/>
    </row>
    <row r="42" spans="1:29" ht="15.75" thickBot="1">
      <c r="A42" s="486" t="s">
        <v>2660</v>
      </c>
      <c r="B42" s="487"/>
      <c r="C42" s="1413" t="e">
        <f>R43</f>
        <v>#DIV/0!</v>
      </c>
      <c r="D42" s="1414"/>
      <c r="E42" s="1415" t="e">
        <f>R42</f>
        <v>#DIV/0!</v>
      </c>
      <c r="F42" s="1415"/>
      <c r="G42" s="1413" t="e">
        <f>T42</f>
        <v>#DIV/0!</v>
      </c>
      <c r="H42" s="1414"/>
      <c r="I42" s="1415" t="e">
        <f>V42</f>
        <v>#DIV/0!</v>
      </c>
      <c r="J42" s="1414"/>
      <c r="K42" s="784"/>
      <c r="L42" s="1143"/>
      <c r="M42" s="1144"/>
      <c r="N42" s="1131"/>
      <c r="O42" s="1144"/>
      <c r="P42" s="3161" t="str">
        <f>A42</f>
        <v>比较价值（元/平方米）</v>
      </c>
      <c r="Q42" s="3161"/>
      <c r="R42" s="3233" t="e">
        <f>IF(F1="售价",ROUND(PRODUCT(R41,AA7:AA40),0),ROUND(PRODUCT(R41,AA7:AA40),1))</f>
        <v>#DIV/0!</v>
      </c>
      <c r="S42" s="3233"/>
      <c r="T42" s="3233" t="e">
        <f>IF(F1="售价",ROUND(PRODUCT(T41,AB7:AB40),0),ROUND(PRODUCT(T41,AB7:AB40),1))</f>
        <v>#DIV/0!</v>
      </c>
      <c r="U42" s="3233"/>
      <c r="V42" s="3233" t="e">
        <f>IF(F1="售价",ROUND(PRODUCT(V41,AC7:AC40),0),ROUND(PRODUCT(V41,AC7:AC40),1))</f>
        <v>#DIV/0!</v>
      </c>
      <c r="W42" s="3233"/>
      <c r="X42" s="759"/>
      <c r="Y42" s="759"/>
      <c r="Z42" s="759"/>
      <c r="AA42" s="759"/>
      <c r="AB42" s="759"/>
      <c r="AC42" s="759"/>
    </row>
    <row r="43" spans="1:29" ht="15.75" thickBot="1">
      <c r="A43" s="492" t="s">
        <v>2661</v>
      </c>
      <c r="B43" s="493"/>
      <c r="C43" s="1417" t="e">
        <f>R43</f>
        <v>#DIV/0!</v>
      </c>
      <c r="D43" s="1417"/>
      <c r="E43" s="1417"/>
      <c r="F43" s="1417"/>
      <c r="G43" s="1417"/>
      <c r="H43" s="1417"/>
      <c r="I43" s="1417"/>
      <c r="J43" s="1417"/>
      <c r="K43" s="785"/>
      <c r="L43" s="1143"/>
      <c r="M43" s="1144"/>
      <c r="N43" s="1144"/>
      <c r="O43" s="1144"/>
      <c r="P43" s="3158" t="str">
        <f>A43</f>
        <v>估价对象XX用房的比较价值（楼面单价，元/平方米）</v>
      </c>
      <c r="Q43" s="3159"/>
      <c r="R43" s="3232" t="e">
        <f>IF(F1="售价",ROUND(AVERAGE(R42:V42),0),ROUND(AVERAGE(R42:V42),1))</f>
        <v>#DIV/0!</v>
      </c>
      <c r="S43" s="3232"/>
      <c r="T43" s="3232"/>
      <c r="U43" s="3232"/>
      <c r="V43" s="3232"/>
      <c r="W43" s="3232"/>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2665</v>
      </c>
      <c r="B51" s="759"/>
      <c r="C51" s="764"/>
      <c r="D51" s="764"/>
      <c r="E51" s="764"/>
      <c r="F51" s="765"/>
      <c r="G51" s="765"/>
      <c r="H51" s="764"/>
      <c r="I51" s="764"/>
      <c r="J51" s="764"/>
      <c r="K51" s="1160"/>
      <c r="L51" s="1161"/>
      <c r="M51" s="1159"/>
      <c r="N51" s="1159"/>
      <c r="O51" s="1159"/>
      <c r="P51" s="503"/>
      <c r="Q51" s="504"/>
    </row>
    <row r="52" spans="1:17" s="508" customFormat="1" ht="15">
      <c r="A52" s="505" t="s">
        <v>2539</v>
      </c>
      <c r="B52" s="506"/>
      <c r="C52" s="1574" t="str">
        <f>YEAR(C7)&amp;"-"&amp;MONTH(C7)</f>
        <v>2020-7</v>
      </c>
      <c r="D52" s="1575">
        <f>EDATE(C52,-1)</f>
        <v>43983</v>
      </c>
      <c r="E52" s="1575">
        <f t="shared" ref="E52:O52" si="16">EDATE(D52,-1)</f>
        <v>43952</v>
      </c>
      <c r="F52" s="1575">
        <f t="shared" si="16"/>
        <v>43922</v>
      </c>
      <c r="G52" s="1575">
        <f t="shared" si="16"/>
        <v>43891</v>
      </c>
      <c r="H52" s="1575">
        <f t="shared" si="16"/>
        <v>43862</v>
      </c>
      <c r="I52" s="1575">
        <f t="shared" si="16"/>
        <v>43831</v>
      </c>
      <c r="J52" s="1575">
        <f t="shared" si="16"/>
        <v>43800</v>
      </c>
      <c r="K52" s="1575">
        <f t="shared" si="16"/>
        <v>43770</v>
      </c>
      <c r="L52" s="1575">
        <f t="shared" si="16"/>
        <v>43739</v>
      </c>
      <c r="M52" s="1575">
        <f t="shared" si="16"/>
        <v>43709</v>
      </c>
      <c r="N52" s="1575">
        <f t="shared" si="16"/>
        <v>43678</v>
      </c>
      <c r="O52" s="1575">
        <f t="shared" si="16"/>
        <v>43647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2579</v>
      </c>
      <c r="B57" s="528" t="s">
        <v>2545</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2554</v>
      </c>
      <c r="B88" s="528" t="s">
        <v>2603</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2605</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2607</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2608</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2609</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2611</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22"/>
      <c r="F1" s="2583"/>
      <c r="G1" s="1623" t="s">
        <v>2634</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2318</v>
      </c>
      <c r="B2" s="1418" t="e">
        <f ca="1">IF(C2="——",IF(B37="元/平方米",ROUND(C39*D3/10000,0),ROUND(F3*C39/10000,0)),IF(B37="元/平方米",ROUND(C39*D3/10000,0),ROUND(F3*C39/10000,0))-D2)</f>
        <v>#DIV/0!</v>
      </c>
      <c r="C2" s="2585"/>
      <c r="D2" s="1124" t="e">
        <f ca="1">SUMIF(INDIRECT("'"&amp;F2&amp;"'"&amp;"!A:A"),"承租人权益价值",INDIRECT("'"&amp;F2&amp;"'"&amp;"!c:c"))</f>
        <v>#REF!</v>
      </c>
      <c r="E2" s="2586" t="s">
        <v>2319</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9" t="s">
        <v>2639</v>
      </c>
      <c r="AC4" s="3168" t="s">
        <v>2640</v>
      </c>
    </row>
    <row r="5" spans="1:29" ht="15">
      <c r="A5" s="404"/>
      <c r="B5" s="405"/>
      <c r="C5" s="3192" t="s">
        <v>2533</v>
      </c>
      <c r="D5" s="3193"/>
      <c r="E5" s="3181" t="s">
        <v>2534</v>
      </c>
      <c r="F5" s="3182"/>
      <c r="G5" s="3192" t="s">
        <v>2535</v>
      </c>
      <c r="H5" s="3193"/>
      <c r="I5" s="3192" t="s">
        <v>2536</v>
      </c>
      <c r="J5" s="3193"/>
      <c r="K5" s="610"/>
      <c r="L5" s="1130"/>
      <c r="M5" s="1131"/>
      <c r="N5" s="1131"/>
      <c r="O5" s="1131"/>
      <c r="P5" s="3177"/>
      <c r="Q5" s="3178"/>
      <c r="R5" s="3190"/>
      <c r="S5" s="3191"/>
      <c r="T5" s="3190"/>
      <c r="U5" s="3191"/>
      <c r="V5" s="3163"/>
      <c r="W5" s="3163"/>
      <c r="X5" s="1813"/>
      <c r="Y5" s="3190"/>
      <c r="Z5" s="3191"/>
      <c r="AA5" s="3169"/>
      <c r="AB5" s="3169"/>
      <c r="AC5" s="3169"/>
    </row>
    <row r="6" spans="1:29" ht="15.75" thickBot="1">
      <c r="A6" s="406"/>
      <c r="B6" s="407"/>
      <c r="C6" s="3228" t="s">
        <v>2537</v>
      </c>
      <c r="D6" s="3229"/>
      <c r="E6" s="3230" t="s">
        <v>2537</v>
      </c>
      <c r="F6" s="3231"/>
      <c r="G6" s="3228" t="s">
        <v>2537</v>
      </c>
      <c r="H6" s="3229"/>
      <c r="I6" s="3228" t="s">
        <v>2537</v>
      </c>
      <c r="J6" s="3229"/>
      <c r="K6" s="610" t="s">
        <v>2538</v>
      </c>
      <c r="L6" s="1130"/>
      <c r="M6" s="1131"/>
      <c r="N6" s="1131"/>
      <c r="O6" s="1131"/>
      <c r="P6" s="3179"/>
      <c r="Q6" s="3180"/>
      <c r="R6" s="3190"/>
      <c r="S6" s="3191"/>
      <c r="T6" s="3199"/>
      <c r="U6" s="3200"/>
      <c r="V6" s="3163"/>
      <c r="W6" s="3163"/>
      <c r="X6" s="1813"/>
      <c r="Y6" s="3199"/>
      <c r="Z6" s="3200"/>
      <c r="AA6" s="3170"/>
      <c r="AB6" s="3170"/>
      <c r="AC6" s="3170"/>
    </row>
    <row r="7" spans="1:29" s="117" customFormat="1" ht="15.75" thickBot="1">
      <c r="A7" s="408" t="s">
        <v>2539</v>
      </c>
      <c r="B7" s="409"/>
      <c r="C7" s="410">
        <f>'数据-取费表'!B2</f>
        <v>44015</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3" t="s">
        <v>2540</v>
      </c>
      <c r="Q7" s="3196"/>
      <c r="R7" s="770" t="s">
        <v>17</v>
      </c>
      <c r="S7" s="771">
        <f t="shared" ref="S7:S14" si="0">F7</f>
        <v>0</v>
      </c>
      <c r="T7" s="770" t="s">
        <v>17</v>
      </c>
      <c r="U7" s="771">
        <f t="shared" ref="U7:U14" si="1">H7</f>
        <v>0</v>
      </c>
      <c r="V7" s="770" t="s">
        <v>17</v>
      </c>
      <c r="W7" s="771">
        <f t="shared" ref="W7:W14" si="2">J7</f>
        <v>0</v>
      </c>
      <c r="X7" s="772"/>
      <c r="Y7" s="3183" t="s">
        <v>2540</v>
      </c>
      <c r="Z7" s="3184"/>
      <c r="AA7" s="773" t="e">
        <f>D7/F7</f>
        <v>#DIV/0!</v>
      </c>
      <c r="AB7" s="773" t="e">
        <f>D7/H7</f>
        <v>#DIV/0!</v>
      </c>
      <c r="AC7" s="773"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3" t="s">
        <v>2543</v>
      </c>
      <c r="Q8" s="3184"/>
      <c r="R8" s="770" t="s">
        <v>17</v>
      </c>
      <c r="S8" s="771">
        <f t="shared" si="0"/>
        <v>0</v>
      </c>
      <c r="T8" s="770" t="s">
        <v>17</v>
      </c>
      <c r="U8" s="771">
        <f t="shared" si="1"/>
        <v>0</v>
      </c>
      <c r="V8" s="770" t="s">
        <v>17</v>
      </c>
      <c r="W8" s="771">
        <f t="shared" si="2"/>
        <v>0</v>
      </c>
      <c r="X8" s="772"/>
      <c r="Y8" s="3183" t="s">
        <v>2543</v>
      </c>
      <c r="Z8" s="3184"/>
      <c r="AA8" s="773" t="e">
        <f t="shared" ref="AA8:AA36" si="3">D8/F8</f>
        <v>#DIV/0!</v>
      </c>
      <c r="AB8" s="773" t="e">
        <f t="shared" ref="AB8:AB36" si="4">D8/H8</f>
        <v>#DIV/0!</v>
      </c>
      <c r="AC8" s="773"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61" t="s">
        <v>2546</v>
      </c>
      <c r="Q9" s="1795" t="str">
        <f t="shared" ref="Q9:Q14" si="6">B9</f>
        <v>用途</v>
      </c>
      <c r="R9" s="770" t="s">
        <v>17</v>
      </c>
      <c r="S9" s="771">
        <f t="shared" si="0"/>
        <v>100</v>
      </c>
      <c r="T9" s="770" t="s">
        <v>17</v>
      </c>
      <c r="U9" s="771">
        <f t="shared" si="1"/>
        <v>100</v>
      </c>
      <c r="V9" s="770" t="s">
        <v>17</v>
      </c>
      <c r="W9" s="771">
        <f t="shared" si="2"/>
        <v>100</v>
      </c>
      <c r="X9" s="772"/>
      <c r="Y9" s="3035" t="s">
        <v>2547</v>
      </c>
      <c r="Z9" s="55" t="str">
        <f t="shared" ref="Z9:Z14" si="7">Q9</f>
        <v>用途</v>
      </c>
      <c r="AA9" s="773">
        <f t="shared" si="3"/>
        <v>1</v>
      </c>
      <c r="AB9" s="773">
        <f t="shared" si="4"/>
        <v>1</v>
      </c>
      <c r="AC9" s="773">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61"/>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61"/>
      <c r="Q11" s="1795">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61"/>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61"/>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85.5">
      <c r="A14" s="401" t="s">
        <v>2550</v>
      </c>
      <c r="B14" s="629" t="s">
        <v>2700</v>
      </c>
      <c r="C14" s="2692"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64" t="s">
        <v>2551</v>
      </c>
      <c r="Q14" s="1810" t="str">
        <f t="shared" si="6"/>
        <v>交通便捷度</v>
      </c>
      <c r="R14" s="774" t="s">
        <v>17</v>
      </c>
      <c r="S14" s="775">
        <f t="shared" si="0"/>
        <v>100</v>
      </c>
      <c r="T14" s="774" t="s">
        <v>17</v>
      </c>
      <c r="U14" s="775">
        <f t="shared" si="1"/>
        <v>100</v>
      </c>
      <c r="V14" s="774" t="s">
        <v>17</v>
      </c>
      <c r="W14" s="775">
        <f t="shared" si="2"/>
        <v>100</v>
      </c>
      <c r="X14" s="1813"/>
      <c r="Y14" s="3164" t="s">
        <v>2551</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65"/>
      <c r="Q15" s="1810"/>
      <c r="R15" s="774"/>
      <c r="S15" s="775"/>
      <c r="T15" s="774"/>
      <c r="U15" s="775"/>
      <c r="V15" s="774"/>
      <c r="W15" s="775"/>
      <c r="X15" s="1813"/>
      <c r="Y15" s="3165"/>
      <c r="Z15" s="1814"/>
      <c r="AA15" s="1811">
        <v>1</v>
      </c>
      <c r="AB15" s="1811">
        <v>1</v>
      </c>
      <c r="AC15" s="1811">
        <v>1</v>
      </c>
    </row>
    <row r="16" spans="1:29" ht="42.75">
      <c r="A16" s="404"/>
      <c r="B16" s="631" t="s">
        <v>2679</v>
      </c>
      <c r="C16" s="2606"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65"/>
      <c r="Q16" s="1810" t="str">
        <f>B16</f>
        <v>公共配套设施</v>
      </c>
      <c r="R16" s="774" t="s">
        <v>17</v>
      </c>
      <c r="S16" s="775">
        <f>F16</f>
        <v>100</v>
      </c>
      <c r="T16" s="774" t="s">
        <v>17</v>
      </c>
      <c r="U16" s="775">
        <f>H16</f>
        <v>100</v>
      </c>
      <c r="V16" s="774" t="s">
        <v>17</v>
      </c>
      <c r="W16" s="775">
        <f>J16</f>
        <v>100</v>
      </c>
      <c r="X16" s="1813"/>
      <c r="Y16" s="3165"/>
      <c r="Z16" s="1814" t="str">
        <f>Q16</f>
        <v>公共配套设施</v>
      </c>
      <c r="AA16" s="1811">
        <f t="shared" si="3"/>
        <v>1</v>
      </c>
      <c r="AB16" s="1811">
        <f t="shared" si="4"/>
        <v>1</v>
      </c>
      <c r="AC16" s="1811">
        <f t="shared" si="5"/>
        <v>1</v>
      </c>
    </row>
    <row r="17" spans="1:29" ht="15">
      <c r="A17" s="404"/>
      <c r="B17" s="632"/>
      <c r="C17" s="2607"/>
      <c r="D17" s="448"/>
      <c r="E17" s="447"/>
      <c r="F17" s="449"/>
      <c r="G17" s="447"/>
      <c r="H17" s="448"/>
      <c r="I17" s="447"/>
      <c r="J17" s="448"/>
      <c r="K17" s="615"/>
      <c r="L17" s="1140"/>
      <c r="M17" s="1131"/>
      <c r="N17" s="1131"/>
      <c r="O17" s="1131"/>
      <c r="P17" s="3165"/>
      <c r="Q17" s="1810"/>
      <c r="R17" s="774"/>
      <c r="S17" s="775"/>
      <c r="T17" s="774"/>
      <c r="U17" s="775"/>
      <c r="V17" s="774"/>
      <c r="W17" s="775"/>
      <c r="X17" s="1813"/>
      <c r="Y17" s="3165"/>
      <c r="Z17" s="1814"/>
      <c r="AA17" s="1811">
        <v>1</v>
      </c>
      <c r="AB17" s="1811">
        <v>1</v>
      </c>
      <c r="AC17" s="1811">
        <v>1</v>
      </c>
    </row>
    <row r="18" spans="1:29" ht="28.5">
      <c r="A18" s="404"/>
      <c r="B18" s="633" t="s">
        <v>2680</v>
      </c>
      <c r="C18" s="2606"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65"/>
      <c r="Q18" s="1810" t="str">
        <f>B18</f>
        <v>基础设施水平</v>
      </c>
      <c r="R18" s="774" t="s">
        <v>17</v>
      </c>
      <c r="S18" s="775">
        <f>F18</f>
        <v>100</v>
      </c>
      <c r="T18" s="774" t="s">
        <v>17</v>
      </c>
      <c r="U18" s="775">
        <f>H18</f>
        <v>100</v>
      </c>
      <c r="V18" s="774" t="s">
        <v>17</v>
      </c>
      <c r="W18" s="775">
        <f>J18</f>
        <v>100</v>
      </c>
      <c r="X18" s="1813"/>
      <c r="Y18" s="3165"/>
      <c r="Z18" s="1814" t="str">
        <f>Q18</f>
        <v>基础设施水平</v>
      </c>
      <c r="AA18" s="1811">
        <f t="shared" ref="AA18" si="8">D18/F18</f>
        <v>1</v>
      </c>
      <c r="AB18" s="1811">
        <f t="shared" ref="AB18" si="9">D18/H18</f>
        <v>1</v>
      </c>
      <c r="AC18" s="1811">
        <f t="shared" ref="AC18" si="10">D18/J18</f>
        <v>1</v>
      </c>
    </row>
    <row r="19" spans="1:29" ht="15">
      <c r="A19" s="404"/>
      <c r="B19" s="633"/>
      <c r="C19" s="2607"/>
      <c r="D19" s="450"/>
      <c r="E19" s="2607"/>
      <c r="F19" s="453"/>
      <c r="G19" s="2607"/>
      <c r="H19" s="448"/>
      <c r="I19" s="447"/>
      <c r="J19" s="448"/>
      <c r="K19" s="1383"/>
      <c r="L19" s="1140"/>
      <c r="M19" s="1131"/>
      <c r="N19" s="1131"/>
      <c r="O19" s="1131"/>
      <c r="P19" s="3165"/>
      <c r="Q19" s="1810"/>
      <c r="R19" s="774"/>
      <c r="S19" s="775"/>
      <c r="T19" s="774"/>
      <c r="U19" s="775"/>
      <c r="V19" s="774"/>
      <c r="W19" s="775"/>
      <c r="X19" s="1813"/>
      <c r="Y19" s="3165"/>
      <c r="Z19" s="1814"/>
      <c r="AA19" s="1811">
        <v>1</v>
      </c>
      <c r="AB19" s="1811">
        <v>1</v>
      </c>
      <c r="AC19" s="1811">
        <v>1</v>
      </c>
    </row>
    <row r="20" spans="1:29" ht="57">
      <c r="A20" s="404"/>
      <c r="B20" s="631" t="s">
        <v>2701</v>
      </c>
      <c r="C20" s="2606"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65"/>
      <c r="Q20" s="1810" t="str">
        <f>B20</f>
        <v>自然及人文环境</v>
      </c>
      <c r="R20" s="774" t="s">
        <v>17</v>
      </c>
      <c r="S20" s="775">
        <f>F20</f>
        <v>100</v>
      </c>
      <c r="T20" s="774" t="s">
        <v>17</v>
      </c>
      <c r="U20" s="775">
        <f>H20</f>
        <v>100</v>
      </c>
      <c r="V20" s="774" t="s">
        <v>17</v>
      </c>
      <c r="W20" s="775">
        <f>J20</f>
        <v>100</v>
      </c>
      <c r="X20" s="1813"/>
      <c r="Y20" s="3165"/>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65"/>
      <c r="Q21" s="1810"/>
      <c r="R21" s="774"/>
      <c r="S21" s="775"/>
      <c r="T21" s="774"/>
      <c r="U21" s="775"/>
      <c r="V21" s="774"/>
      <c r="W21" s="775"/>
      <c r="X21" s="1813"/>
      <c r="Y21" s="3165"/>
      <c r="Z21" s="1814"/>
      <c r="AA21" s="1811">
        <v>1</v>
      </c>
      <c r="AB21" s="1811">
        <v>1</v>
      </c>
      <c r="AC21" s="1811">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65"/>
      <c r="Q22" s="1810" t="str">
        <f>B22</f>
        <v>楼层</v>
      </c>
      <c r="R22" s="774" t="s">
        <v>17</v>
      </c>
      <c r="S22" s="775">
        <f>F22</f>
        <v>100</v>
      </c>
      <c r="T22" s="774" t="s">
        <v>17</v>
      </c>
      <c r="U22" s="775">
        <f>H22</f>
        <v>100</v>
      </c>
      <c r="V22" s="774" t="s">
        <v>17</v>
      </c>
      <c r="W22" s="775">
        <f>J22</f>
        <v>100</v>
      </c>
      <c r="X22" s="1813"/>
      <c r="Y22" s="3165"/>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65"/>
      <c r="Q23" s="1810">
        <f>B23</f>
        <v>111</v>
      </c>
      <c r="R23" s="774" t="s">
        <v>17</v>
      </c>
      <c r="S23" s="775">
        <f>F23</f>
        <v>100</v>
      </c>
      <c r="T23" s="774" t="s">
        <v>17</v>
      </c>
      <c r="U23" s="775">
        <f>H23</f>
        <v>100</v>
      </c>
      <c r="V23" s="774" t="s">
        <v>17</v>
      </c>
      <c r="W23" s="775">
        <f>J23</f>
        <v>100</v>
      </c>
      <c r="X23" s="1813"/>
      <c r="Y23" s="3165"/>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65"/>
      <c r="Q24" s="1810">
        <f t="shared" ref="Q24:Q36" si="11">B24</f>
        <v>111</v>
      </c>
      <c r="R24" s="774" t="s">
        <v>17</v>
      </c>
      <c r="S24" s="775">
        <f>F24</f>
        <v>100</v>
      </c>
      <c r="T24" s="774" t="s">
        <v>17</v>
      </c>
      <c r="U24" s="775">
        <f>H24</f>
        <v>100</v>
      </c>
      <c r="V24" s="774" t="s">
        <v>17</v>
      </c>
      <c r="W24" s="775">
        <f>J24</f>
        <v>100</v>
      </c>
      <c r="X24" s="1813"/>
      <c r="Y24" s="3165"/>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65"/>
      <c r="Q25" s="1795">
        <f t="shared" si="11"/>
        <v>111</v>
      </c>
      <c r="R25" s="770" t="s">
        <v>17</v>
      </c>
      <c r="S25" s="771">
        <f>F25</f>
        <v>100</v>
      </c>
      <c r="T25" s="770" t="s">
        <v>17</v>
      </c>
      <c r="U25" s="771">
        <f>H25</f>
        <v>100</v>
      </c>
      <c r="V25" s="770" t="s">
        <v>17</v>
      </c>
      <c r="W25" s="771">
        <f>J25</f>
        <v>100</v>
      </c>
      <c r="X25" s="772"/>
      <c r="Y25" s="3165"/>
      <c r="Z25" s="55">
        <f>Q25</f>
        <v>111</v>
      </c>
      <c r="AA25" s="1811">
        <f>D25/F25</f>
        <v>1</v>
      </c>
      <c r="AB25" s="1811">
        <f>D25/H25</f>
        <v>1</v>
      </c>
      <c r="AC25" s="1811">
        <f>D25/J25</f>
        <v>1</v>
      </c>
    </row>
    <row r="26" spans="1:29" ht="28.5">
      <c r="A26" s="652" t="s">
        <v>2554</v>
      </c>
      <c r="B26" s="70" t="s">
        <v>2703</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66" t="s">
        <v>2556</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67" t="s">
        <v>2556</v>
      </c>
      <c r="Z26" s="1814" t="str">
        <f t="shared" ref="Z26:Z36" si="15">Q26</f>
        <v>配套类型</v>
      </c>
      <c r="AA26" s="1811">
        <f t="shared" si="3"/>
        <v>1</v>
      </c>
      <c r="AB26" s="1811">
        <f t="shared" si="4"/>
        <v>1</v>
      </c>
      <c r="AC26" s="1811">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67"/>
      <c r="Q27" s="776" t="str">
        <f t="shared" si="11"/>
        <v>项目停车位配比</v>
      </c>
      <c r="R27" s="777" t="s">
        <v>17</v>
      </c>
      <c r="S27" s="778">
        <f t="shared" si="12"/>
        <v>100</v>
      </c>
      <c r="T27" s="777" t="s">
        <v>17</v>
      </c>
      <c r="U27" s="778">
        <f t="shared" si="13"/>
        <v>100</v>
      </c>
      <c r="V27" s="777" t="s">
        <v>17</v>
      </c>
      <c r="W27" s="778">
        <f t="shared" si="14"/>
        <v>100</v>
      </c>
      <c r="X27" s="779"/>
      <c r="Y27" s="3167"/>
      <c r="Z27" s="780" t="str">
        <f t="shared" si="15"/>
        <v>项目停车位配比</v>
      </c>
      <c r="AA27" s="1811">
        <f t="shared" si="3"/>
        <v>1</v>
      </c>
      <c r="AB27" s="1811">
        <f t="shared" si="4"/>
        <v>1</v>
      </c>
      <c r="AC27" s="1811">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67"/>
      <c r="Q28" s="1810" t="str">
        <f t="shared" si="11"/>
        <v>公共部分装修</v>
      </c>
      <c r="R28" s="774" t="s">
        <v>17</v>
      </c>
      <c r="S28" s="775">
        <f t="shared" si="12"/>
        <v>100</v>
      </c>
      <c r="T28" s="774" t="s">
        <v>17</v>
      </c>
      <c r="U28" s="775">
        <f t="shared" si="13"/>
        <v>100</v>
      </c>
      <c r="V28" s="774" t="s">
        <v>17</v>
      </c>
      <c r="W28" s="775">
        <f t="shared" si="14"/>
        <v>100</v>
      </c>
      <c r="X28" s="1813"/>
      <c r="Y28" s="3167"/>
      <c r="Z28" s="1814" t="str">
        <f t="shared" si="15"/>
        <v>公共部分装修</v>
      </c>
      <c r="AA28" s="1811">
        <f t="shared" si="3"/>
        <v>1</v>
      </c>
      <c r="AB28" s="1811">
        <f t="shared" si="4"/>
        <v>1</v>
      </c>
      <c r="AC28" s="1811">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67"/>
      <c r="Q29" s="1810" t="str">
        <f t="shared" si="11"/>
        <v>成新率</v>
      </c>
      <c r="R29" s="774" t="s">
        <v>17</v>
      </c>
      <c r="S29" s="775" t="e">
        <f t="shared" si="12"/>
        <v>#N/A</v>
      </c>
      <c r="T29" s="774" t="s">
        <v>17</v>
      </c>
      <c r="U29" s="775" t="e">
        <f t="shared" si="13"/>
        <v>#N/A</v>
      </c>
      <c r="V29" s="774" t="s">
        <v>17</v>
      </c>
      <c r="W29" s="775" t="e">
        <f t="shared" si="14"/>
        <v>#N/A</v>
      </c>
      <c r="X29" s="1813"/>
      <c r="Y29" s="3167"/>
      <c r="Z29" s="1814" t="str">
        <f t="shared" si="15"/>
        <v>成新率</v>
      </c>
      <c r="AA29" s="1811" t="e">
        <f t="shared" si="3"/>
        <v>#N/A</v>
      </c>
      <c r="AB29" s="1811" t="e">
        <f t="shared" si="4"/>
        <v>#N/A</v>
      </c>
      <c r="AC29" s="1811"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67"/>
      <c r="Q30" s="1810" t="str">
        <f t="shared" si="11"/>
        <v>物业等级</v>
      </c>
      <c r="R30" s="774" t="s">
        <v>17</v>
      </c>
      <c r="S30" s="775">
        <f t="shared" si="12"/>
        <v>100</v>
      </c>
      <c r="T30" s="774" t="s">
        <v>17</v>
      </c>
      <c r="U30" s="775">
        <f t="shared" si="13"/>
        <v>100</v>
      </c>
      <c r="V30" s="774" t="s">
        <v>17</v>
      </c>
      <c r="W30" s="775">
        <f t="shared" si="14"/>
        <v>100</v>
      </c>
      <c r="X30" s="1813"/>
      <c r="Y30" s="3167"/>
      <c r="Z30" s="1814" t="str">
        <f t="shared" si="15"/>
        <v>物业等级</v>
      </c>
      <c r="AA30" s="1811">
        <f t="shared" si="3"/>
        <v>1</v>
      </c>
      <c r="AB30" s="1811">
        <f t="shared" si="4"/>
        <v>1</v>
      </c>
      <c r="AC30" s="1811">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67"/>
      <c r="Q31" s="1795" t="str">
        <f t="shared" si="11"/>
        <v>停车位面积</v>
      </c>
      <c r="R31" s="770" t="s">
        <v>17</v>
      </c>
      <c r="S31" s="771" t="e">
        <f t="shared" si="12"/>
        <v>#N/A</v>
      </c>
      <c r="T31" s="770" t="s">
        <v>17</v>
      </c>
      <c r="U31" s="771" t="e">
        <f t="shared" si="13"/>
        <v>#N/A</v>
      </c>
      <c r="V31" s="770" t="s">
        <v>17</v>
      </c>
      <c r="W31" s="771" t="e">
        <f t="shared" si="14"/>
        <v>#N/A</v>
      </c>
      <c r="X31" s="772"/>
      <c r="Y31" s="3167"/>
      <c r="Z31" s="55" t="str">
        <f t="shared" si="15"/>
        <v>停车位面积</v>
      </c>
      <c r="AA31" s="773" t="e">
        <f t="shared" si="3"/>
        <v>#N/A</v>
      </c>
      <c r="AB31" s="773" t="e">
        <f t="shared" si="4"/>
        <v>#N/A</v>
      </c>
      <c r="AC31" s="773"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67" t="s">
        <v>2556</v>
      </c>
      <c r="Q32" s="1810" t="str">
        <f t="shared" si="11"/>
        <v>车位类型</v>
      </c>
      <c r="R32" s="774" t="s">
        <v>17</v>
      </c>
      <c r="S32" s="775">
        <f t="shared" si="12"/>
        <v>100</v>
      </c>
      <c r="T32" s="774" t="s">
        <v>17</v>
      </c>
      <c r="U32" s="775">
        <f t="shared" si="13"/>
        <v>100</v>
      </c>
      <c r="V32" s="774" t="s">
        <v>17</v>
      </c>
      <c r="W32" s="775">
        <f t="shared" si="14"/>
        <v>100</v>
      </c>
      <c r="X32" s="1813"/>
      <c r="Y32" s="3167" t="s">
        <v>2556</v>
      </c>
      <c r="Z32" s="1814" t="str">
        <f t="shared" si="15"/>
        <v>车位类型</v>
      </c>
      <c r="AA32" s="1811">
        <f t="shared" si="3"/>
        <v>1</v>
      </c>
      <c r="AB32" s="1811">
        <f t="shared" si="4"/>
        <v>1</v>
      </c>
      <c r="AC32" s="1811">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67"/>
      <c r="Q33" s="1810" t="str">
        <f t="shared" si="11"/>
        <v>是否直接入户</v>
      </c>
      <c r="R33" s="774" t="s">
        <v>17</v>
      </c>
      <c r="S33" s="775">
        <f t="shared" si="12"/>
        <v>100</v>
      </c>
      <c r="T33" s="774" t="s">
        <v>17</v>
      </c>
      <c r="U33" s="775">
        <f t="shared" si="13"/>
        <v>100</v>
      </c>
      <c r="V33" s="774" t="s">
        <v>17</v>
      </c>
      <c r="W33" s="775">
        <f t="shared" si="14"/>
        <v>100</v>
      </c>
      <c r="X33" s="1813"/>
      <c r="Y33" s="3167"/>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67"/>
      <c r="Q34" s="1810">
        <f t="shared" si="11"/>
        <v>111</v>
      </c>
      <c r="R34" s="774" t="s">
        <v>17</v>
      </c>
      <c r="S34" s="775">
        <f t="shared" si="12"/>
        <v>100</v>
      </c>
      <c r="T34" s="774" t="s">
        <v>17</v>
      </c>
      <c r="U34" s="775">
        <f t="shared" si="13"/>
        <v>100</v>
      </c>
      <c r="V34" s="774" t="s">
        <v>17</v>
      </c>
      <c r="W34" s="775">
        <f t="shared" si="14"/>
        <v>100</v>
      </c>
      <c r="X34" s="1813"/>
      <c r="Y34" s="3167"/>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67"/>
      <c r="Q35" s="776">
        <f t="shared" si="11"/>
        <v>111</v>
      </c>
      <c r="R35" s="777" t="s">
        <v>17</v>
      </c>
      <c r="S35" s="778">
        <f t="shared" si="12"/>
        <v>100</v>
      </c>
      <c r="T35" s="777" t="s">
        <v>17</v>
      </c>
      <c r="U35" s="778">
        <f t="shared" si="13"/>
        <v>100</v>
      </c>
      <c r="V35" s="777" t="s">
        <v>17</v>
      </c>
      <c r="W35" s="778">
        <f t="shared" si="14"/>
        <v>100</v>
      </c>
      <c r="X35" s="779"/>
      <c r="Y35" s="3167"/>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67"/>
      <c r="Q36" s="1810">
        <f t="shared" si="11"/>
        <v>111</v>
      </c>
      <c r="R36" s="774" t="s">
        <v>17</v>
      </c>
      <c r="S36" s="775">
        <f t="shared" si="12"/>
        <v>100</v>
      </c>
      <c r="T36" s="774" t="s">
        <v>17</v>
      </c>
      <c r="U36" s="775">
        <f t="shared" si="13"/>
        <v>100</v>
      </c>
      <c r="V36" s="774" t="s">
        <v>17</v>
      </c>
      <c r="W36" s="775">
        <f t="shared" si="14"/>
        <v>100</v>
      </c>
      <c r="X36" s="1813"/>
      <c r="Y36" s="3167"/>
      <c r="Z36" s="1814">
        <f t="shared" si="15"/>
        <v>111</v>
      </c>
      <c r="AA36" s="1811">
        <f t="shared" si="3"/>
        <v>1</v>
      </c>
      <c r="AB36" s="1811">
        <f t="shared" si="4"/>
        <v>1</v>
      </c>
      <c r="AC36" s="1811">
        <f t="shared" si="5"/>
        <v>1</v>
      </c>
    </row>
    <row r="37" spans="1:29" ht="15">
      <c r="A37" s="479" t="s">
        <v>2711</v>
      </c>
      <c r="B37" s="2694" t="s">
        <v>2712</v>
      </c>
      <c r="C37" s="1407" t="s">
        <v>1</v>
      </c>
      <c r="D37" s="1408"/>
      <c r="E37" s="1409"/>
      <c r="F37" s="1410"/>
      <c r="G37" s="1411"/>
      <c r="H37" s="1412"/>
      <c r="I37" s="1409"/>
      <c r="J37" s="1412"/>
      <c r="K37" s="619"/>
      <c r="L37" s="1143"/>
      <c r="M37" s="1144"/>
      <c r="N37" s="1131"/>
      <c r="O37" s="1144"/>
      <c r="P37" s="3161" t="str">
        <f>A37</f>
        <v>成交单价</v>
      </c>
      <c r="Q37" s="3161"/>
      <c r="R37" s="3233">
        <f>E37</f>
        <v>0</v>
      </c>
      <c r="S37" s="3233"/>
      <c r="T37" s="3233">
        <f>G37</f>
        <v>0</v>
      </c>
      <c r="U37" s="3233"/>
      <c r="V37" s="3233">
        <f>I37</f>
        <v>0</v>
      </c>
      <c r="W37" s="3233"/>
      <c r="X37" s="759"/>
      <c r="Y37" s="781"/>
      <c r="Z37" s="759"/>
      <c r="AA37" s="759"/>
      <c r="AB37" s="759"/>
      <c r="AC37" s="759"/>
    </row>
    <row r="38" spans="1:29" ht="15.75" thickBot="1">
      <c r="A38" s="486" t="s">
        <v>2713</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61" t="str">
        <f>A38</f>
        <v>比较价值（元/平方米）</v>
      </c>
      <c r="Q38" s="3161"/>
      <c r="R38" s="3233" t="e">
        <f>IF(F1="售价",ROUND(PRODUCT(R37,AA7:AA36),0),ROUND(PRODUCT(R37,AA7:AA36),1))</f>
        <v>#DIV/0!</v>
      </c>
      <c r="S38" s="3233"/>
      <c r="T38" s="3233" t="e">
        <f>IF(F1="售价",ROUND(PRODUCT(T37,AB7:AB36),0),ROUND(PRODUCT(T37,AB7:AB36),1))</f>
        <v>#DIV/0!</v>
      </c>
      <c r="U38" s="3233"/>
      <c r="V38" s="3233" t="e">
        <f>IF(F1="售价",ROUND(PRODUCT(V37,AC7:AC36),0),ROUND(PRODUCT(V37,AC7:AC36),1))</f>
        <v>#DIV/0!</v>
      </c>
      <c r="W38" s="3233"/>
      <c r="X38" s="759"/>
      <c r="Y38" s="759"/>
      <c r="Z38" s="759"/>
      <c r="AA38" s="759"/>
      <c r="AB38" s="759"/>
      <c r="AC38" s="759"/>
    </row>
    <row r="39" spans="1:29" ht="15.75" thickBot="1">
      <c r="A39" s="492" t="s">
        <v>2714</v>
      </c>
      <c r="B39" s="493"/>
      <c r="C39" s="1417" t="e">
        <f>R39</f>
        <v>#DIV/0!</v>
      </c>
      <c r="D39" s="1417"/>
      <c r="E39" s="1417"/>
      <c r="F39" s="1417"/>
      <c r="G39" s="1417"/>
      <c r="H39" s="1417"/>
      <c r="I39" s="1417"/>
      <c r="J39" s="1417"/>
      <c r="K39" s="621"/>
      <c r="L39" s="1143"/>
      <c r="M39" s="1144"/>
      <c r="N39" s="1144"/>
      <c r="O39" s="1144"/>
      <c r="P39" s="3158" t="str">
        <f>A39</f>
        <v>估价对象XX用房的比较价值（楼面单价，元/平方米）</v>
      </c>
      <c r="Q39" s="3159"/>
      <c r="R39" s="3232" t="e">
        <f>IF(F1="售价",ROUND(AVERAGE(R38:V38),0),ROUND(AVERAGE(R38:V38),1))</f>
        <v>#DIV/0!</v>
      </c>
      <c r="S39" s="3232"/>
      <c r="T39" s="3232"/>
      <c r="U39" s="3232"/>
      <c r="V39" s="3232"/>
      <c r="W39" s="3232"/>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2719</v>
      </c>
      <c r="B48" s="506"/>
      <c r="C48" s="1574" t="str">
        <f>YEAR(C7)&amp;"-"&amp;MONTH(C7)</f>
        <v>2020-7</v>
      </c>
      <c r="D48" s="1575">
        <f>EDATE(C48,-1)</f>
        <v>43983</v>
      </c>
      <c r="E48" s="1575">
        <f t="shared" ref="E48:O48" si="16">EDATE(D48,-1)</f>
        <v>43952</v>
      </c>
      <c r="F48" s="1575">
        <f t="shared" si="16"/>
        <v>43922</v>
      </c>
      <c r="G48" s="1575">
        <f t="shared" si="16"/>
        <v>43891</v>
      </c>
      <c r="H48" s="1575">
        <f t="shared" si="16"/>
        <v>43862</v>
      </c>
      <c r="I48" s="1575">
        <f t="shared" si="16"/>
        <v>43831</v>
      </c>
      <c r="J48" s="1575">
        <f t="shared" si="16"/>
        <v>43800</v>
      </c>
      <c r="K48" s="1575">
        <f t="shared" si="16"/>
        <v>43770</v>
      </c>
      <c r="L48" s="1575">
        <f t="shared" si="16"/>
        <v>43739</v>
      </c>
      <c r="M48" s="1575">
        <f t="shared" si="16"/>
        <v>43709</v>
      </c>
      <c r="N48" s="1575">
        <f t="shared" si="16"/>
        <v>43678</v>
      </c>
      <c r="O48" s="1575">
        <f t="shared" si="16"/>
        <v>43647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2576</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2541</v>
      </c>
      <c r="B51" s="510"/>
      <c r="C51" s="522" t="s">
        <v>2643</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2579</v>
      </c>
      <c r="B53" s="528" t="s">
        <v>2545</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2594</v>
      </c>
      <c r="C65" s="578" t="s">
        <v>2588</v>
      </c>
      <c r="D65" s="578" t="s">
        <v>2589</v>
      </c>
      <c r="E65" s="578" t="s">
        <v>2590</v>
      </c>
      <c r="F65" s="578" t="s">
        <v>2591</v>
      </c>
      <c r="G65" s="578" t="s">
        <v>2592</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2680</v>
      </c>
      <c r="C67" s="660" t="s">
        <v>2666</v>
      </c>
      <c r="D67" s="660" t="s">
        <v>2667</v>
      </c>
      <c r="E67" s="660" t="s">
        <v>2668</v>
      </c>
      <c r="F67" s="660" t="s">
        <v>2669</v>
      </c>
      <c r="G67" s="660" t="s">
        <v>2670</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2600</v>
      </c>
      <c r="C69" s="578" t="s">
        <v>2588</v>
      </c>
      <c r="D69" s="578" t="s">
        <v>2589</v>
      </c>
      <c r="E69" s="578" t="s">
        <v>2590</v>
      </c>
      <c r="F69" s="578" t="s">
        <v>2591</v>
      </c>
      <c r="G69" s="578" t="s">
        <v>2592</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2720</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2554</v>
      </c>
      <c r="B79" s="528" t="s">
        <v>2721</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2722</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2607</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2724</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2726</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2727</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30"/>
      <c r="F1" s="2583"/>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IF(C2="——",ROUND(C37*D3/10000,0),ROUND(C37*D3/10000,0)-D2)</f>
        <v>#DIV/0!</v>
      </c>
      <c r="C2" s="2585"/>
      <c r="D2" s="1124" t="e">
        <f ca="1">SUMIF(INDIRECT("'"&amp;F2&amp;"'"&amp;"!A:A"),"承租人权益价值",INDIRECT("'"&amp;F2&amp;"'"&amp;"!c:c"))</f>
        <v>#REF!</v>
      </c>
      <c r="E2" s="2586" t="s">
        <v>2319</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9" t="s">
        <v>2639</v>
      </c>
      <c r="AC4" s="3168" t="s">
        <v>2640</v>
      </c>
    </row>
    <row r="5" spans="1:29" ht="15">
      <c r="A5" s="404"/>
      <c r="B5" s="405"/>
      <c r="C5" s="3192" t="s">
        <v>2533</v>
      </c>
      <c r="D5" s="3193"/>
      <c r="E5" s="3181" t="s">
        <v>2534</v>
      </c>
      <c r="F5" s="3182"/>
      <c r="G5" s="3192" t="s">
        <v>2535</v>
      </c>
      <c r="H5" s="3193"/>
      <c r="I5" s="3192" t="s">
        <v>2536</v>
      </c>
      <c r="J5" s="3193"/>
      <c r="K5" s="610"/>
      <c r="L5" s="1130"/>
      <c r="M5" s="1131"/>
      <c r="N5" s="1131"/>
      <c r="O5" s="1131"/>
      <c r="P5" s="3177"/>
      <c r="Q5" s="3178"/>
      <c r="R5" s="3190"/>
      <c r="S5" s="3191"/>
      <c r="T5" s="3190"/>
      <c r="U5" s="3191"/>
      <c r="V5" s="3163"/>
      <c r="W5" s="3163"/>
      <c r="X5" s="1813"/>
      <c r="Y5" s="3190"/>
      <c r="Z5" s="3191"/>
      <c r="AA5" s="3169"/>
      <c r="AB5" s="3169"/>
      <c r="AC5" s="3169"/>
    </row>
    <row r="6" spans="1:29" ht="15.75" thickBot="1">
      <c r="A6" s="406"/>
      <c r="B6" s="407"/>
      <c r="C6" s="3228" t="s">
        <v>2537</v>
      </c>
      <c r="D6" s="3229"/>
      <c r="E6" s="3230" t="s">
        <v>2537</v>
      </c>
      <c r="F6" s="3231"/>
      <c r="G6" s="3228" t="s">
        <v>2537</v>
      </c>
      <c r="H6" s="3229"/>
      <c r="I6" s="3228" t="s">
        <v>2537</v>
      </c>
      <c r="J6" s="3229"/>
      <c r="K6" s="610" t="s">
        <v>2538</v>
      </c>
      <c r="L6" s="1130"/>
      <c r="M6" s="1131"/>
      <c r="N6" s="1131"/>
      <c r="O6" s="1131"/>
      <c r="P6" s="3179"/>
      <c r="Q6" s="3180"/>
      <c r="R6" s="3190"/>
      <c r="S6" s="3191"/>
      <c r="T6" s="3199"/>
      <c r="U6" s="3200"/>
      <c r="V6" s="3163"/>
      <c r="W6" s="3163"/>
      <c r="X6" s="1813"/>
      <c r="Y6" s="3199"/>
      <c r="Z6" s="3200"/>
      <c r="AA6" s="3170"/>
      <c r="AB6" s="3170"/>
      <c r="AC6" s="3170"/>
    </row>
    <row r="7" spans="1:29" s="117" customFormat="1" ht="15.75" thickBot="1">
      <c r="A7" s="408" t="s">
        <v>2539</v>
      </c>
      <c r="B7" s="409"/>
      <c r="C7" s="410">
        <f>'数据-取费表'!B2</f>
        <v>44015</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183" t="s">
        <v>2540</v>
      </c>
      <c r="Q7" s="3196"/>
      <c r="R7" s="770" t="s">
        <v>17</v>
      </c>
      <c r="S7" s="771">
        <f t="shared" ref="S7:S14" si="0">F7</f>
        <v>0</v>
      </c>
      <c r="T7" s="770" t="s">
        <v>17</v>
      </c>
      <c r="U7" s="771">
        <f t="shared" ref="U7:U14" si="1">H7</f>
        <v>0</v>
      </c>
      <c r="V7" s="770" t="s">
        <v>17</v>
      </c>
      <c r="W7" s="771">
        <f t="shared" ref="W7:W14" si="2">J7</f>
        <v>0</v>
      </c>
      <c r="X7" s="772"/>
      <c r="Y7" s="3183" t="s">
        <v>2540</v>
      </c>
      <c r="Z7" s="3184"/>
      <c r="AA7" s="773" t="e">
        <f>D7/F7</f>
        <v>#DIV/0!</v>
      </c>
      <c r="AB7" s="773" t="e">
        <f>D7/H7</f>
        <v>#DIV/0!</v>
      </c>
      <c r="AC7" s="773"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3" t="s">
        <v>2543</v>
      </c>
      <c r="Q8" s="3184"/>
      <c r="R8" s="770" t="s">
        <v>17</v>
      </c>
      <c r="S8" s="771">
        <f t="shared" si="0"/>
        <v>0</v>
      </c>
      <c r="T8" s="770" t="s">
        <v>17</v>
      </c>
      <c r="U8" s="771">
        <f t="shared" si="1"/>
        <v>0</v>
      </c>
      <c r="V8" s="770" t="s">
        <v>17</v>
      </c>
      <c r="W8" s="771">
        <f t="shared" si="2"/>
        <v>0</v>
      </c>
      <c r="X8" s="772"/>
      <c r="Y8" s="3183" t="s">
        <v>2543</v>
      </c>
      <c r="Z8" s="3184"/>
      <c r="AA8" s="773" t="e">
        <f t="shared" ref="AA8:AA34" si="3">D8/F8</f>
        <v>#DIV/0!</v>
      </c>
      <c r="AB8" s="773" t="e">
        <f t="shared" ref="AB8:AB34" si="4">D8/H8</f>
        <v>#DIV/0!</v>
      </c>
      <c r="AC8" s="773"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61" t="s">
        <v>2546</v>
      </c>
      <c r="Q9" s="1795" t="str">
        <f t="shared" ref="Q9:Q14" si="6">B9</f>
        <v>用途</v>
      </c>
      <c r="R9" s="770" t="s">
        <v>17</v>
      </c>
      <c r="S9" s="771">
        <f t="shared" si="0"/>
        <v>100</v>
      </c>
      <c r="T9" s="770" t="s">
        <v>17</v>
      </c>
      <c r="U9" s="771">
        <f t="shared" si="1"/>
        <v>100</v>
      </c>
      <c r="V9" s="770" t="s">
        <v>17</v>
      </c>
      <c r="W9" s="771">
        <f t="shared" si="2"/>
        <v>100</v>
      </c>
      <c r="X9" s="772"/>
      <c r="Y9" s="3035" t="s">
        <v>2547</v>
      </c>
      <c r="Z9" s="55" t="str">
        <f t="shared" ref="Z9:Z14" si="7">Q9</f>
        <v>用途</v>
      </c>
      <c r="AA9" s="773">
        <f t="shared" si="3"/>
        <v>1</v>
      </c>
      <c r="AB9" s="773">
        <f t="shared" si="4"/>
        <v>1</v>
      </c>
      <c r="AC9" s="773">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61"/>
      <c r="Q10" s="1795"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61"/>
      <c r="Q11" s="1795">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61"/>
      <c r="Q12" s="1795">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161"/>
      <c r="Q13" s="1795">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85.5">
      <c r="A14" s="440" t="s">
        <v>2550</v>
      </c>
      <c r="B14" s="69" t="s">
        <v>2700</v>
      </c>
      <c r="C14" s="2692"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64" t="s">
        <v>2551</v>
      </c>
      <c r="Q14" s="1810" t="str">
        <f t="shared" si="6"/>
        <v>交通便捷度</v>
      </c>
      <c r="R14" s="774" t="s">
        <v>17</v>
      </c>
      <c r="S14" s="775">
        <f t="shared" si="0"/>
        <v>100</v>
      </c>
      <c r="T14" s="774" t="s">
        <v>17</v>
      </c>
      <c r="U14" s="775">
        <f t="shared" si="1"/>
        <v>100</v>
      </c>
      <c r="V14" s="774" t="s">
        <v>17</v>
      </c>
      <c r="W14" s="775">
        <f t="shared" si="2"/>
        <v>100</v>
      </c>
      <c r="X14" s="1813"/>
      <c r="Y14" s="3164" t="s">
        <v>2551</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65"/>
      <c r="Q15" s="1810"/>
      <c r="R15" s="774"/>
      <c r="S15" s="775"/>
      <c r="T15" s="774"/>
      <c r="U15" s="775"/>
      <c r="V15" s="774"/>
      <c r="W15" s="775"/>
      <c r="X15" s="1813"/>
      <c r="Y15" s="3165"/>
      <c r="Z15" s="1814"/>
      <c r="AA15" s="1811">
        <v>1</v>
      </c>
      <c r="AB15" s="1811">
        <v>1</v>
      </c>
      <c r="AC15" s="1811">
        <v>1</v>
      </c>
    </row>
    <row r="16" spans="1:29" ht="42.75">
      <c r="A16" s="428"/>
      <c r="B16" s="451" t="s">
        <v>2679</v>
      </c>
      <c r="C16" s="2606"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65"/>
      <c r="Q16" s="1810" t="str">
        <f>B16</f>
        <v>公共配套设施</v>
      </c>
      <c r="R16" s="774" t="s">
        <v>17</v>
      </c>
      <c r="S16" s="775">
        <f>F16</f>
        <v>100</v>
      </c>
      <c r="T16" s="774" t="s">
        <v>17</v>
      </c>
      <c r="U16" s="775">
        <f>H16</f>
        <v>100</v>
      </c>
      <c r="V16" s="774" t="s">
        <v>17</v>
      </c>
      <c r="W16" s="775">
        <f>J16</f>
        <v>100</v>
      </c>
      <c r="X16" s="1813"/>
      <c r="Y16" s="3165"/>
      <c r="Z16" s="1814" t="str">
        <f>Q16</f>
        <v>公共配套设施</v>
      </c>
      <c r="AA16" s="1811">
        <f t="shared" si="3"/>
        <v>1</v>
      </c>
      <c r="AB16" s="1811">
        <f t="shared" si="4"/>
        <v>1</v>
      </c>
      <c r="AC16" s="1811">
        <f t="shared" si="5"/>
        <v>1</v>
      </c>
    </row>
    <row r="17" spans="1:29" ht="15">
      <c r="A17" s="428"/>
      <c r="B17" s="456"/>
      <c r="C17" s="2607"/>
      <c r="D17" s="448"/>
      <c r="E17" s="447"/>
      <c r="F17" s="449"/>
      <c r="G17" s="447"/>
      <c r="H17" s="448"/>
      <c r="I17" s="447"/>
      <c r="J17" s="448"/>
      <c r="K17" s="615"/>
      <c r="L17" s="1140"/>
      <c r="M17" s="1131"/>
      <c r="N17" s="1131"/>
      <c r="O17" s="1139"/>
      <c r="P17" s="3165"/>
      <c r="Q17" s="1810"/>
      <c r="R17" s="774"/>
      <c r="S17" s="775"/>
      <c r="T17" s="774"/>
      <c r="U17" s="775"/>
      <c r="V17" s="774"/>
      <c r="W17" s="775"/>
      <c r="X17" s="1813"/>
      <c r="Y17" s="3165"/>
      <c r="Z17" s="1814"/>
      <c r="AA17" s="1811">
        <v>1</v>
      </c>
      <c r="AB17" s="1811">
        <v>1</v>
      </c>
      <c r="AC17" s="1811">
        <v>1</v>
      </c>
    </row>
    <row r="18" spans="1:29" ht="28.5">
      <c r="A18" s="428"/>
      <c r="B18" s="1384" t="s">
        <v>2680</v>
      </c>
      <c r="C18" s="2606"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65"/>
      <c r="Q18" s="1810" t="str">
        <f>B18</f>
        <v>基础设施水平</v>
      </c>
      <c r="R18" s="774" t="s">
        <v>17</v>
      </c>
      <c r="S18" s="775">
        <f>F18</f>
        <v>100</v>
      </c>
      <c r="T18" s="774" t="s">
        <v>17</v>
      </c>
      <c r="U18" s="775">
        <f>H18</f>
        <v>100</v>
      </c>
      <c r="V18" s="774" t="s">
        <v>17</v>
      </c>
      <c r="W18" s="775">
        <f>J18</f>
        <v>100</v>
      </c>
      <c r="X18" s="1813"/>
      <c r="Y18" s="3165"/>
      <c r="Z18" s="1814" t="str">
        <f>Q18</f>
        <v>基础设施水平</v>
      </c>
      <c r="AA18" s="1811">
        <f t="shared" ref="AA18" si="8">D18/F18</f>
        <v>1</v>
      </c>
      <c r="AB18" s="1811">
        <f t="shared" ref="AB18" si="9">D18/H18</f>
        <v>1</v>
      </c>
      <c r="AC18" s="1811">
        <f t="shared" ref="AC18" si="10">D18/J18</f>
        <v>1</v>
      </c>
    </row>
    <row r="19" spans="1:29" ht="15">
      <c r="A19" s="428"/>
      <c r="B19" s="1384"/>
      <c r="C19" s="2607"/>
      <c r="D19" s="450"/>
      <c r="E19" s="2607"/>
      <c r="F19" s="453"/>
      <c r="G19" s="2607"/>
      <c r="H19" s="448"/>
      <c r="I19" s="447"/>
      <c r="J19" s="448"/>
      <c r="K19" s="1383"/>
      <c r="L19" s="1140"/>
      <c r="M19" s="1131"/>
      <c r="N19" s="1131"/>
      <c r="O19" s="1139"/>
      <c r="P19" s="3165"/>
      <c r="Q19" s="1810"/>
      <c r="R19" s="774"/>
      <c r="S19" s="775"/>
      <c r="T19" s="774"/>
      <c r="U19" s="775"/>
      <c r="V19" s="774"/>
      <c r="W19" s="775"/>
      <c r="X19" s="1813"/>
      <c r="Y19" s="3165"/>
      <c r="Z19" s="1814"/>
      <c r="AA19" s="1811">
        <v>1</v>
      </c>
      <c r="AB19" s="1811">
        <v>1</v>
      </c>
      <c r="AC19" s="1811">
        <v>1</v>
      </c>
    </row>
    <row r="20" spans="1:29" ht="57">
      <c r="A20" s="428"/>
      <c r="B20" s="451" t="s">
        <v>2701</v>
      </c>
      <c r="C20" s="2606"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65"/>
      <c r="Q20" s="1810" t="str">
        <f>B20</f>
        <v>自然及人文环境</v>
      </c>
      <c r="R20" s="774" t="s">
        <v>17</v>
      </c>
      <c r="S20" s="775">
        <f>F20</f>
        <v>100</v>
      </c>
      <c r="T20" s="774" t="s">
        <v>17</v>
      </c>
      <c r="U20" s="775">
        <f>H20</f>
        <v>100</v>
      </c>
      <c r="V20" s="774" t="s">
        <v>17</v>
      </c>
      <c r="W20" s="775">
        <f>J20</f>
        <v>100</v>
      </c>
      <c r="X20" s="1813"/>
      <c r="Y20" s="3165"/>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65"/>
      <c r="Q21" s="1810"/>
      <c r="R21" s="774"/>
      <c r="S21" s="775"/>
      <c r="T21" s="774"/>
      <c r="U21" s="775"/>
      <c r="V21" s="774"/>
      <c r="W21" s="775"/>
      <c r="X21" s="1813"/>
      <c r="Y21" s="3165"/>
      <c r="Z21" s="1814"/>
      <c r="AA21" s="1811">
        <v>1</v>
      </c>
      <c r="AB21" s="1811">
        <v>1</v>
      </c>
      <c r="AC21" s="1811">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65"/>
      <c r="Q22" s="1810" t="str">
        <f>B22</f>
        <v>楼层</v>
      </c>
      <c r="R22" s="774" t="s">
        <v>17</v>
      </c>
      <c r="S22" s="775">
        <f>F22</f>
        <v>100</v>
      </c>
      <c r="T22" s="774" t="s">
        <v>17</v>
      </c>
      <c r="U22" s="775">
        <f>H22</f>
        <v>100</v>
      </c>
      <c r="V22" s="774" t="s">
        <v>17</v>
      </c>
      <c r="W22" s="775">
        <f>J22</f>
        <v>100</v>
      </c>
      <c r="X22" s="1813"/>
      <c r="Y22" s="3165"/>
      <c r="Z22" s="1814" t="str">
        <f>Q22</f>
        <v>楼层</v>
      </c>
      <c r="AA22" s="1811">
        <f t="shared" si="3"/>
        <v>1</v>
      </c>
      <c r="AB22" s="1811">
        <f t="shared" si="4"/>
        <v>1</v>
      </c>
      <c r="AC22" s="1811">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65"/>
      <c r="Q23" s="1810">
        <f>B23</f>
        <v>111</v>
      </c>
      <c r="R23" s="774" t="s">
        <v>17</v>
      </c>
      <c r="S23" s="775">
        <f>F23</f>
        <v>100</v>
      </c>
      <c r="T23" s="774" t="s">
        <v>17</v>
      </c>
      <c r="U23" s="775">
        <f>H23</f>
        <v>100</v>
      </c>
      <c r="V23" s="774" t="s">
        <v>17</v>
      </c>
      <c r="W23" s="775">
        <f>J23</f>
        <v>100</v>
      </c>
      <c r="X23" s="1813"/>
      <c r="Y23" s="3165"/>
      <c r="Z23" s="1814">
        <f>Q23</f>
        <v>111</v>
      </c>
      <c r="AA23" s="1811">
        <f t="shared" si="3"/>
        <v>1</v>
      </c>
      <c r="AB23" s="1811">
        <f t="shared" si="4"/>
        <v>1</v>
      </c>
      <c r="AC23" s="1811">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65"/>
      <c r="Q24" s="1810">
        <f t="shared" ref="Q24:Q34" si="11">B24</f>
        <v>111</v>
      </c>
      <c r="R24" s="774" t="s">
        <v>17</v>
      </c>
      <c r="S24" s="775">
        <f>F24</f>
        <v>100</v>
      </c>
      <c r="T24" s="774" t="s">
        <v>17</v>
      </c>
      <c r="U24" s="775">
        <f>H24</f>
        <v>100</v>
      </c>
      <c r="V24" s="774" t="s">
        <v>17</v>
      </c>
      <c r="W24" s="775">
        <f>J24</f>
        <v>100</v>
      </c>
      <c r="X24" s="1813"/>
      <c r="Y24" s="3165"/>
      <c r="Z24" s="1814">
        <f>Q24</f>
        <v>111</v>
      </c>
      <c r="AA24" s="1811">
        <f t="shared" si="3"/>
        <v>1</v>
      </c>
      <c r="AB24" s="1811">
        <f t="shared" si="4"/>
        <v>1</v>
      </c>
      <c r="AC24" s="1811">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165"/>
      <c r="Q25" s="1795">
        <f t="shared" si="11"/>
        <v>111</v>
      </c>
      <c r="R25" s="770" t="s">
        <v>17</v>
      </c>
      <c r="S25" s="771">
        <f>F25</f>
        <v>100</v>
      </c>
      <c r="T25" s="770" t="s">
        <v>17</v>
      </c>
      <c r="U25" s="771">
        <f>H25</f>
        <v>100</v>
      </c>
      <c r="V25" s="770" t="s">
        <v>17</v>
      </c>
      <c r="W25" s="771">
        <f>J25</f>
        <v>100</v>
      </c>
      <c r="X25" s="772"/>
      <c r="Y25" s="3165"/>
      <c r="Z25" s="55">
        <f>Q25</f>
        <v>111</v>
      </c>
      <c r="AA25" s="1811">
        <f>D25/F25</f>
        <v>1</v>
      </c>
      <c r="AB25" s="1811">
        <f>D25/H25</f>
        <v>1</v>
      </c>
      <c r="AC25" s="1811">
        <f>D25/J25</f>
        <v>1</v>
      </c>
    </row>
    <row r="26" spans="1:29" ht="28.5">
      <c r="A26" s="466" t="s">
        <v>2554</v>
      </c>
      <c r="B26" s="71" t="s">
        <v>2705</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166" t="s">
        <v>2556</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67" t="s">
        <v>2556</v>
      </c>
      <c r="Z26" s="1814" t="str">
        <f t="shared" ref="Z26:Z34" si="15">Q26</f>
        <v>公共部分装修</v>
      </c>
      <c r="AA26" s="1811">
        <f t="shared" si="3"/>
        <v>1</v>
      </c>
      <c r="AB26" s="1811">
        <f t="shared" si="4"/>
        <v>1</v>
      </c>
      <c r="AC26" s="1811">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67"/>
      <c r="Q27" s="776" t="str">
        <f t="shared" si="11"/>
        <v>成新率</v>
      </c>
      <c r="R27" s="777" t="s">
        <v>17</v>
      </c>
      <c r="S27" s="778" t="e">
        <f t="shared" si="12"/>
        <v>#N/A</v>
      </c>
      <c r="T27" s="777" t="s">
        <v>17</v>
      </c>
      <c r="U27" s="778" t="e">
        <f t="shared" si="13"/>
        <v>#N/A</v>
      </c>
      <c r="V27" s="777" t="s">
        <v>17</v>
      </c>
      <c r="W27" s="778" t="e">
        <f t="shared" si="14"/>
        <v>#N/A</v>
      </c>
      <c r="X27" s="779"/>
      <c r="Y27" s="3167"/>
      <c r="Z27" s="780" t="str">
        <f t="shared" si="15"/>
        <v>成新率</v>
      </c>
      <c r="AA27" s="1811" t="e">
        <f t="shared" si="3"/>
        <v>#N/A</v>
      </c>
      <c r="AB27" s="1811" t="e">
        <f t="shared" si="4"/>
        <v>#N/A</v>
      </c>
      <c r="AC27" s="1811"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67"/>
      <c r="Q28" s="1810" t="str">
        <f t="shared" si="11"/>
        <v>物业等级</v>
      </c>
      <c r="R28" s="774" t="s">
        <v>17</v>
      </c>
      <c r="S28" s="775">
        <f t="shared" si="12"/>
        <v>100</v>
      </c>
      <c r="T28" s="774" t="s">
        <v>17</v>
      </c>
      <c r="U28" s="775">
        <f t="shared" si="13"/>
        <v>100</v>
      </c>
      <c r="V28" s="774" t="s">
        <v>17</v>
      </c>
      <c r="W28" s="775">
        <f t="shared" si="14"/>
        <v>100</v>
      </c>
      <c r="X28" s="1813"/>
      <c r="Y28" s="3167"/>
      <c r="Z28" s="1814" t="str">
        <f t="shared" si="15"/>
        <v>物业等级</v>
      </c>
      <c r="AA28" s="1811">
        <f t="shared" si="3"/>
        <v>1</v>
      </c>
      <c r="AB28" s="1811">
        <f t="shared" si="4"/>
        <v>1</v>
      </c>
      <c r="AC28" s="1811">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67"/>
      <c r="Q29" s="1810" t="str">
        <f t="shared" si="11"/>
        <v>有无电梯</v>
      </c>
      <c r="R29" s="774" t="s">
        <v>17</v>
      </c>
      <c r="S29" s="775">
        <f t="shared" si="12"/>
        <v>100</v>
      </c>
      <c r="T29" s="774" t="s">
        <v>17</v>
      </c>
      <c r="U29" s="775">
        <f t="shared" si="13"/>
        <v>100</v>
      </c>
      <c r="V29" s="774" t="s">
        <v>17</v>
      </c>
      <c r="W29" s="775">
        <f t="shared" si="14"/>
        <v>100</v>
      </c>
      <c r="X29" s="1813"/>
      <c r="Y29" s="3167"/>
      <c r="Z29" s="1814" t="str">
        <f t="shared" si="15"/>
        <v>有无电梯</v>
      </c>
      <c r="AA29" s="1811">
        <f t="shared" si="3"/>
        <v>1</v>
      </c>
      <c r="AB29" s="1811">
        <f t="shared" si="4"/>
        <v>1</v>
      </c>
      <c r="AC29" s="1811">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67"/>
      <c r="Q30" s="1810" t="str">
        <f t="shared" si="11"/>
        <v>建筑面积</v>
      </c>
      <c r="R30" s="774" t="s">
        <v>17</v>
      </c>
      <c r="S30" s="775" t="e">
        <f t="shared" si="12"/>
        <v>#N/A</v>
      </c>
      <c r="T30" s="774" t="s">
        <v>17</v>
      </c>
      <c r="U30" s="775" t="e">
        <f t="shared" si="13"/>
        <v>#N/A</v>
      </c>
      <c r="V30" s="774" t="s">
        <v>17</v>
      </c>
      <c r="W30" s="775" t="e">
        <f t="shared" si="14"/>
        <v>#N/A</v>
      </c>
      <c r="X30" s="1813"/>
      <c r="Y30" s="3167"/>
      <c r="Z30" s="1814" t="str">
        <f t="shared" si="15"/>
        <v>建筑面积</v>
      </c>
      <c r="AA30" s="1811" t="e">
        <f t="shared" si="3"/>
        <v>#N/A</v>
      </c>
      <c r="AB30" s="1811" t="e">
        <f t="shared" si="4"/>
        <v>#N/A</v>
      </c>
      <c r="AC30" s="1811"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67"/>
      <c r="Q31" s="1795" t="str">
        <f t="shared" si="11"/>
        <v>是否封闭</v>
      </c>
      <c r="R31" s="770" t="s">
        <v>17</v>
      </c>
      <c r="S31" s="771">
        <f t="shared" si="12"/>
        <v>100</v>
      </c>
      <c r="T31" s="770" t="s">
        <v>17</v>
      </c>
      <c r="U31" s="771">
        <f t="shared" si="13"/>
        <v>100</v>
      </c>
      <c r="V31" s="770" t="s">
        <v>17</v>
      </c>
      <c r="W31" s="771">
        <f t="shared" si="14"/>
        <v>100</v>
      </c>
      <c r="X31" s="772"/>
      <c r="Y31" s="3167"/>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67" t="s">
        <v>2556</v>
      </c>
      <c r="Q32" s="1810">
        <f t="shared" si="11"/>
        <v>111</v>
      </c>
      <c r="R32" s="774" t="s">
        <v>17</v>
      </c>
      <c r="S32" s="775">
        <f t="shared" si="12"/>
        <v>100</v>
      </c>
      <c r="T32" s="774" t="s">
        <v>17</v>
      </c>
      <c r="U32" s="775">
        <f t="shared" si="13"/>
        <v>100</v>
      </c>
      <c r="V32" s="774" t="s">
        <v>17</v>
      </c>
      <c r="W32" s="775">
        <f t="shared" si="14"/>
        <v>100</v>
      </c>
      <c r="X32" s="1813"/>
      <c r="Y32" s="3167" t="s">
        <v>2556</v>
      </c>
      <c r="Z32" s="1814">
        <f t="shared" si="15"/>
        <v>111</v>
      </c>
      <c r="AA32" s="1811">
        <f t="shared" si="3"/>
        <v>1</v>
      </c>
      <c r="AB32" s="1811">
        <f t="shared" si="4"/>
        <v>1</v>
      </c>
      <c r="AC32" s="1811">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67"/>
      <c r="Q33" s="1810">
        <f t="shared" si="11"/>
        <v>111</v>
      </c>
      <c r="R33" s="774" t="s">
        <v>17</v>
      </c>
      <c r="S33" s="775">
        <f t="shared" si="12"/>
        <v>100</v>
      </c>
      <c r="T33" s="774" t="s">
        <v>17</v>
      </c>
      <c r="U33" s="775">
        <f t="shared" si="13"/>
        <v>100</v>
      </c>
      <c r="V33" s="774" t="s">
        <v>17</v>
      </c>
      <c r="W33" s="775">
        <f t="shared" si="14"/>
        <v>100</v>
      </c>
      <c r="X33" s="1813"/>
      <c r="Y33" s="3167"/>
      <c r="Z33" s="1814">
        <f t="shared" si="15"/>
        <v>111</v>
      </c>
      <c r="AA33" s="1811">
        <f t="shared" si="3"/>
        <v>1</v>
      </c>
      <c r="AB33" s="1811">
        <f t="shared" si="4"/>
        <v>1</v>
      </c>
      <c r="AC33" s="1811">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167"/>
      <c r="Q34" s="1810">
        <f t="shared" si="11"/>
        <v>111</v>
      </c>
      <c r="R34" s="774" t="s">
        <v>17</v>
      </c>
      <c r="S34" s="775">
        <f t="shared" si="12"/>
        <v>100</v>
      </c>
      <c r="T34" s="774" t="s">
        <v>17</v>
      </c>
      <c r="U34" s="775">
        <f t="shared" si="13"/>
        <v>100</v>
      </c>
      <c r="V34" s="774" t="s">
        <v>17</v>
      </c>
      <c r="W34" s="775">
        <f t="shared" si="14"/>
        <v>100</v>
      </c>
      <c r="X34" s="1813"/>
      <c r="Y34" s="3167"/>
      <c r="Z34" s="1814">
        <f t="shared" si="15"/>
        <v>111</v>
      </c>
      <c r="AA34" s="1811">
        <f t="shared" si="3"/>
        <v>1</v>
      </c>
      <c r="AB34" s="1811">
        <f t="shared" si="4"/>
        <v>1</v>
      </c>
      <c r="AC34" s="1811">
        <f t="shared" si="5"/>
        <v>1</v>
      </c>
    </row>
    <row r="35" spans="1:29" ht="15">
      <c r="A35" s="479" t="s">
        <v>2568</v>
      </c>
      <c r="B35" s="480"/>
      <c r="C35" s="1407" t="s">
        <v>1</v>
      </c>
      <c r="D35" s="1408"/>
      <c r="E35" s="1409"/>
      <c r="F35" s="1410"/>
      <c r="G35" s="1411"/>
      <c r="H35" s="1412"/>
      <c r="I35" s="1409"/>
      <c r="J35" s="1412"/>
      <c r="K35" s="783"/>
      <c r="L35" s="1143"/>
      <c r="M35" s="1144"/>
      <c r="N35" s="1131"/>
      <c r="O35" s="1144"/>
      <c r="P35" s="3161" t="str">
        <f>A35</f>
        <v>成交单价（元/平方米）</v>
      </c>
      <c r="Q35" s="3161"/>
      <c r="R35" s="3233">
        <f>E35</f>
        <v>0</v>
      </c>
      <c r="S35" s="3233"/>
      <c r="T35" s="3233">
        <f>G35</f>
        <v>0</v>
      </c>
      <c r="U35" s="3233"/>
      <c r="V35" s="3233">
        <f>I35</f>
        <v>0</v>
      </c>
      <c r="W35" s="3233"/>
      <c r="X35" s="759"/>
      <c r="Y35" s="781"/>
      <c r="Z35" s="759"/>
      <c r="AA35" s="759"/>
      <c r="AB35" s="759"/>
      <c r="AC35" s="759"/>
    </row>
    <row r="36" spans="1:29" ht="15.75" thickBot="1">
      <c r="A36" s="486" t="s">
        <v>2660</v>
      </c>
      <c r="B36" s="487"/>
      <c r="C36" s="1413" t="e">
        <f>R37</f>
        <v>#DIV/0!</v>
      </c>
      <c r="D36" s="1414"/>
      <c r="E36" s="1415" t="e">
        <f>R36</f>
        <v>#DIV/0!</v>
      </c>
      <c r="F36" s="1415"/>
      <c r="G36" s="1413" t="e">
        <f>T36</f>
        <v>#DIV/0!</v>
      </c>
      <c r="H36" s="1414"/>
      <c r="I36" s="1415" t="e">
        <f>V36</f>
        <v>#DIV/0!</v>
      </c>
      <c r="J36" s="1414"/>
      <c r="K36" s="784"/>
      <c r="L36" s="1143"/>
      <c r="M36" s="1144"/>
      <c r="N36" s="1131"/>
      <c r="O36" s="1144"/>
      <c r="P36" s="3161" t="str">
        <f>A36</f>
        <v>比较价值（元/平方米）</v>
      </c>
      <c r="Q36" s="3161"/>
      <c r="R36" s="3233" t="e">
        <f>IF(F1="售价",ROUND(PRODUCT(R35,AA7:AA34),0),ROUND(PRODUCT(R35,AA7:AA34),1))</f>
        <v>#DIV/0!</v>
      </c>
      <c r="S36" s="3233"/>
      <c r="T36" s="3233" t="e">
        <f>IF(F1="售价",ROUND(PRODUCT(T35,AB7:AB34),0),ROUND(PRODUCT(T35,AB7:AB34),1))</f>
        <v>#DIV/0!</v>
      </c>
      <c r="U36" s="3233"/>
      <c r="V36" s="3233" t="e">
        <f>IF(F1="售价",ROUND(PRODUCT(V35,AC7:AC34),0),ROUND(PRODUCT(V35,AC7:AC34),1))</f>
        <v>#DIV/0!</v>
      </c>
      <c r="W36" s="3233"/>
      <c r="X36" s="759"/>
      <c r="Y36" s="759"/>
      <c r="Z36" s="759"/>
      <c r="AA36" s="759"/>
      <c r="AB36" s="759"/>
      <c r="AC36" s="759"/>
    </row>
    <row r="37" spans="1:29" ht="15.75" thickBot="1">
      <c r="A37" s="492" t="s">
        <v>2661</v>
      </c>
      <c r="B37" s="493"/>
      <c r="C37" s="1417" t="e">
        <f>R37</f>
        <v>#DIV/0!</v>
      </c>
      <c r="D37" s="1417"/>
      <c r="E37" s="1417"/>
      <c r="F37" s="1417"/>
      <c r="G37" s="1417"/>
      <c r="H37" s="1417"/>
      <c r="I37" s="1417"/>
      <c r="J37" s="1417"/>
      <c r="K37" s="785"/>
      <c r="L37" s="1143"/>
      <c r="M37" s="1144"/>
      <c r="N37" s="1144"/>
      <c r="O37" s="1144"/>
      <c r="P37" s="3158" t="str">
        <f>A37</f>
        <v>估价对象XX用房的比较价值（楼面单价，元/平方米）</v>
      </c>
      <c r="Q37" s="3159"/>
      <c r="R37" s="3232" t="e">
        <f>IF(F1="售价",ROUND(AVERAGE(R36:V36),0),ROUND(AVERAGE(R36:V36),1))</f>
        <v>#DIV/0!</v>
      </c>
      <c r="S37" s="3232"/>
      <c r="T37" s="3232"/>
      <c r="U37" s="3232"/>
      <c r="V37" s="3232"/>
      <c r="W37" s="3232"/>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2665</v>
      </c>
      <c r="B45" s="759"/>
      <c r="C45" s="764"/>
      <c r="D45" s="764"/>
      <c r="E45" s="764"/>
      <c r="F45" s="765"/>
      <c r="G45" s="765"/>
      <c r="H45" s="764"/>
      <c r="I45" s="764"/>
      <c r="J45" s="764"/>
      <c r="K45" s="766"/>
      <c r="L45" s="767"/>
      <c r="M45" s="764"/>
      <c r="N45" s="764"/>
      <c r="O45" s="764"/>
      <c r="P45" s="503"/>
      <c r="Q45" s="504"/>
    </row>
    <row r="46" spans="1:29" s="508" customFormat="1" ht="15">
      <c r="A46" s="505" t="s">
        <v>2539</v>
      </c>
      <c r="B46" s="506"/>
      <c r="C46" s="1574" t="str">
        <f>YEAR(C7)&amp;"-"&amp;MONTH(C7)</f>
        <v>2020-7</v>
      </c>
      <c r="D46" s="1575">
        <f>EDATE(C46,-1)</f>
        <v>43983</v>
      </c>
      <c r="E46" s="1575">
        <f t="shared" ref="E46:O46" si="16">EDATE(D46,-1)</f>
        <v>43952</v>
      </c>
      <c r="F46" s="1575">
        <f t="shared" si="16"/>
        <v>43922</v>
      </c>
      <c r="G46" s="1575">
        <f t="shared" si="16"/>
        <v>43891</v>
      </c>
      <c r="H46" s="1575">
        <f t="shared" si="16"/>
        <v>43862</v>
      </c>
      <c r="I46" s="1575">
        <f t="shared" si="16"/>
        <v>43831</v>
      </c>
      <c r="J46" s="1575">
        <f t="shared" si="16"/>
        <v>43800</v>
      </c>
      <c r="K46" s="1575">
        <f t="shared" si="16"/>
        <v>43770</v>
      </c>
      <c r="L46" s="1575">
        <f t="shared" si="16"/>
        <v>43739</v>
      </c>
      <c r="M46" s="1575">
        <f t="shared" si="16"/>
        <v>43709</v>
      </c>
      <c r="N46" s="1575">
        <f t="shared" si="16"/>
        <v>43678</v>
      </c>
      <c r="O46" s="1575">
        <f t="shared" si="16"/>
        <v>43647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2579</v>
      </c>
      <c r="B51" s="528" t="s">
        <v>2545</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2720</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2554</v>
      </c>
      <c r="B77" s="528" t="s">
        <v>2607</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2724</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2732</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2734</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2320</v>
      </c>
      <c r="B3" s="609" t="e">
        <f>ROUND(IF(D3="",B2*10000/'数据-汇总表'!E3,B2*10000/D3),0)</f>
        <v>#DIV/0!</v>
      </c>
      <c r="C3" s="247" t="s">
        <v>2737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2636</v>
      </c>
      <c r="B4" s="402"/>
      <c r="C4" s="3171" t="s">
        <v>2637</v>
      </c>
      <c r="D4" s="3172"/>
      <c r="E4" s="3173" t="s">
        <v>2638</v>
      </c>
      <c r="F4" s="3174"/>
      <c r="G4" s="3171" t="s">
        <v>2639</v>
      </c>
      <c r="H4" s="3172"/>
      <c r="I4" s="3171" t="s">
        <v>2640</v>
      </c>
      <c r="J4" s="3172"/>
      <c r="K4" s="610" t="s">
        <v>2641</v>
      </c>
      <c r="L4" s="1130"/>
      <c r="M4" s="1131"/>
      <c r="N4" s="1131"/>
      <c r="O4" s="1131"/>
      <c r="P4" s="3175" t="s">
        <v>2642</v>
      </c>
      <c r="Q4" s="3176"/>
      <c r="R4" s="3188" t="s">
        <v>2638</v>
      </c>
      <c r="S4" s="3189"/>
      <c r="T4" s="3188" t="s">
        <v>2639</v>
      </c>
      <c r="U4" s="3189"/>
      <c r="V4" s="3163" t="s">
        <v>2640</v>
      </c>
      <c r="W4" s="3163"/>
      <c r="X4" s="1813"/>
      <c r="Y4" s="3188" t="s">
        <v>2642</v>
      </c>
      <c r="Z4" s="3189"/>
      <c r="AA4" s="3168" t="s">
        <v>2638</v>
      </c>
      <c r="AB4" s="3169" t="s">
        <v>2639</v>
      </c>
      <c r="AC4" s="3168" t="s">
        <v>2640</v>
      </c>
    </row>
    <row r="5" spans="1:30" ht="15">
      <c r="A5" s="404"/>
      <c r="B5" s="405"/>
      <c r="C5" s="3192" t="s">
        <v>2533</v>
      </c>
      <c r="D5" s="3193"/>
      <c r="E5" s="3181" t="s">
        <v>2534</v>
      </c>
      <c r="F5" s="3182"/>
      <c r="G5" s="3192" t="s">
        <v>2535</v>
      </c>
      <c r="H5" s="3193"/>
      <c r="I5" s="3192" t="s">
        <v>2536</v>
      </c>
      <c r="J5" s="3193"/>
      <c r="K5" s="610"/>
      <c r="L5" s="1130"/>
      <c r="M5" s="1131"/>
      <c r="N5" s="1131"/>
      <c r="O5" s="1131"/>
      <c r="P5" s="3177"/>
      <c r="Q5" s="3178"/>
      <c r="R5" s="3190"/>
      <c r="S5" s="3191"/>
      <c r="T5" s="3190"/>
      <c r="U5" s="3191"/>
      <c r="V5" s="3163"/>
      <c r="W5" s="3163"/>
      <c r="X5" s="1813"/>
      <c r="Y5" s="3190"/>
      <c r="Z5" s="3191"/>
      <c r="AA5" s="3169"/>
      <c r="AB5" s="3169"/>
      <c r="AC5" s="3169"/>
    </row>
    <row r="6" spans="1:30" ht="15.75" thickBot="1">
      <c r="A6" s="406"/>
      <c r="B6" s="407"/>
      <c r="C6" s="3228" t="s">
        <v>2537</v>
      </c>
      <c r="D6" s="3229"/>
      <c r="E6" s="3230" t="s">
        <v>2537</v>
      </c>
      <c r="F6" s="3231"/>
      <c r="G6" s="3228" t="s">
        <v>2537</v>
      </c>
      <c r="H6" s="3229"/>
      <c r="I6" s="3228" t="s">
        <v>2537</v>
      </c>
      <c r="J6" s="3229"/>
      <c r="K6" s="610" t="s">
        <v>2538</v>
      </c>
      <c r="L6" s="1130"/>
      <c r="M6" s="1131"/>
      <c r="N6" s="1131"/>
      <c r="O6" s="1131"/>
      <c r="P6" s="3179"/>
      <c r="Q6" s="3180"/>
      <c r="R6" s="3190"/>
      <c r="S6" s="3191"/>
      <c r="T6" s="3199"/>
      <c r="U6" s="3200"/>
      <c r="V6" s="3163"/>
      <c r="W6" s="3163"/>
      <c r="X6" s="1813"/>
      <c r="Y6" s="3199"/>
      <c r="Z6" s="3200"/>
      <c r="AA6" s="3170"/>
      <c r="AB6" s="3170"/>
      <c r="AC6" s="3170"/>
    </row>
    <row r="7" spans="1:30" s="117" customFormat="1" ht="15.75" thickBot="1">
      <c r="A7" s="408" t="s">
        <v>2539</v>
      </c>
      <c r="B7" s="409"/>
      <c r="C7" s="410">
        <f>'数据-取费表'!B2</f>
        <v>44015</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2"/>
      <c r="M7" s="1133"/>
      <c r="N7" s="1133"/>
      <c r="O7" s="1133"/>
      <c r="P7" s="3183" t="s">
        <v>2540</v>
      </c>
      <c r="Q7" s="3196"/>
      <c r="R7" s="770" t="s">
        <v>17</v>
      </c>
      <c r="S7" s="771">
        <f t="shared" ref="S7:S15" si="0">F7</f>
        <v>0</v>
      </c>
      <c r="T7" s="770" t="s">
        <v>17</v>
      </c>
      <c r="U7" s="771">
        <f t="shared" ref="U7:U15" si="1">H7</f>
        <v>0</v>
      </c>
      <c r="V7" s="770" t="s">
        <v>17</v>
      </c>
      <c r="W7" s="771">
        <f t="shared" ref="W7:W15" si="2">J7</f>
        <v>0</v>
      </c>
      <c r="X7" s="772"/>
      <c r="Y7" s="3183" t="s">
        <v>2540</v>
      </c>
      <c r="Z7" s="3184"/>
      <c r="AA7" s="773" t="e">
        <f>D7/F7</f>
        <v>#DIV/0!</v>
      </c>
      <c r="AB7" s="773" t="e">
        <f>D7/H7</f>
        <v>#DIV/0!</v>
      </c>
      <c r="AC7" s="773" t="e">
        <f>D7/J7</f>
        <v>#DIV/0!</v>
      </c>
    </row>
    <row r="8" spans="1:30" s="117" customFormat="1" ht="15.75" thickBot="1">
      <c r="A8" s="408" t="s">
        <v>2541</v>
      </c>
      <c r="B8" s="409"/>
      <c r="C8" s="414" t="s">
        <v>2542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83" t="s">
        <v>2543</v>
      </c>
      <c r="Q8" s="3184"/>
      <c r="R8" s="770" t="s">
        <v>17</v>
      </c>
      <c r="S8" s="771">
        <f t="shared" si="0"/>
        <v>0</v>
      </c>
      <c r="T8" s="770" t="s">
        <v>17</v>
      </c>
      <c r="U8" s="771">
        <f t="shared" si="1"/>
        <v>0</v>
      </c>
      <c r="V8" s="770" t="s">
        <v>17</v>
      </c>
      <c r="W8" s="771">
        <f t="shared" si="2"/>
        <v>0</v>
      </c>
      <c r="X8" s="772"/>
      <c r="Y8" s="3183" t="s">
        <v>2543</v>
      </c>
      <c r="Z8" s="3184"/>
      <c r="AA8" s="773" t="e">
        <f t="shared" ref="AA8:AA45" si="3">D8/F8</f>
        <v>#DIV/0!</v>
      </c>
      <c r="AB8" s="773" t="e">
        <f t="shared" ref="AB8:AB45" si="4">D8/H8</f>
        <v>#DIV/0!</v>
      </c>
      <c r="AC8" s="773" t="e">
        <f t="shared" ref="AC8:AC45" si="5">D8/J8</f>
        <v>#DIV/0!</v>
      </c>
    </row>
    <row r="9" spans="1:30" s="117" customFormat="1">
      <c r="A9" s="415" t="s">
        <v>2544</v>
      </c>
      <c r="B9" s="71" t="s">
        <v>2545</v>
      </c>
      <c r="C9" s="2698"/>
      <c r="D9" s="135">
        <v>100</v>
      </c>
      <c r="E9" s="2698"/>
      <c r="F9" s="135">
        <f>SUMIF(75:75,E9,76:76)-SUMIF(75:75,C9,76:76)+100</f>
        <v>100</v>
      </c>
      <c r="G9" s="2698"/>
      <c r="H9" s="135">
        <f>SUMIF(75:75,G9,76:76)-SUMIF(75:75,C9,76:76)+100</f>
        <v>100</v>
      </c>
      <c r="I9" s="2698"/>
      <c r="J9" s="135">
        <f>SUMIF(75:75,I9,76:76)-SUMIF(75:75,C9,76:76)+100</f>
        <v>100</v>
      </c>
      <c r="K9" s="611"/>
      <c r="L9" s="1132"/>
      <c r="M9" s="1133"/>
      <c r="N9" s="1133"/>
      <c r="O9" s="1134"/>
      <c r="P9" s="3161" t="s">
        <v>2546</v>
      </c>
      <c r="Q9" s="1795" t="str">
        <f t="shared" ref="Q9:Q15" si="6">B9</f>
        <v>用途</v>
      </c>
      <c r="R9" s="770" t="s">
        <v>17</v>
      </c>
      <c r="S9" s="771">
        <f t="shared" si="0"/>
        <v>100</v>
      </c>
      <c r="T9" s="770" t="s">
        <v>17</v>
      </c>
      <c r="U9" s="771">
        <f t="shared" si="1"/>
        <v>100</v>
      </c>
      <c r="V9" s="770" t="s">
        <v>17</v>
      </c>
      <c r="W9" s="771">
        <f t="shared" si="2"/>
        <v>100</v>
      </c>
      <c r="X9" s="772"/>
      <c r="Y9" s="3035" t="s">
        <v>2547</v>
      </c>
      <c r="Z9" s="55" t="str">
        <f t="shared" ref="Z9:Z15" si="7">Q9</f>
        <v>用途</v>
      </c>
      <c r="AA9" s="773">
        <f t="shared" si="3"/>
        <v>1</v>
      </c>
      <c r="AB9" s="773">
        <f t="shared" si="4"/>
        <v>1</v>
      </c>
      <c r="AC9" s="773">
        <f t="shared" si="5"/>
        <v>1</v>
      </c>
    </row>
    <row r="10" spans="1:30" s="427" customFormat="1" ht="27">
      <c r="A10" s="421"/>
      <c r="B10" s="422" t="s">
        <v>2548</v>
      </c>
      <c r="C10" s="432"/>
      <c r="D10" s="136">
        <v>100</v>
      </c>
      <c r="E10" s="465"/>
      <c r="F10" s="136">
        <f>ROUND(100/'数据-取费表'!G16,0)</f>
        <v>117</v>
      </c>
      <c r="G10" s="463"/>
      <c r="H10" s="136">
        <f>ROUND(100/'数据-取费表'!G16,0)</f>
        <v>117</v>
      </c>
      <c r="I10" s="463"/>
      <c r="J10" s="136">
        <f>ROUND(100/'数据-取费表'!G16,0)</f>
        <v>117</v>
      </c>
      <c r="K10" s="672"/>
      <c r="L10" s="1135"/>
      <c r="M10" s="1136"/>
      <c r="N10" s="1136"/>
      <c r="O10" s="1137"/>
      <c r="P10" s="3161"/>
      <c r="Q10" s="1795" t="str">
        <f t="shared" si="6"/>
        <v>土地使用年限（年）</v>
      </c>
      <c r="R10" s="770" t="s">
        <v>17</v>
      </c>
      <c r="S10" s="771">
        <f t="shared" si="0"/>
        <v>117</v>
      </c>
      <c r="T10" s="770" t="s">
        <v>17</v>
      </c>
      <c r="U10" s="771">
        <f t="shared" si="1"/>
        <v>117</v>
      </c>
      <c r="V10" s="770" t="s">
        <v>17</v>
      </c>
      <c r="W10" s="771">
        <f t="shared" si="2"/>
        <v>117</v>
      </c>
      <c r="X10" s="772"/>
      <c r="Y10" s="3035"/>
      <c r="Z10" s="55" t="str">
        <f t="shared" si="7"/>
        <v>土地使用年限（年）</v>
      </c>
      <c r="AA10" s="773">
        <f t="shared" si="3"/>
        <v>0.85470085470085466</v>
      </c>
      <c r="AB10" s="773">
        <f t="shared" si="4"/>
        <v>0.85470085470085466</v>
      </c>
      <c r="AC10" s="773">
        <f t="shared" si="5"/>
        <v>0.85470085470085466</v>
      </c>
    </row>
    <row r="11" spans="1:30" ht="15">
      <c r="A11" s="428"/>
      <c r="B11" s="422" t="s">
        <v>2549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61"/>
      <c r="Q11" s="1795"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30" s="117" customFormat="1" ht="15">
      <c r="A12" s="431"/>
      <c r="B12" s="2599" t="s">
        <v>2738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61"/>
      <c r="Q12" s="1795" t="str">
        <f t="shared" si="6"/>
        <v>配建</v>
      </c>
      <c r="R12" s="770" t="s">
        <v>17</v>
      </c>
      <c r="S12" s="771">
        <f t="shared" si="0"/>
        <v>100</v>
      </c>
      <c r="T12" s="770" t="s">
        <v>17</v>
      </c>
      <c r="U12" s="771">
        <f t="shared" si="1"/>
        <v>100</v>
      </c>
      <c r="V12" s="770" t="s">
        <v>17</v>
      </c>
      <c r="W12" s="771">
        <f t="shared" si="2"/>
        <v>100</v>
      </c>
      <c r="X12" s="772"/>
      <c r="Y12" s="3035"/>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61"/>
      <c r="Q13" s="1795">
        <f t="shared" si="6"/>
        <v>111</v>
      </c>
      <c r="R13" s="770" t="s">
        <v>17</v>
      </c>
      <c r="S13" s="771">
        <f t="shared" si="0"/>
        <v>100</v>
      </c>
      <c r="T13" s="770" t="s">
        <v>17</v>
      </c>
      <c r="U13" s="771">
        <f t="shared" si="1"/>
        <v>100</v>
      </c>
      <c r="V13" s="770" t="s">
        <v>17</v>
      </c>
      <c r="W13" s="771">
        <f t="shared" si="2"/>
        <v>100</v>
      </c>
      <c r="X13" s="772"/>
      <c r="Y13" s="3035"/>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61"/>
      <c r="Q14" s="1795">
        <f t="shared" si="6"/>
        <v>111</v>
      </c>
      <c r="R14" s="770" t="s">
        <v>17</v>
      </c>
      <c r="S14" s="771">
        <f t="shared" si="0"/>
        <v>100</v>
      </c>
      <c r="T14" s="770" t="s">
        <v>17</v>
      </c>
      <c r="U14" s="771">
        <f t="shared" si="1"/>
        <v>100</v>
      </c>
      <c r="V14" s="770" t="s">
        <v>17</v>
      </c>
      <c r="W14" s="771">
        <f t="shared" si="2"/>
        <v>100</v>
      </c>
      <c r="X14" s="772"/>
      <c r="Y14" s="3035"/>
      <c r="Z14" s="55">
        <f t="shared" si="7"/>
        <v>111</v>
      </c>
      <c r="AA14" s="773">
        <f>D14/F14</f>
        <v>1</v>
      </c>
      <c r="AB14" s="773">
        <f>D14/H14</f>
        <v>1</v>
      </c>
      <c r="AC14" s="773">
        <f>D14/J14</f>
        <v>1</v>
      </c>
    </row>
    <row r="15" spans="1:30" ht="99.75">
      <c r="A15" s="440" t="s">
        <v>2550</v>
      </c>
      <c r="B15" s="69" t="s">
        <v>2078</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64" t="s">
        <v>2551</v>
      </c>
      <c r="Q15" s="1810" t="str">
        <f t="shared" si="6"/>
        <v>居住社区成熟度</v>
      </c>
      <c r="R15" s="774" t="s">
        <v>17</v>
      </c>
      <c r="S15" s="775">
        <f t="shared" si="0"/>
        <v>100</v>
      </c>
      <c r="T15" s="774" t="s">
        <v>17</v>
      </c>
      <c r="U15" s="775">
        <f t="shared" si="1"/>
        <v>100</v>
      </c>
      <c r="V15" s="774" t="s">
        <v>17</v>
      </c>
      <c r="W15" s="775">
        <f t="shared" si="2"/>
        <v>100</v>
      </c>
      <c r="X15" s="1813"/>
      <c r="Y15" s="3164" t="s">
        <v>2551</v>
      </c>
      <c r="Z15" s="1814" t="str">
        <f t="shared" si="7"/>
        <v>居住社区成熟度</v>
      </c>
      <c r="AA15" s="1811">
        <f t="shared" si="3"/>
        <v>1</v>
      </c>
      <c r="AB15" s="1811">
        <f t="shared" si="4"/>
        <v>1</v>
      </c>
      <c r="AC15" s="1811">
        <f t="shared" si="5"/>
        <v>1</v>
      </c>
    </row>
    <row r="16" spans="1:30" ht="15">
      <c r="A16" s="428"/>
      <c r="B16" s="446"/>
      <c r="C16" s="447"/>
      <c r="D16" s="448"/>
      <c r="E16" s="2604"/>
      <c r="F16" s="448"/>
      <c r="G16" s="2604"/>
      <c r="H16" s="450"/>
      <c r="I16" s="2603"/>
      <c r="J16" s="448"/>
      <c r="K16" s="672"/>
      <c r="L16" s="1140"/>
      <c r="M16" s="1131"/>
      <c r="N16" s="1131"/>
      <c r="O16" s="1139"/>
      <c r="P16" s="3165"/>
      <c r="Q16" s="1810"/>
      <c r="R16" s="774"/>
      <c r="S16" s="775"/>
      <c r="T16" s="774"/>
      <c r="U16" s="775"/>
      <c r="V16" s="774"/>
      <c r="W16" s="775"/>
      <c r="X16" s="1813"/>
      <c r="Y16" s="3165"/>
      <c r="Z16" s="1814"/>
      <c r="AA16" s="1811">
        <v>1</v>
      </c>
      <c r="AB16" s="1811">
        <v>1</v>
      </c>
      <c r="AC16" s="1811">
        <v>1</v>
      </c>
    </row>
    <row r="17" spans="1:29" ht="71.25">
      <c r="A17" s="428"/>
      <c r="B17" s="451" t="s">
        <v>2644</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65"/>
      <c r="Q17" s="1810" t="str">
        <f>B17</f>
        <v>商业繁华度</v>
      </c>
      <c r="R17" s="774" t="s">
        <v>17</v>
      </c>
      <c r="S17" s="775">
        <f>F17</f>
        <v>100</v>
      </c>
      <c r="T17" s="774" t="s">
        <v>17</v>
      </c>
      <c r="U17" s="775">
        <f>H17</f>
        <v>100</v>
      </c>
      <c r="V17" s="774" t="s">
        <v>17</v>
      </c>
      <c r="W17" s="775">
        <f>J17</f>
        <v>100</v>
      </c>
      <c r="X17" s="1813"/>
      <c r="Y17" s="3165"/>
      <c r="Z17" s="1814" t="str">
        <f>Q17</f>
        <v>商业繁华度</v>
      </c>
      <c r="AA17" s="1811">
        <f t="shared" si="3"/>
        <v>1</v>
      </c>
      <c r="AB17" s="1811">
        <f t="shared" si="4"/>
        <v>1</v>
      </c>
      <c r="AC17" s="1811">
        <f t="shared" si="5"/>
        <v>1</v>
      </c>
    </row>
    <row r="18" spans="1:29" ht="15">
      <c r="A18" s="428"/>
      <c r="B18" s="456"/>
      <c r="C18" s="2607"/>
      <c r="D18" s="450"/>
      <c r="E18" s="2609"/>
      <c r="F18" s="450"/>
      <c r="G18" s="2609"/>
      <c r="H18" s="448"/>
      <c r="I18" s="2608"/>
      <c r="J18" s="448"/>
      <c r="K18" s="672"/>
      <c r="L18" s="1140"/>
      <c r="M18" s="1131"/>
      <c r="N18" s="1131"/>
      <c r="O18" s="1139"/>
      <c r="P18" s="3165"/>
      <c r="Q18" s="1810"/>
      <c r="R18" s="774"/>
      <c r="S18" s="775"/>
      <c r="T18" s="774"/>
      <c r="U18" s="775"/>
      <c r="V18" s="774"/>
      <c r="W18" s="775"/>
      <c r="X18" s="1813"/>
      <c r="Y18" s="3165"/>
      <c r="Z18" s="1814"/>
      <c r="AA18" s="1811">
        <v>1</v>
      </c>
      <c r="AB18" s="1811">
        <v>1</v>
      </c>
      <c r="AC18" s="1811">
        <v>1</v>
      </c>
    </row>
    <row r="19" spans="1:29" ht="71.25">
      <c r="A19" s="428"/>
      <c r="B19" s="451" t="s">
        <v>2678</v>
      </c>
      <c r="C19" s="2663"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65"/>
      <c r="Q19" s="1810" t="str">
        <f>B19</f>
        <v>办公集聚程度</v>
      </c>
      <c r="R19" s="774" t="s">
        <v>17</v>
      </c>
      <c r="S19" s="775">
        <f>F19</f>
        <v>100</v>
      </c>
      <c r="T19" s="774" t="s">
        <v>17</v>
      </c>
      <c r="U19" s="775">
        <f>H19</f>
        <v>100</v>
      </c>
      <c r="V19" s="774" t="s">
        <v>17</v>
      </c>
      <c r="W19" s="775">
        <f>J19</f>
        <v>100</v>
      </c>
      <c r="X19" s="1813"/>
      <c r="Y19" s="3165"/>
      <c r="Z19" s="1814" t="str">
        <f>Q19</f>
        <v>办公集聚程度</v>
      </c>
      <c r="AA19" s="1811">
        <f t="shared" si="3"/>
        <v>1</v>
      </c>
      <c r="AB19" s="1811">
        <f t="shared" si="4"/>
        <v>1</v>
      </c>
      <c r="AC19" s="1811">
        <f t="shared" si="5"/>
        <v>1</v>
      </c>
    </row>
    <row r="20" spans="1:29" ht="15">
      <c r="A20" s="428"/>
      <c r="B20" s="456"/>
      <c r="C20" s="447"/>
      <c r="D20" s="448"/>
      <c r="E20" s="2604"/>
      <c r="F20" s="448"/>
      <c r="G20" s="2604"/>
      <c r="H20" s="448"/>
      <c r="I20" s="2603"/>
      <c r="J20" s="448"/>
      <c r="K20" s="672"/>
      <c r="L20" s="1140"/>
      <c r="M20" s="1131"/>
      <c r="N20" s="1131"/>
      <c r="O20" s="1139"/>
      <c r="P20" s="3165"/>
      <c r="Q20" s="1810"/>
      <c r="R20" s="774"/>
      <c r="S20" s="775"/>
      <c r="T20" s="774"/>
      <c r="U20" s="775"/>
      <c r="V20" s="774"/>
      <c r="W20" s="775"/>
      <c r="X20" s="1813"/>
      <c r="Y20" s="3165"/>
      <c r="Z20" s="1814"/>
      <c r="AA20" s="1811">
        <v>1</v>
      </c>
      <c r="AB20" s="1811">
        <v>1</v>
      </c>
      <c r="AC20" s="1811">
        <v>1</v>
      </c>
    </row>
    <row r="21" spans="1:29" ht="85.5">
      <c r="A21" s="428"/>
      <c r="B21" s="451" t="s">
        <v>2700</v>
      </c>
      <c r="C21" s="2606"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65"/>
      <c r="Q21" s="1810" t="str">
        <f>B21</f>
        <v>交通便捷度</v>
      </c>
      <c r="R21" s="774" t="s">
        <v>17</v>
      </c>
      <c r="S21" s="775">
        <f>F21</f>
        <v>100</v>
      </c>
      <c r="T21" s="774" t="s">
        <v>17</v>
      </c>
      <c r="U21" s="775">
        <f>H21</f>
        <v>100</v>
      </c>
      <c r="V21" s="774" t="s">
        <v>17</v>
      </c>
      <c r="W21" s="775">
        <f>J21</f>
        <v>100</v>
      </c>
      <c r="X21" s="1813"/>
      <c r="Y21" s="3165"/>
      <c r="Z21" s="1814" t="str">
        <f>Q21</f>
        <v>交通便捷度</v>
      </c>
      <c r="AA21" s="1811">
        <f t="shared" si="3"/>
        <v>1</v>
      </c>
      <c r="AB21" s="1811">
        <f t="shared" si="4"/>
        <v>1</v>
      </c>
      <c r="AC21" s="1811">
        <f t="shared" si="5"/>
        <v>1</v>
      </c>
    </row>
    <row r="22" spans="1:29" ht="15">
      <c r="A22" s="428"/>
      <c r="B22" s="1384"/>
      <c r="C22" s="447"/>
      <c r="D22" s="450"/>
      <c r="E22" s="2604"/>
      <c r="F22" s="448"/>
      <c r="G22" s="2604"/>
      <c r="H22" s="448"/>
      <c r="I22" s="2603"/>
      <c r="J22" s="448"/>
      <c r="K22" s="672"/>
      <c r="L22" s="1140"/>
      <c r="M22" s="1131"/>
      <c r="N22" s="1131"/>
      <c r="O22" s="1139"/>
      <c r="P22" s="3165"/>
      <c r="Q22" s="1810"/>
      <c r="R22" s="774"/>
      <c r="S22" s="775"/>
      <c r="T22" s="774"/>
      <c r="U22" s="775"/>
      <c r="V22" s="774"/>
      <c r="W22" s="775"/>
      <c r="X22" s="1813"/>
      <c r="Y22" s="3165"/>
      <c r="Z22" s="1814"/>
      <c r="AA22" s="1811">
        <v>1</v>
      </c>
      <c r="AB22" s="1811">
        <v>1</v>
      </c>
      <c r="AC22" s="1811">
        <v>1</v>
      </c>
    </row>
    <row r="23" spans="1:29" ht="15">
      <c r="A23" s="404"/>
      <c r="B23" s="451" t="s">
        <v>2739</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65"/>
      <c r="Q23" s="1810" t="str">
        <f t="shared" ref="Q23:Q37" si="8">B23</f>
        <v>区域土地利用方向</v>
      </c>
      <c r="R23" s="774" t="s">
        <v>17</v>
      </c>
      <c r="S23" s="775">
        <f>F23</f>
        <v>100</v>
      </c>
      <c r="T23" s="774" t="s">
        <v>17</v>
      </c>
      <c r="U23" s="775">
        <f>H23</f>
        <v>100</v>
      </c>
      <c r="V23" s="774" t="s">
        <v>17</v>
      </c>
      <c r="W23" s="775">
        <f>J23</f>
        <v>100</v>
      </c>
      <c r="X23" s="1813"/>
      <c r="Y23" s="3165"/>
      <c r="Z23" s="1814" t="str">
        <f>Q23</f>
        <v>区域土地利用方向</v>
      </c>
      <c r="AA23" s="1811">
        <f t="shared" si="3"/>
        <v>1</v>
      </c>
      <c r="AB23" s="1811">
        <f t="shared" si="4"/>
        <v>1</v>
      </c>
      <c r="AC23" s="1811">
        <f t="shared" si="5"/>
        <v>1</v>
      </c>
    </row>
    <row r="24" spans="1:29" ht="15">
      <c r="A24" s="404"/>
      <c r="B24" s="456"/>
      <c r="C24" s="616"/>
      <c r="D24" s="448"/>
      <c r="E24" s="2604"/>
      <c r="F24" s="448"/>
      <c r="G24" s="2603"/>
      <c r="H24" s="448"/>
      <c r="I24" s="2603"/>
      <c r="J24" s="448"/>
      <c r="K24" s="812"/>
      <c r="L24" s="1140"/>
      <c r="M24" s="1131"/>
      <c r="N24" s="1131"/>
      <c r="O24" s="1139"/>
      <c r="P24" s="3165"/>
      <c r="Q24" s="1810"/>
      <c r="R24" s="774"/>
      <c r="S24" s="775"/>
      <c r="T24" s="774"/>
      <c r="U24" s="775"/>
      <c r="V24" s="774"/>
      <c r="W24" s="775"/>
      <c r="X24" s="1813"/>
      <c r="Y24" s="3165"/>
      <c r="Z24" s="1814"/>
      <c r="AA24" s="1811"/>
      <c r="AB24" s="1811"/>
      <c r="AC24" s="1811"/>
    </row>
    <row r="25" spans="1:29" ht="57">
      <c r="A25" s="404"/>
      <c r="B25" s="1384" t="s">
        <v>2740</v>
      </c>
      <c r="C25" s="2663"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65"/>
      <c r="Q25" s="1810" t="str">
        <f t="shared" si="8"/>
        <v>自然及人文环境状况</v>
      </c>
      <c r="R25" s="774" t="s">
        <v>17</v>
      </c>
      <c r="S25" s="775">
        <f>F25</f>
        <v>100</v>
      </c>
      <c r="T25" s="774" t="s">
        <v>17</v>
      </c>
      <c r="U25" s="775">
        <f>H25</f>
        <v>100</v>
      </c>
      <c r="V25" s="774" t="s">
        <v>17</v>
      </c>
      <c r="W25" s="775">
        <f>J25</f>
        <v>100</v>
      </c>
      <c r="X25" s="1813"/>
      <c r="Y25" s="3165"/>
      <c r="Z25" s="1814" t="str">
        <f>Q25</f>
        <v>自然及人文环境状况</v>
      </c>
      <c r="AA25" s="1811">
        <f t="shared" si="3"/>
        <v>1</v>
      </c>
      <c r="AB25" s="1811">
        <f t="shared" si="4"/>
        <v>1</v>
      </c>
      <c r="AC25" s="1811">
        <f t="shared" si="5"/>
        <v>1</v>
      </c>
    </row>
    <row r="26" spans="1:29" ht="15">
      <c r="A26" s="404"/>
      <c r="B26" s="456"/>
      <c r="C26" s="447"/>
      <c r="D26" s="448"/>
      <c r="E26" s="2610"/>
      <c r="F26" s="448"/>
      <c r="G26" s="2610"/>
      <c r="H26" s="448"/>
      <c r="I26" s="447"/>
      <c r="J26" s="448"/>
      <c r="K26" s="672"/>
      <c r="L26" s="1140"/>
      <c r="M26" s="1131"/>
      <c r="N26" s="1131"/>
      <c r="O26" s="1139"/>
      <c r="P26" s="3165"/>
      <c r="Q26" s="1810"/>
      <c r="R26" s="774"/>
      <c r="S26" s="775"/>
      <c r="T26" s="774"/>
      <c r="U26" s="775"/>
      <c r="V26" s="774"/>
      <c r="W26" s="775"/>
      <c r="X26" s="1813"/>
      <c r="Y26" s="3165"/>
      <c r="Z26" s="1814"/>
      <c r="AA26" s="1811">
        <v>1</v>
      </c>
      <c r="AB26" s="1811">
        <v>1</v>
      </c>
      <c r="AC26" s="1811">
        <v>1</v>
      </c>
    </row>
    <row r="27" spans="1:29" s="117" customFormat="1" ht="42.75">
      <c r="A27" s="649"/>
      <c r="B27" s="1384" t="s">
        <v>2645</v>
      </c>
      <c r="C27" s="2606"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65"/>
      <c r="Q27" s="1795" t="str">
        <f t="shared" si="8"/>
        <v>公共配套设施</v>
      </c>
      <c r="R27" s="770" t="s">
        <v>17</v>
      </c>
      <c r="S27" s="771">
        <f>F27</f>
        <v>100</v>
      </c>
      <c r="T27" s="770" t="s">
        <v>17</v>
      </c>
      <c r="U27" s="771">
        <f>H27</f>
        <v>100</v>
      </c>
      <c r="V27" s="770" t="s">
        <v>17</v>
      </c>
      <c r="W27" s="771">
        <f>J27</f>
        <v>100</v>
      </c>
      <c r="X27" s="772"/>
      <c r="Y27" s="3165"/>
      <c r="Z27" s="55" t="str">
        <f>Q27</f>
        <v>公共配套设施</v>
      </c>
      <c r="AA27" s="1811">
        <f>D27/F27</f>
        <v>1</v>
      </c>
      <c r="AB27" s="1811">
        <f>D27/H27</f>
        <v>1</v>
      </c>
      <c r="AC27" s="1811">
        <f>D27/J27</f>
        <v>1</v>
      </c>
    </row>
    <row r="28" spans="1:29" s="117" customFormat="1" ht="15">
      <c r="A28" s="649"/>
      <c r="B28" s="456"/>
      <c r="C28" s="2699"/>
      <c r="D28" s="448"/>
      <c r="E28" s="2610"/>
      <c r="F28" s="448"/>
      <c r="G28" s="2610"/>
      <c r="H28" s="448"/>
      <c r="I28" s="447"/>
      <c r="J28" s="448"/>
      <c r="K28" s="672"/>
      <c r="L28" s="1132"/>
      <c r="M28" s="1133"/>
      <c r="N28" s="1133"/>
      <c r="O28" s="1134"/>
      <c r="P28" s="3165"/>
      <c r="Q28" s="1795"/>
      <c r="R28" s="770"/>
      <c r="S28" s="771"/>
      <c r="T28" s="770"/>
      <c r="U28" s="771"/>
      <c r="V28" s="770"/>
      <c r="W28" s="771"/>
      <c r="X28" s="772"/>
      <c r="Y28" s="3165"/>
      <c r="Z28" s="55"/>
      <c r="AA28" s="1811">
        <v>1</v>
      </c>
      <c r="AB28" s="1811">
        <v>1</v>
      </c>
      <c r="AC28" s="1811">
        <v>1</v>
      </c>
    </row>
    <row r="29" spans="1:29" s="117" customFormat="1" ht="28.5">
      <c r="A29" s="649"/>
      <c r="B29" s="1384" t="s">
        <v>2646</v>
      </c>
      <c r="C29" s="2606"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65"/>
      <c r="Q29" s="1795" t="str">
        <f t="shared" ref="Q29" si="9">B29</f>
        <v>基础设施水平</v>
      </c>
      <c r="R29" s="770" t="s">
        <v>17</v>
      </c>
      <c r="S29" s="771">
        <f>F29</f>
        <v>100</v>
      </c>
      <c r="T29" s="770" t="s">
        <v>17</v>
      </c>
      <c r="U29" s="771">
        <f>H29</f>
        <v>100</v>
      </c>
      <c r="V29" s="770" t="s">
        <v>17</v>
      </c>
      <c r="W29" s="771">
        <f>J29</f>
        <v>100</v>
      </c>
      <c r="X29" s="772"/>
      <c r="Y29" s="3165"/>
      <c r="Z29" s="55" t="str">
        <f>Q29</f>
        <v>基础设施水平</v>
      </c>
      <c r="AA29" s="1811">
        <f>D29/F29</f>
        <v>1</v>
      </c>
      <c r="AB29" s="1811">
        <f>D29/H29</f>
        <v>1</v>
      </c>
      <c r="AC29" s="1811">
        <f>D29/J29</f>
        <v>1</v>
      </c>
    </row>
    <row r="30" spans="1:29" s="117" customFormat="1" ht="15">
      <c r="A30" s="649"/>
      <c r="B30" s="456"/>
      <c r="C30" s="2699"/>
      <c r="D30" s="448"/>
      <c r="E30" s="2700"/>
      <c r="F30" s="448"/>
      <c r="G30" s="2700"/>
      <c r="H30" s="448"/>
      <c r="I30" s="2700"/>
      <c r="J30" s="448"/>
      <c r="K30" s="672"/>
      <c r="L30" s="1132"/>
      <c r="M30" s="1133"/>
      <c r="N30" s="1133"/>
      <c r="O30" s="1134"/>
      <c r="P30" s="3165"/>
      <c r="Q30" s="1795"/>
      <c r="R30" s="770"/>
      <c r="S30" s="771"/>
      <c r="T30" s="770"/>
      <c r="U30" s="771"/>
      <c r="V30" s="770"/>
      <c r="W30" s="771"/>
      <c r="X30" s="772"/>
      <c r="Y30" s="3165"/>
      <c r="Z30" s="55"/>
      <c r="AA30" s="1811">
        <v>1</v>
      </c>
      <c r="AB30" s="1811">
        <v>1</v>
      </c>
      <c r="AC30" s="1811">
        <v>1</v>
      </c>
    </row>
    <row r="31" spans="1:29" ht="15">
      <c r="A31" s="428"/>
      <c r="B31" s="456" t="s">
        <v>2647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65"/>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65"/>
      <c r="Z31" s="1814" t="str">
        <f t="shared" ref="Z31:Z45" si="13">Q31</f>
        <v>临街状况</v>
      </c>
      <c r="AA31" s="1811">
        <f t="shared" si="3"/>
        <v>1</v>
      </c>
      <c r="AB31" s="1811">
        <f t="shared" si="4"/>
        <v>1</v>
      </c>
      <c r="AC31" s="1811">
        <f t="shared" si="5"/>
        <v>1</v>
      </c>
    </row>
    <row r="32" spans="1:29" ht="27">
      <c r="A32" s="428"/>
      <c r="B32" s="1384" t="s">
        <v>2682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65"/>
      <c r="Q32" s="1810" t="str">
        <f t="shared" si="8"/>
        <v>毗邻道路的类型与等级</v>
      </c>
      <c r="R32" s="774" t="s">
        <v>17</v>
      </c>
      <c r="S32" s="775">
        <f t="shared" si="10"/>
        <v>100</v>
      </c>
      <c r="T32" s="774" t="s">
        <v>17</v>
      </c>
      <c r="U32" s="775">
        <f t="shared" si="11"/>
        <v>100</v>
      </c>
      <c r="V32" s="774" t="s">
        <v>17</v>
      </c>
      <c r="W32" s="775">
        <f t="shared" si="12"/>
        <v>100</v>
      </c>
      <c r="X32" s="1813"/>
      <c r="Y32" s="3165"/>
      <c r="Z32" s="1814" t="str">
        <f t="shared" si="13"/>
        <v>毗邻道路的类型与等级</v>
      </c>
      <c r="AA32" s="1811">
        <f t="shared" si="3"/>
        <v>1</v>
      </c>
      <c r="AB32" s="1811">
        <f t="shared" si="4"/>
        <v>1</v>
      </c>
      <c r="AC32" s="1811">
        <f t="shared" si="5"/>
        <v>1</v>
      </c>
    </row>
    <row r="33" spans="1:29" ht="15">
      <c r="A33" s="428"/>
      <c r="B33" s="456"/>
      <c r="C33" s="447"/>
      <c r="D33" s="448"/>
      <c r="E33" s="2610"/>
      <c r="F33" s="448"/>
      <c r="G33" s="2610"/>
      <c r="H33" s="448"/>
      <c r="I33" s="447"/>
      <c r="J33" s="448"/>
      <c r="K33" s="613"/>
      <c r="L33" s="1140"/>
      <c r="M33" s="1131"/>
      <c r="N33" s="1131"/>
      <c r="O33" s="1139"/>
      <c r="P33" s="3165"/>
      <c r="Q33" s="1810"/>
      <c r="R33" s="774"/>
      <c r="S33" s="775"/>
      <c r="T33" s="774"/>
      <c r="U33" s="775"/>
      <c r="V33" s="774"/>
      <c r="W33" s="775"/>
      <c r="X33" s="1813"/>
      <c r="Y33" s="3165"/>
      <c r="Z33" s="1814"/>
      <c r="AA33" s="1811">
        <v>1</v>
      </c>
      <c r="AB33" s="1811">
        <v>1</v>
      </c>
      <c r="AC33" s="1811">
        <v>1</v>
      </c>
    </row>
    <row r="34" spans="1:29" ht="15">
      <c r="A34" s="428"/>
      <c r="B34" s="422" t="s">
        <v>2741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65"/>
      <c r="Q34" s="1810" t="str">
        <f t="shared" si="8"/>
        <v>土地级别</v>
      </c>
      <c r="R34" s="774" t="s">
        <v>17</v>
      </c>
      <c r="S34" s="775">
        <f t="shared" si="10"/>
        <v>100</v>
      </c>
      <c r="T34" s="774" t="s">
        <v>17</v>
      </c>
      <c r="U34" s="775">
        <f t="shared" si="11"/>
        <v>100</v>
      </c>
      <c r="V34" s="774" t="s">
        <v>17</v>
      </c>
      <c r="W34" s="775">
        <f t="shared" si="12"/>
        <v>100</v>
      </c>
      <c r="X34" s="1813"/>
      <c r="Y34" s="3165"/>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65"/>
      <c r="Q35" s="1810">
        <f t="shared" si="8"/>
        <v>111</v>
      </c>
      <c r="R35" s="774" t="s">
        <v>17</v>
      </c>
      <c r="S35" s="775">
        <f t="shared" si="10"/>
        <v>100</v>
      </c>
      <c r="T35" s="774" t="s">
        <v>17</v>
      </c>
      <c r="U35" s="775">
        <f t="shared" si="11"/>
        <v>100</v>
      </c>
      <c r="V35" s="774" t="s">
        <v>17</v>
      </c>
      <c r="W35" s="775">
        <f t="shared" si="12"/>
        <v>100</v>
      </c>
      <c r="X35" s="1813"/>
      <c r="Y35" s="3165"/>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66" t="s">
        <v>2556</v>
      </c>
      <c r="Q36" s="1810">
        <f t="shared" si="8"/>
        <v>111</v>
      </c>
      <c r="R36" s="774" t="s">
        <v>17</v>
      </c>
      <c r="S36" s="775">
        <f t="shared" si="10"/>
        <v>100</v>
      </c>
      <c r="T36" s="774" t="s">
        <v>17</v>
      </c>
      <c r="U36" s="775">
        <f t="shared" si="11"/>
        <v>100</v>
      </c>
      <c r="V36" s="774" t="s">
        <v>17</v>
      </c>
      <c r="W36" s="775">
        <f t="shared" si="12"/>
        <v>100</v>
      </c>
      <c r="X36" s="1813"/>
      <c r="Y36" s="3167" t="s">
        <v>2556</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67"/>
      <c r="Q37" s="1810">
        <f t="shared" si="8"/>
        <v>111</v>
      </c>
      <c r="R37" s="777" t="s">
        <v>17</v>
      </c>
      <c r="S37" s="778">
        <f t="shared" si="10"/>
        <v>100</v>
      </c>
      <c r="T37" s="777" t="s">
        <v>17</v>
      </c>
      <c r="U37" s="778">
        <f t="shared" si="11"/>
        <v>100</v>
      </c>
      <c r="V37" s="777" t="s">
        <v>17</v>
      </c>
      <c r="W37" s="778">
        <f t="shared" si="12"/>
        <v>100</v>
      </c>
      <c r="X37" s="779"/>
      <c r="Y37" s="3167"/>
      <c r="Z37" s="780">
        <f t="shared" si="13"/>
        <v>111</v>
      </c>
      <c r="AA37" s="1811">
        <f t="shared" si="3"/>
        <v>1</v>
      </c>
      <c r="AB37" s="1811">
        <f t="shared" si="4"/>
        <v>1</v>
      </c>
      <c r="AC37" s="1811">
        <f t="shared" si="5"/>
        <v>1</v>
      </c>
    </row>
    <row r="38" spans="1:29" ht="15">
      <c r="A38" s="472" t="s">
        <v>2554</v>
      </c>
      <c r="B38" s="456" t="s">
        <v>2742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67"/>
      <c r="Q38" s="1810" t="str">
        <f>B38</f>
        <v>宗地面积</v>
      </c>
      <c r="R38" s="774" t="s">
        <v>17</v>
      </c>
      <c r="S38" s="775" t="e">
        <f t="shared" si="10"/>
        <v>#N/A</v>
      </c>
      <c r="T38" s="774" t="s">
        <v>17</v>
      </c>
      <c r="U38" s="775" t="e">
        <f t="shared" si="11"/>
        <v>#N/A</v>
      </c>
      <c r="V38" s="774" t="s">
        <v>17</v>
      </c>
      <c r="W38" s="775" t="e">
        <f t="shared" si="12"/>
        <v>#N/A</v>
      </c>
      <c r="X38" s="1813"/>
      <c r="Y38" s="3167"/>
      <c r="Z38" s="1814" t="str">
        <f t="shared" si="13"/>
        <v>宗地面积</v>
      </c>
      <c r="AA38" s="1811" t="e">
        <f t="shared" si="3"/>
        <v>#N/A</v>
      </c>
      <c r="AB38" s="1811" t="e">
        <f t="shared" si="4"/>
        <v>#N/A</v>
      </c>
      <c r="AC38" s="1811" t="e">
        <f t="shared" si="5"/>
        <v>#N/A</v>
      </c>
    </row>
    <row r="39" spans="1:29" ht="15">
      <c r="A39" s="472"/>
      <c r="B39" s="422" t="s">
        <v>2743</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0"/>
      <c r="M39" s="1131"/>
      <c r="N39" s="1131"/>
      <c r="O39" s="1139"/>
      <c r="P39" s="3167"/>
      <c r="Q39" s="1810" t="str">
        <f t="shared" ref="Q39:Q45" si="14">B39</f>
        <v>宗地形状</v>
      </c>
      <c r="R39" s="774" t="s">
        <v>17</v>
      </c>
      <c r="S39" s="775">
        <f t="shared" si="10"/>
        <v>100</v>
      </c>
      <c r="T39" s="774" t="s">
        <v>17</v>
      </c>
      <c r="U39" s="775">
        <f t="shared" si="11"/>
        <v>100</v>
      </c>
      <c r="V39" s="774" t="s">
        <v>17</v>
      </c>
      <c r="W39" s="775">
        <f t="shared" si="12"/>
        <v>100</v>
      </c>
      <c r="X39" s="1813"/>
      <c r="Y39" s="3167"/>
      <c r="Z39" s="1814" t="str">
        <f t="shared" si="13"/>
        <v>宗地形状</v>
      </c>
      <c r="AA39" s="1811">
        <f t="shared" si="3"/>
        <v>1</v>
      </c>
      <c r="AB39" s="1811">
        <f t="shared" si="4"/>
        <v>1</v>
      </c>
      <c r="AC39" s="1811">
        <f t="shared" si="5"/>
        <v>1</v>
      </c>
    </row>
    <row r="40" spans="1:29" ht="15">
      <c r="A40" s="472"/>
      <c r="B40" s="422" t="s">
        <v>2744</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0"/>
      <c r="M40" s="1131"/>
      <c r="N40" s="1131"/>
      <c r="O40" s="1139"/>
      <c r="P40" s="3167"/>
      <c r="Q40" s="1810" t="str">
        <f t="shared" si="14"/>
        <v>临街宽度及深度</v>
      </c>
      <c r="R40" s="774" t="s">
        <v>17</v>
      </c>
      <c r="S40" s="775">
        <f t="shared" si="10"/>
        <v>100</v>
      </c>
      <c r="T40" s="774" t="s">
        <v>17</v>
      </c>
      <c r="U40" s="775">
        <f t="shared" si="11"/>
        <v>100</v>
      </c>
      <c r="V40" s="774" t="s">
        <v>17</v>
      </c>
      <c r="W40" s="775">
        <f t="shared" si="12"/>
        <v>100</v>
      </c>
      <c r="X40" s="1813"/>
      <c r="Y40" s="3167"/>
      <c r="Z40" s="1814" t="str">
        <f t="shared" si="13"/>
        <v>临街宽度及深度</v>
      </c>
      <c r="AA40" s="1811">
        <f t="shared" si="3"/>
        <v>1</v>
      </c>
      <c r="AB40" s="1811">
        <f t="shared" si="4"/>
        <v>1</v>
      </c>
      <c r="AC40" s="1811">
        <f t="shared" si="5"/>
        <v>1</v>
      </c>
    </row>
    <row r="41" spans="1:29" s="117" customFormat="1" ht="15">
      <c r="A41" s="473"/>
      <c r="B41" s="422" t="s">
        <v>2745</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2"/>
      <c r="M41" s="1133"/>
      <c r="N41" s="1133"/>
      <c r="O41" s="1134"/>
      <c r="P41" s="3167"/>
      <c r="Q41" s="1810" t="str">
        <f t="shared" si="14"/>
        <v>宗地开发程度</v>
      </c>
      <c r="R41" s="770" t="s">
        <v>17</v>
      </c>
      <c r="S41" s="771">
        <f t="shared" si="10"/>
        <v>100</v>
      </c>
      <c r="T41" s="770" t="s">
        <v>17</v>
      </c>
      <c r="U41" s="771">
        <f t="shared" si="11"/>
        <v>100</v>
      </c>
      <c r="V41" s="770" t="s">
        <v>17</v>
      </c>
      <c r="W41" s="771">
        <f t="shared" si="12"/>
        <v>100</v>
      </c>
      <c r="X41" s="772"/>
      <c r="Y41" s="3167"/>
      <c r="Z41" s="55" t="str">
        <f t="shared" si="13"/>
        <v>宗地开发程度</v>
      </c>
      <c r="AA41" s="773">
        <f t="shared" si="3"/>
        <v>1</v>
      </c>
      <c r="AB41" s="773">
        <f t="shared" si="4"/>
        <v>1</v>
      </c>
      <c r="AC41" s="773">
        <f t="shared" si="5"/>
        <v>1</v>
      </c>
    </row>
    <row r="42" spans="1:29" ht="15">
      <c r="A42" s="472"/>
      <c r="B42" s="422" t="s">
        <v>2746</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0"/>
      <c r="M42" s="1131"/>
      <c r="N42" s="1131"/>
      <c r="O42" s="1139"/>
      <c r="P42" s="3167" t="s">
        <v>2556</v>
      </c>
      <c r="Q42" s="1810" t="str">
        <f t="shared" si="14"/>
        <v>工程地质条件</v>
      </c>
      <c r="R42" s="774" t="s">
        <v>17</v>
      </c>
      <c r="S42" s="775">
        <f t="shared" si="10"/>
        <v>100</v>
      </c>
      <c r="T42" s="774" t="s">
        <v>17</v>
      </c>
      <c r="U42" s="775">
        <f t="shared" si="11"/>
        <v>100</v>
      </c>
      <c r="V42" s="774" t="s">
        <v>17</v>
      </c>
      <c r="W42" s="775">
        <f t="shared" si="12"/>
        <v>100</v>
      </c>
      <c r="X42" s="1813"/>
      <c r="Y42" s="3167" t="s">
        <v>2556</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67"/>
      <c r="Q43" s="1810">
        <f t="shared" si="14"/>
        <v>111</v>
      </c>
      <c r="R43" s="774" t="s">
        <v>17</v>
      </c>
      <c r="S43" s="775">
        <f t="shared" si="10"/>
        <v>100</v>
      </c>
      <c r="T43" s="774" t="s">
        <v>17</v>
      </c>
      <c r="U43" s="775">
        <f t="shared" si="11"/>
        <v>100</v>
      </c>
      <c r="V43" s="774" t="s">
        <v>17</v>
      </c>
      <c r="W43" s="775">
        <f t="shared" si="12"/>
        <v>100</v>
      </c>
      <c r="X43" s="1813"/>
      <c r="Y43" s="3167"/>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67"/>
      <c r="Q44" s="1810">
        <f t="shared" si="14"/>
        <v>111</v>
      </c>
      <c r="R44" s="774" t="s">
        <v>17</v>
      </c>
      <c r="S44" s="775">
        <f t="shared" si="10"/>
        <v>100</v>
      </c>
      <c r="T44" s="774" t="s">
        <v>17</v>
      </c>
      <c r="U44" s="775">
        <f t="shared" si="11"/>
        <v>100</v>
      </c>
      <c r="V44" s="774" t="s">
        <v>17</v>
      </c>
      <c r="W44" s="775">
        <f t="shared" si="12"/>
        <v>100</v>
      </c>
      <c r="X44" s="1813"/>
      <c r="Y44" s="3167"/>
      <c r="Z44" s="1814">
        <f t="shared" si="13"/>
        <v>111</v>
      </c>
      <c r="AA44" s="1811">
        <f t="shared" si="3"/>
        <v>1</v>
      </c>
      <c r="AB44" s="1811">
        <f t="shared" si="4"/>
        <v>1</v>
      </c>
      <c r="AC44" s="1811">
        <f t="shared" si="5"/>
        <v>1</v>
      </c>
    </row>
    <row r="45" spans="1:29" s="471" customFormat="1" ht="15.75" thickBot="1">
      <c r="A45" s="468"/>
      <c r="B45" s="1387">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67"/>
      <c r="Q45" s="1810">
        <f t="shared" si="14"/>
        <v>111</v>
      </c>
      <c r="R45" s="777" t="s">
        <v>17</v>
      </c>
      <c r="S45" s="778">
        <f t="shared" si="10"/>
        <v>100</v>
      </c>
      <c r="T45" s="777" t="s">
        <v>17</v>
      </c>
      <c r="U45" s="778">
        <f t="shared" si="11"/>
        <v>100</v>
      </c>
      <c r="V45" s="777" t="s">
        <v>17</v>
      </c>
      <c r="W45" s="778">
        <f t="shared" si="12"/>
        <v>100</v>
      </c>
      <c r="X45" s="779"/>
      <c r="Y45" s="3167"/>
      <c r="Z45" s="780">
        <f t="shared" si="13"/>
        <v>111</v>
      </c>
      <c r="AA45" s="1811">
        <f t="shared" si="3"/>
        <v>1</v>
      </c>
      <c r="AB45" s="1811">
        <f t="shared" si="4"/>
        <v>1</v>
      </c>
      <c r="AC45" s="1811">
        <f t="shared" si="5"/>
        <v>1</v>
      </c>
    </row>
    <row r="46" spans="1:29" ht="15">
      <c r="A46" s="479" t="s">
        <v>2711</v>
      </c>
      <c r="B46" s="2703" t="s">
        <v>2747</v>
      </c>
      <c r="C46" s="682" t="s">
        <v>1</v>
      </c>
      <c r="D46" s="481"/>
      <c r="E46" s="482"/>
      <c r="F46" s="483"/>
      <c r="G46" s="484"/>
      <c r="H46" s="485"/>
      <c r="I46" s="482"/>
      <c r="J46" s="485"/>
      <c r="K46" s="783"/>
      <c r="L46" s="1143"/>
      <c r="M46" s="1144"/>
      <c r="N46" s="1131"/>
      <c r="O46" s="1144"/>
      <c r="P46" s="3161" t="str">
        <f>A46</f>
        <v>成交单价</v>
      </c>
      <c r="Q46" s="3161"/>
      <c r="R46" s="3163">
        <f>E46</f>
        <v>0</v>
      </c>
      <c r="S46" s="3163"/>
      <c r="T46" s="3163">
        <f>G46</f>
        <v>0</v>
      </c>
      <c r="U46" s="3163"/>
      <c r="V46" s="3163">
        <f>I46</f>
        <v>0</v>
      </c>
      <c r="W46" s="3163"/>
      <c r="X46" s="759"/>
      <c r="Y46" s="781"/>
      <c r="Z46" s="759"/>
      <c r="AA46" s="759"/>
      <c r="AB46" s="759"/>
      <c r="AC46" s="759"/>
    </row>
    <row r="47" spans="1:29" ht="15.75" thickBot="1">
      <c r="A47" s="486" t="s">
        <v>2660</v>
      </c>
      <c r="B47" s="683"/>
      <c r="C47" s="490" t="e">
        <f>R48</f>
        <v>#DIV/0!</v>
      </c>
      <c r="D47" s="489"/>
      <c r="E47" s="490" t="e">
        <f>R47</f>
        <v>#DIV/0!</v>
      </c>
      <c r="F47" s="491"/>
      <c r="G47" s="488" t="e">
        <f>T47</f>
        <v>#DIV/0!</v>
      </c>
      <c r="H47" s="489"/>
      <c r="I47" s="490" t="e">
        <f>V47</f>
        <v>#DIV/0!</v>
      </c>
      <c r="J47" s="489"/>
      <c r="K47" s="784"/>
      <c r="L47" s="1143"/>
      <c r="M47" s="1144"/>
      <c r="N47" s="1144"/>
      <c r="O47" s="1144"/>
      <c r="P47" s="3161" t="str">
        <f>A47</f>
        <v>比较价值（元/平方米）</v>
      </c>
      <c r="Q47" s="3161"/>
      <c r="R47" s="3162" t="e">
        <f>ROUND(PRODUCT(R46,AA7:AA45),0)</f>
        <v>#DIV/0!</v>
      </c>
      <c r="S47" s="3162"/>
      <c r="T47" s="3162" t="e">
        <f>ROUND(PRODUCT(T46,AB7:AB45),0)</f>
        <v>#DIV/0!</v>
      </c>
      <c r="U47" s="3162"/>
      <c r="V47" s="3162" t="e">
        <f>ROUND(PRODUCT(V46,AC7:AC45),0)</f>
        <v>#DIV/0!</v>
      </c>
      <c r="W47" s="3162"/>
      <c r="X47" s="759"/>
      <c r="Y47" s="759"/>
      <c r="Z47" s="759"/>
      <c r="AA47" s="759"/>
      <c r="AB47" s="759"/>
      <c r="AC47" s="759"/>
    </row>
    <row r="48" spans="1:29" ht="15.75" thickBot="1">
      <c r="A48" s="492" t="s">
        <v>2748</v>
      </c>
      <c r="B48" s="493"/>
      <c r="C48" s="494" t="e">
        <f>R48</f>
        <v>#DIV/0!</v>
      </c>
      <c r="D48" s="494"/>
      <c r="E48" s="494"/>
      <c r="F48" s="494"/>
      <c r="G48" s="494"/>
      <c r="H48" s="494"/>
      <c r="I48" s="494"/>
      <c r="J48" s="494"/>
      <c r="K48" s="785"/>
      <c r="L48" s="1143"/>
      <c r="M48" s="1144"/>
      <c r="N48" s="1144"/>
      <c r="O48" s="1144"/>
      <c r="P48" s="3158" t="str">
        <f>A48</f>
        <v>估价对象XX用房的比较价值（楼面单价，元/平方米）</v>
      </c>
      <c r="Q48" s="3159"/>
      <c r="R48" s="3160" t="e">
        <f>ROUND(AVERAGE(R47:V47),0)</f>
        <v>#DIV/0!</v>
      </c>
      <c r="S48" s="3160"/>
      <c r="T48" s="3160"/>
      <c r="U48" s="3160"/>
      <c r="V48" s="3160"/>
      <c r="W48" s="3160"/>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2749</v>
      </c>
      <c r="B55" s="685" t="s">
        <v>2750</v>
      </c>
      <c r="C55" s="2704" t="s">
        <v>2751</v>
      </c>
      <c r="D55" s="2705" t="s">
        <v>2752</v>
      </c>
      <c r="E55" s="686" t="s">
        <v>2753</v>
      </c>
      <c r="F55" s="1107" t="s">
        <v>2754</v>
      </c>
      <c r="G55" s="3171" t="s">
        <v>2755</v>
      </c>
      <c r="H55" s="3185"/>
      <c r="I55" s="144" t="s">
        <v>2756</v>
      </c>
      <c r="J55" s="2706">
        <f>项目基本情况!F35</f>
        <v>0</v>
      </c>
      <c r="K55" s="2707" t="s">
        <v>2757</v>
      </c>
      <c r="L55" s="1106"/>
      <c r="M55" s="1144"/>
      <c r="N55" s="1144"/>
      <c r="O55" s="1144"/>
    </row>
    <row r="56" spans="1:15" s="692" customFormat="1">
      <c r="A56" s="688" t="s">
        <v>2758</v>
      </c>
      <c r="B56" s="689" t="e">
        <f>C48</f>
        <v>#DIV/0!</v>
      </c>
      <c r="C56" s="690">
        <v>1</v>
      </c>
      <c r="D56" s="1163">
        <v>1</v>
      </c>
      <c r="E56" s="690">
        <f>'数据-汇总表'!E8+'数据-汇总表'!E9</f>
        <v>2422.75</v>
      </c>
      <c r="F56" s="1103" t="e">
        <f t="shared" ref="F56:F65" si="15">ROUND(B56*E56/10000,0)</f>
        <v>#DIV/0!</v>
      </c>
      <c r="G56" s="3186"/>
      <c r="H56" s="3161"/>
      <c r="I56" s="1108">
        <v>1</v>
      </c>
      <c r="J56" s="1111">
        <v>1</v>
      </c>
      <c r="K56" s="1145"/>
      <c r="L56" s="941"/>
      <c r="M56" s="941"/>
      <c r="N56" s="941"/>
      <c r="O56" s="941"/>
    </row>
    <row r="57" spans="1:15" s="692" customFormat="1">
      <c r="A57" s="693" t="s">
        <v>2759</v>
      </c>
      <c r="B57" s="262" t="e">
        <f>ROUND($C$48*C57*D57,0)</f>
        <v>#DIV/0!</v>
      </c>
      <c r="C57" s="200">
        <f t="shared" ref="C57:C65" si="16">IF($C$55="北京市系数",I57,J57)</f>
        <v>0</v>
      </c>
      <c r="D57" s="1164">
        <v>0.25</v>
      </c>
      <c r="E57" s="694"/>
      <c r="F57" s="1103" t="e">
        <f t="shared" si="15"/>
        <v>#DIV/0!</v>
      </c>
      <c r="G57" s="3187" t="s">
        <v>2760</v>
      </c>
      <c r="H57" s="1104">
        <f>项目基本情况!B37</f>
        <v>0</v>
      </c>
      <c r="I57" s="1108">
        <f>SUMIF(修正!A45:A56,H57,修正!B45:B56)</f>
        <v>0</v>
      </c>
      <c r="J57" s="1112"/>
      <c r="K57" s="1144"/>
      <c r="L57" s="941"/>
      <c r="M57" s="941"/>
      <c r="N57" s="941"/>
      <c r="O57" s="941"/>
    </row>
    <row r="58" spans="1:15" s="692" customFormat="1">
      <c r="A58" s="693" t="s">
        <v>2761</v>
      </c>
      <c r="B58" s="262" t="e">
        <f t="shared" ref="B58:B65" si="17">ROUND($C$48*C58*D58,0)</f>
        <v>#DIV/0!</v>
      </c>
      <c r="C58" s="200">
        <f t="shared" si="16"/>
        <v>0</v>
      </c>
      <c r="D58" s="1164">
        <v>0.25</v>
      </c>
      <c r="E58" s="694"/>
      <c r="F58" s="1103" t="e">
        <f t="shared" si="15"/>
        <v>#DIV/0!</v>
      </c>
      <c r="G58" s="3187"/>
      <c r="H58" s="1104">
        <f>项目基本情况!B37</f>
        <v>0</v>
      </c>
      <c r="I58" s="1108">
        <f>SUMIF(修正!A45:A56,H58,修正!C45:C56)</f>
        <v>0</v>
      </c>
      <c r="J58" s="1112"/>
      <c r="K58" s="1145"/>
      <c r="L58" s="941"/>
      <c r="M58" s="941"/>
      <c r="N58" s="941"/>
      <c r="O58" s="941"/>
    </row>
    <row r="59" spans="1:15" s="692" customFormat="1">
      <c r="A59" s="693" t="s">
        <v>2762</v>
      </c>
      <c r="B59" s="262" t="e">
        <f t="shared" si="17"/>
        <v>#DIV/0!</v>
      </c>
      <c r="C59" s="200">
        <f t="shared" si="16"/>
        <v>0</v>
      </c>
      <c r="D59" s="1164">
        <v>0.25</v>
      </c>
      <c r="E59" s="694"/>
      <c r="F59" s="1103" t="e">
        <f t="shared" si="15"/>
        <v>#DIV/0!</v>
      </c>
      <c r="G59" s="3187"/>
      <c r="H59" s="1104">
        <f>项目基本情况!B37</f>
        <v>0</v>
      </c>
      <c r="I59" s="1108">
        <f>SUMIF(修正!A45:A56,H59,修正!D45:D56)</f>
        <v>0</v>
      </c>
      <c r="J59" s="1112"/>
      <c r="K59" s="1144"/>
      <c r="L59" s="941"/>
      <c r="M59" s="941"/>
      <c r="N59" s="941"/>
      <c r="O59" s="941"/>
    </row>
    <row r="60" spans="1:15" s="692" customFormat="1">
      <c r="A60" s="693" t="s">
        <v>2763</v>
      </c>
      <c r="B60" s="262" t="e">
        <f t="shared" si="17"/>
        <v>#DIV/0!</v>
      </c>
      <c r="C60" s="200">
        <f t="shared" si="16"/>
        <v>0</v>
      </c>
      <c r="D60" s="1164">
        <v>0.25</v>
      </c>
      <c r="E60" s="694"/>
      <c r="F60" s="1103" t="e">
        <f t="shared" si="15"/>
        <v>#DIV/0!</v>
      </c>
      <c r="G60" s="3187"/>
      <c r="H60" s="1104">
        <f>项目基本情况!B37</f>
        <v>0</v>
      </c>
      <c r="I60" s="1108">
        <f>SUMIF(修正!A45:A56,H60,修正!E45:E56)</f>
        <v>0</v>
      </c>
      <c r="J60" s="1112"/>
      <c r="K60" s="1145"/>
      <c r="L60" s="941"/>
      <c r="M60" s="941"/>
      <c r="N60" s="941"/>
      <c r="O60" s="941"/>
    </row>
    <row r="61" spans="1:15" s="692" customFormat="1">
      <c r="A61" s="693" t="s">
        <v>2764</v>
      </c>
      <c r="B61" s="262" t="e">
        <f t="shared" si="17"/>
        <v>#DIV/0!</v>
      </c>
      <c r="C61" s="200">
        <f t="shared" si="16"/>
        <v>0</v>
      </c>
      <c r="D61" s="1164">
        <v>0.25</v>
      </c>
      <c r="E61" s="261">
        <f>'数据-汇总表'!E11</f>
        <v>0</v>
      </c>
      <c r="F61" s="1103" t="e">
        <f t="shared" si="15"/>
        <v>#DIV/0!</v>
      </c>
      <c r="G61" s="2708" t="s">
        <v>2765</v>
      </c>
      <c r="H61" s="1104">
        <f>项目基本情况!C37</f>
        <v>0</v>
      </c>
      <c r="I61" s="1108">
        <f>SUMIF(修正!A45:A56,H61,修正!F45:F56)</f>
        <v>0</v>
      </c>
      <c r="J61" s="1112"/>
      <c r="K61" s="1144"/>
      <c r="L61" s="941"/>
      <c r="M61" s="941"/>
      <c r="N61" s="941"/>
      <c r="O61" s="941"/>
    </row>
    <row r="62" spans="1:15" s="692" customFormat="1">
      <c r="A62" s="693" t="s">
        <v>2766</v>
      </c>
      <c r="B62" s="262" t="e">
        <f t="shared" si="17"/>
        <v>#DIV/0!</v>
      </c>
      <c r="C62" s="200">
        <f t="shared" si="16"/>
        <v>0</v>
      </c>
      <c r="D62" s="1164">
        <v>0.25</v>
      </c>
      <c r="E62" s="261">
        <f>'数据-汇总表'!E12</f>
        <v>0</v>
      </c>
      <c r="F62" s="1103" t="e">
        <f t="shared" si="15"/>
        <v>#DIV/0!</v>
      </c>
      <c r="G62" s="1109" t="s">
        <v>2767</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2768</v>
      </c>
      <c r="B63" s="262" t="e">
        <f t="shared" si="17"/>
        <v>#DIV/0!</v>
      </c>
      <c r="C63" s="200">
        <f t="shared" si="16"/>
        <v>0</v>
      </c>
      <c r="D63" s="1164">
        <v>0.25</v>
      </c>
      <c r="E63" s="261">
        <f>'数据-汇总表'!E13</f>
        <v>0</v>
      </c>
      <c r="F63" s="1103" t="e">
        <f t="shared" si="15"/>
        <v>#DIV/0!</v>
      </c>
      <c r="G63" s="1109" t="s">
        <v>2769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2770</v>
      </c>
      <c r="B64" s="262" t="e">
        <f t="shared" si="17"/>
        <v>#DIV/0!</v>
      </c>
      <c r="C64" s="200">
        <f t="shared" si="16"/>
        <v>0</v>
      </c>
      <c r="D64" s="1164">
        <v>0.25</v>
      </c>
      <c r="E64" s="261">
        <f>'数据-汇总表'!E14</f>
        <v>0</v>
      </c>
      <c r="F64" s="1103" t="e">
        <f t="shared" si="15"/>
        <v>#DIV/0!</v>
      </c>
      <c r="G64" s="2708" t="s">
        <v>2760</v>
      </c>
      <c r="H64" s="1104">
        <f>项目基本情况!B37</f>
        <v>0</v>
      </c>
      <c r="I64" s="1108">
        <f>SUMIF(修正!A45:A56,H64,修正!H45:H56)</f>
        <v>0</v>
      </c>
      <c r="J64" s="1112"/>
      <c r="K64" s="1145"/>
      <c r="L64" s="941"/>
      <c r="M64" s="941"/>
      <c r="N64" s="941"/>
      <c r="O64" s="941"/>
    </row>
    <row r="65" spans="1:17" s="692" customFormat="1" ht="15" thickBot="1">
      <c r="A65" s="693" t="s">
        <v>2771</v>
      </c>
      <c r="B65" s="262" t="e">
        <f t="shared" si="17"/>
        <v>#DIV/0!</v>
      </c>
      <c r="C65" s="200">
        <f t="shared" si="16"/>
        <v>0</v>
      </c>
      <c r="D65" s="1164">
        <v>0.25</v>
      </c>
      <c r="E65" s="261">
        <f>'数据-汇总表'!E15</f>
        <v>0</v>
      </c>
      <c r="F65" s="1103" t="e">
        <f t="shared" si="15"/>
        <v>#DIV/0!</v>
      </c>
      <c r="G65" s="2709" t="s">
        <v>2765</v>
      </c>
      <c r="H65" s="1114">
        <f>项目基本情况!C37</f>
        <v>0</v>
      </c>
      <c r="I65" s="1110">
        <f>SUMIF(修正!A45:A56,H65,修正!H45:H56)</f>
        <v>0</v>
      </c>
      <c r="J65" s="1113"/>
      <c r="K65" s="1144"/>
      <c r="L65" s="941"/>
      <c r="M65" s="941"/>
      <c r="N65" s="941"/>
      <c r="O65" s="941"/>
    </row>
    <row r="66" spans="1:17" s="692" customFormat="1" ht="13.5" thickBot="1">
      <c r="A66" s="695" t="s">
        <v>2772</v>
      </c>
      <c r="B66" s="696" t="s">
        <v>28</v>
      </c>
      <c r="C66" s="696" t="s">
        <v>29</v>
      </c>
      <c r="D66" s="696" t="s">
        <v>1026</v>
      </c>
      <c r="E66" s="696">
        <f>IF(B46="楼面地价",SUM(E56:E65),'数据-汇总表'!D3)</f>
        <v>2422.75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2020-7-1</v>
      </c>
      <c r="D68" s="761">
        <f>EDATE(C68,-3)</f>
        <v>43922</v>
      </c>
      <c r="E68" s="761">
        <f>EDATE(D68,-3)</f>
        <v>43831</v>
      </c>
      <c r="F68" s="761">
        <f t="shared" ref="F68:O68" si="18">EDATE(E68,-3)</f>
        <v>43739</v>
      </c>
      <c r="G68" s="761">
        <f t="shared" si="18"/>
        <v>43647</v>
      </c>
      <c r="H68" s="761">
        <f t="shared" si="18"/>
        <v>43556</v>
      </c>
      <c r="I68" s="761">
        <f t="shared" si="18"/>
        <v>43466</v>
      </c>
      <c r="J68" s="761">
        <f t="shared" si="18"/>
        <v>43374</v>
      </c>
      <c r="K68" s="761">
        <f t="shared" si="18"/>
        <v>43282</v>
      </c>
      <c r="L68" s="761">
        <f t="shared" si="18"/>
        <v>43191</v>
      </c>
      <c r="M68" s="761">
        <f t="shared" si="18"/>
        <v>43101</v>
      </c>
      <c r="N68" s="761">
        <f t="shared" si="18"/>
        <v>43009</v>
      </c>
      <c r="O68" s="761">
        <f t="shared" si="18"/>
        <v>42917</v>
      </c>
    </row>
    <row r="69" spans="1:17" ht="21.75" thickBot="1">
      <c r="A69" s="763" t="s">
        <v>2665</v>
      </c>
      <c r="B69" s="759"/>
      <c r="C69" s="764"/>
      <c r="D69" s="764"/>
      <c r="E69" s="764"/>
      <c r="F69" s="765"/>
      <c r="G69" s="765"/>
      <c r="H69" s="764"/>
      <c r="I69" s="764"/>
      <c r="J69" s="1159"/>
      <c r="K69" s="1160"/>
      <c r="L69" s="1161"/>
      <c r="M69" s="1159"/>
      <c r="N69" s="1159"/>
      <c r="O69" s="1159"/>
      <c r="P69" s="503"/>
      <c r="Q69" s="504"/>
    </row>
    <row r="70" spans="1:17" s="508" customFormat="1" ht="15">
      <c r="A70" s="2710" t="s">
        <v>2773</v>
      </c>
      <c r="B70" s="1359"/>
      <c r="C70" s="1572" t="str">
        <f>YEAR(C68)&amp;"-"&amp;ROUNDUP(MONTH(C68)/3,0)</f>
        <v>2020-3</v>
      </c>
      <c r="D70" s="1572" t="str">
        <f>YEAR(D68)&amp;"-"&amp;ROUNDUP(MONTH(D68)/3,0)</f>
        <v>2020-2</v>
      </c>
      <c r="E70" s="1572" t="str">
        <f t="shared" ref="E70:O70" si="19">YEAR(E68)&amp;"-"&amp;ROUNDUP(MONTH(E68)/3,0)</f>
        <v>2020-1</v>
      </c>
      <c r="F70" s="1572" t="str">
        <f t="shared" si="19"/>
        <v>2019-4</v>
      </c>
      <c r="G70" s="1572" t="str">
        <f t="shared" si="19"/>
        <v>2019-3</v>
      </c>
      <c r="H70" s="1572" t="str">
        <f t="shared" si="19"/>
        <v>2019-2</v>
      </c>
      <c r="I70" s="1572" t="str">
        <f t="shared" si="19"/>
        <v>2019-1</v>
      </c>
      <c r="J70" s="1572" t="str">
        <f t="shared" si="19"/>
        <v>2018-4</v>
      </c>
      <c r="K70" s="1572" t="str">
        <f t="shared" si="19"/>
        <v>2018-3</v>
      </c>
      <c r="L70" s="1572" t="str">
        <f t="shared" si="19"/>
        <v>2018-2</v>
      </c>
      <c r="M70" s="1572" t="str">
        <f t="shared" si="19"/>
        <v>2018-1</v>
      </c>
      <c r="N70" s="1572" t="str">
        <f t="shared" si="19"/>
        <v>2017-4</v>
      </c>
      <c r="O70" s="1572" t="str">
        <f t="shared" si="19"/>
        <v>2017-3</v>
      </c>
      <c r="P70" s="507"/>
    </row>
    <row r="71" spans="1:17" s="117" customFormat="1" ht="30" customHeight="1">
      <c r="A71" s="2711" t="s">
        <v>2774</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7"/>
      <c r="N71" s="595"/>
      <c r="O71" s="1568"/>
      <c r="P71" s="504"/>
    </row>
    <row r="72" spans="1:17" s="117" customFormat="1" ht="15.75" thickBot="1">
      <c r="A72" s="515" t="s">
        <v>2576</v>
      </c>
      <c r="B72" s="516"/>
      <c r="C72" s="517"/>
      <c r="D72" s="518"/>
      <c r="E72" s="518"/>
      <c r="F72" s="518"/>
      <c r="G72" s="518"/>
      <c r="H72" s="518"/>
      <c r="I72" s="518"/>
      <c r="J72" s="518"/>
      <c r="K72" s="518"/>
      <c r="L72" s="518"/>
      <c r="M72" s="519"/>
      <c r="N72" s="518"/>
      <c r="O72" s="1162"/>
      <c r="P72" s="504"/>
      <c r="Q72" s="504"/>
    </row>
    <row r="73" spans="1:17" s="117" customFormat="1" ht="15">
      <c r="A73" s="521" t="s">
        <v>2541</v>
      </c>
      <c r="B73" s="510"/>
      <c r="C73" s="522" t="s">
        <v>2643</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2579</v>
      </c>
      <c r="B75" s="528" t="s">
        <v>2545</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2548</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2775</v>
      </c>
      <c r="C90" s="578" t="s">
        <v>2588</v>
      </c>
      <c r="D90" s="578" t="s">
        <v>2589</v>
      </c>
      <c r="E90" s="578" t="s">
        <v>2590</v>
      </c>
      <c r="F90" s="578" t="s">
        <v>2591</v>
      </c>
      <c r="G90" s="578" t="s">
        <v>2592</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2776</v>
      </c>
      <c r="C96" s="578" t="s">
        <v>2588</v>
      </c>
      <c r="D96" s="578" t="s">
        <v>2589</v>
      </c>
      <c r="E96" s="578" t="s">
        <v>2590</v>
      </c>
      <c r="F96" s="578" t="s">
        <v>2591</v>
      </c>
      <c r="G96" s="578" t="s">
        <v>2592</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2777</v>
      </c>
      <c r="C98" s="573" t="s">
        <v>2588</v>
      </c>
      <c r="D98" s="573" t="s">
        <v>2589</v>
      </c>
      <c r="E98" s="573" t="s">
        <v>2590</v>
      </c>
      <c r="F98" s="573" t="s">
        <v>2591</v>
      </c>
      <c r="G98" s="573" t="s">
        <v>2592</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2778</v>
      </c>
      <c r="D104" s="539" t="s">
        <v>2779</v>
      </c>
      <c r="E104" s="539" t="s">
        <v>2780</v>
      </c>
      <c r="F104" s="539" t="s">
        <v>2781</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2682</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2741</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2554</v>
      </c>
      <c r="B116" s="528" t="s">
        <v>2782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2783</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2784</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2785</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2786</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8" priority="14" stopIfTrue="1" operator="containsText" text="超过">
      <formula>NOT(ISERROR(SEARCH("超过",F51)))</formula>
    </cfRule>
  </conditionalFormatting>
  <conditionalFormatting sqref="J53">
    <cfRule type="containsText" dxfId="17" priority="13" stopIfTrue="1" operator="containsText" text="超过">
      <formula>NOT(ISERROR(SEARCH("超过",J53)))</formula>
    </cfRule>
  </conditionalFormatting>
  <conditionalFormatting sqref="H53">
    <cfRule type="containsText" dxfId="16" priority="12" stopIfTrue="1" operator="containsText" text="超过">
      <formula>NOT(ISERROR(SEARCH("超过",H53)))</formula>
    </cfRule>
  </conditionalFormatting>
  <conditionalFormatting sqref="F53">
    <cfRule type="containsText" dxfId="15" priority="11" stopIfTrue="1" operator="containsText" text="超过">
      <formula>NOT(ISERROR(SEARCH("超过",F53)))</formula>
    </cfRule>
  </conditionalFormatting>
  <conditionalFormatting sqref="F52 H52 J52">
    <cfRule type="containsText" dxfId="14" priority="10" stopIfTrue="1" operator="containsText" text="超过">
      <formula>NOT(ISERROR(SEARCH("超过",F52)))</formula>
    </cfRule>
  </conditionalFormatting>
  <conditionalFormatting sqref="E51">
    <cfRule type="expression" dxfId="13" priority="9" stopIfTrue="1">
      <formula>$F$51="超过30%"</formula>
    </cfRule>
  </conditionalFormatting>
  <conditionalFormatting sqref="G53">
    <cfRule type="expression" dxfId="12" priority="8" stopIfTrue="1">
      <formula>$H$53="超过30%"</formula>
    </cfRule>
  </conditionalFormatting>
  <conditionalFormatting sqref="E52">
    <cfRule type="expression" dxfId="11" priority="7" stopIfTrue="1">
      <formula>$F$52="超过20%"</formula>
    </cfRule>
  </conditionalFormatting>
  <conditionalFormatting sqref="E53">
    <cfRule type="expression" dxfId="10" priority="6" stopIfTrue="1">
      <formula>$F$53="超过30%"</formula>
    </cfRule>
  </conditionalFormatting>
  <conditionalFormatting sqref="G51">
    <cfRule type="expression" dxfId="9" priority="5" stopIfTrue="1">
      <formula>$H$53+$H$51="超过30%"</formula>
    </cfRule>
  </conditionalFormatting>
  <conditionalFormatting sqref="G52">
    <cfRule type="expression" dxfId="8" priority="4" stopIfTrue="1">
      <formula>$H$52="超过20%"</formula>
    </cfRule>
  </conditionalFormatting>
  <conditionalFormatting sqref="I51">
    <cfRule type="expression" dxfId="7" priority="3" stopIfTrue="1">
      <formula>$J$51="超过30%"</formula>
    </cfRule>
  </conditionalFormatting>
  <conditionalFormatting sqref="I52">
    <cfRule type="expression" dxfId="6" priority="2" stopIfTrue="1">
      <formula>$J$52="超过20%"</formula>
    </cfRule>
  </conditionalFormatting>
  <conditionalFormatting sqref="I53">
    <cfRule type="expression" dxfId="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sheetPr>
  <dimension ref="A1:AK118"/>
  <sheetViews>
    <sheetView zoomScale="80" zoomScaleNormal="80" zoomScaleSheetLayoutView="96" workbookViewId="0">
      <selection activeCell="I24" activeCellId="1" sqref="E3 I24"/>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2" customWidth="1"/>
    <col min="33" max="36" width="9.375" style="2787" customWidth="1"/>
    <col min="37" max="38" width="9.375" style="2719" customWidth="1"/>
    <col min="39" max="16384" width="12" style="2719"/>
  </cols>
  <sheetData>
    <row r="1" spans="1:36" ht="28.5">
      <c r="A1" s="240" t="s">
        <v>2794</v>
      </c>
      <c r="B1" s="241"/>
      <c r="C1" s="245" t="s">
        <v>2795</v>
      </c>
      <c r="D1" s="388">
        <f>SUM(D29:D30,D33:D39)</f>
        <v>0</v>
      </c>
      <c r="E1" s="2716"/>
      <c r="F1" s="2716"/>
      <c r="G1" s="2716"/>
      <c r="H1" s="2716"/>
      <c r="I1" s="2716"/>
      <c r="J1" s="2716"/>
      <c r="K1" s="1370"/>
      <c r="L1" s="2717" t="s">
        <v>2796</v>
      </c>
      <c r="M1" s="1080">
        <f>SUMPRODUCT((区片价!B5:B9=I2)*(区片价!C3:F3=E2)*(区片价!C5:F9))</f>
        <v>0</v>
      </c>
      <c r="N1" s="1083">
        <f>SUMPRODUCT((因素修正幅度!B5:B9=I2)*(因素修正幅度!C3:F3=E2)*(因素修正幅度!C5:F9))</f>
        <v>0</v>
      </c>
      <c r="O1" s="2718"/>
      <c r="P1" s="2718"/>
      <c r="Q1" s="1370"/>
      <c r="R1" s="1602" t="s">
        <v>2797</v>
      </c>
      <c r="S1" s="1602" t="s">
        <v>2798</v>
      </c>
      <c r="T1" s="1602" t="s">
        <v>2799</v>
      </c>
      <c r="U1" s="1602" t="s">
        <v>2800</v>
      </c>
      <c r="V1" s="1602" t="s">
        <v>2801</v>
      </c>
      <c r="W1" s="1606"/>
      <c r="X1" s="1606"/>
      <c r="Y1" s="1606"/>
      <c r="Z1" s="1606"/>
      <c r="AA1" s="1606"/>
      <c r="AB1" s="1606"/>
      <c r="AC1" s="1607"/>
      <c r="AD1" s="1608"/>
      <c r="AE1" s="1608"/>
      <c r="AF1" s="1608"/>
      <c r="AG1" s="1608"/>
      <c r="AH1" s="1608"/>
      <c r="AI1" s="1608"/>
      <c r="AJ1" s="1609"/>
    </row>
    <row r="2" spans="1:36" ht="15.75">
      <c r="A2" s="245" t="s">
        <v>2802</v>
      </c>
      <c r="B2" s="248" t="e">
        <f>C26</f>
        <v>#DIV/0!</v>
      </c>
      <c r="C2" s="2720" t="s">
        <v>2803</v>
      </c>
      <c r="D2" s="2721" t="s">
        <v>2804</v>
      </c>
      <c r="E2" s="2722"/>
      <c r="F2" s="2721" t="s">
        <v>2805</v>
      </c>
      <c r="G2" s="2723">
        <f>IF(E2="商业",项目基本情况!B37,IF(E2="办公",项目基本情况!C37,IF(E2="住宅",项目基本情况!D37,项目基本情况!E37)))</f>
        <v>0</v>
      </c>
      <c r="H2" s="2721" t="s">
        <v>2806</v>
      </c>
      <c r="I2" s="2723">
        <f>IF(E2="商业",项目基本情况!B38,IF(E2="办公",项目基本情况!C38,IF(E2="住宅",项目基本情况!D38,项目基本情况!E38)))</f>
        <v>0</v>
      </c>
      <c r="J2" s="2724"/>
      <c r="K2" s="1370"/>
      <c r="L2" s="2725" t="s">
        <v>2807</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2808</v>
      </c>
      <c r="B3" s="248" t="e">
        <f>ROUND(B2*10000/D1,0)</f>
        <v>#DIV/0!</v>
      </c>
      <c r="C3" s="2720" t="s">
        <v>2809</v>
      </c>
      <c r="D3" s="2721" t="s">
        <v>2810</v>
      </c>
      <c r="E3" s="2726"/>
      <c r="F3" s="2727" t="s">
        <v>2811</v>
      </c>
      <c r="G3" s="916">
        <f>IF(F3="宗地容积率",'数据-汇总表'!I4,IF(F3="估价对象容积率",'数据-汇总表'!I6,'数据-汇总表'!I7))</f>
        <v>0.41</v>
      </c>
      <c r="H3" s="198" t="s">
        <v>2812</v>
      </c>
      <c r="I3" s="944"/>
      <c r="J3" s="2724" t="s">
        <v>2813</v>
      </c>
      <c r="K3" s="1370"/>
      <c r="L3" s="2725" t="s">
        <v>2814</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71"/>
      <c r="B4" s="3272"/>
      <c r="C4" s="3272"/>
      <c r="D4" s="3273"/>
      <c r="E4" s="3273"/>
      <c r="F4" s="3273"/>
      <c r="G4" s="3273"/>
      <c r="H4" s="3273"/>
      <c r="I4" s="3273"/>
      <c r="J4" s="3274"/>
      <c r="K4" s="1370"/>
      <c r="L4" s="2725" t="s">
        <v>2815</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2816</v>
      </c>
      <c r="C5" s="917" t="e">
        <f>ROUND(IF(E2="商业",C6*C7+C16,(IF(E2="住宅",C6*C12+C16,C6+C16))),0)</f>
        <v>#DIV/0!</v>
      </c>
      <c r="D5" s="1787" t="e">
        <f>ROUND(C6+C16,0)</f>
        <v>#DIV/0!</v>
      </c>
      <c r="E5" s="1787"/>
      <c r="F5" s="2730"/>
      <c r="G5" s="2731"/>
      <c r="H5" s="2731"/>
      <c r="I5" s="2731"/>
      <c r="J5" s="2732"/>
      <c r="K5" s="2733"/>
      <c r="L5" s="2725" t="s">
        <v>2817</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4"/>
      <c r="AD5" s="2735"/>
      <c r="AE5" s="2735"/>
      <c r="AF5" s="2735"/>
      <c r="AG5" s="2735"/>
      <c r="AH5" s="2735"/>
      <c r="AI5" s="2735"/>
      <c r="AJ5" s="2736"/>
    </row>
    <row r="6" spans="1:36" ht="15.75" thickBot="1">
      <c r="A6" s="2738" t="s">
        <v>2818</v>
      </c>
      <c r="B6" s="2739" t="s">
        <v>2819</v>
      </c>
      <c r="C6" s="918">
        <f>SUMIF(L1:L12,G2,M1:M12)</f>
        <v>0</v>
      </c>
      <c r="D6" s="2740" t="s">
        <v>2820</v>
      </c>
      <c r="E6" s="2741"/>
      <c r="F6" s="2741"/>
      <c r="G6" s="2742"/>
      <c r="H6" s="2742"/>
      <c r="I6" s="2742"/>
      <c r="J6" s="2743"/>
      <c r="K6" s="1842"/>
      <c r="L6" s="2725" t="s">
        <v>2821</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4"/>
      <c r="AD6" s="2735"/>
      <c r="AE6" s="2735"/>
      <c r="AF6" s="2735"/>
      <c r="AG6" s="2735"/>
      <c r="AH6" s="2735"/>
      <c r="AI6" s="2735"/>
      <c r="AJ6" s="2736"/>
    </row>
    <row r="7" spans="1:36" ht="24">
      <c r="A7" s="3255" t="str">
        <f>IF(E2="商业",IF(C8="不临58条商业街","",2),"")</f>
        <v/>
      </c>
      <c r="B7" s="2744" t="s">
        <v>2822</v>
      </c>
      <c r="C7" s="919" t="e">
        <f>IF(C8="不临58条商业街",1,ROUND(1+(1.6*E8+1.2*E9+0.8*E10+0.4*E11)*C9,4))</f>
        <v>#DIV/0!</v>
      </c>
      <c r="D7" s="2745" t="s">
        <v>2823</v>
      </c>
      <c r="E7" s="945"/>
      <c r="F7" s="2746"/>
      <c r="G7" s="2747"/>
      <c r="H7" s="2747"/>
      <c r="I7" s="2747"/>
      <c r="J7" s="2748"/>
      <c r="K7" s="1842"/>
      <c r="L7" s="2725" t="s">
        <v>2824</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2825</v>
      </c>
      <c r="X7" s="1604">
        <f>G2</f>
        <v>0</v>
      </c>
      <c r="Y7" s="1604" t="s">
        <v>2826</v>
      </c>
      <c r="Z7" s="1605">
        <f>G3</f>
        <v>0.41</v>
      </c>
      <c r="AA7" s="1606"/>
      <c r="AB7" s="1606"/>
      <c r="AC7" s="1607"/>
      <c r="AD7" s="1608"/>
      <c r="AE7" s="1608"/>
      <c r="AF7" s="1608"/>
      <c r="AG7" s="1608"/>
      <c r="AH7" s="1608"/>
      <c r="AI7" s="1608"/>
      <c r="AJ7" s="1609"/>
    </row>
    <row r="8" spans="1:36" ht="15">
      <c r="A8" s="3275"/>
      <c r="B8" s="198" t="s">
        <v>2827</v>
      </c>
      <c r="C8" s="2749"/>
      <c r="D8" s="920" t="s">
        <v>139</v>
      </c>
      <c r="E8" s="921" t="e">
        <f>ROUND(C11/E7,4)</f>
        <v>#DIV/0!</v>
      </c>
      <c r="F8" s="2750" t="s">
        <v>2828</v>
      </c>
      <c r="G8" s="2751"/>
      <c r="H8" s="2751"/>
      <c r="I8" s="2751"/>
      <c r="J8" s="2752"/>
      <c r="K8" s="1370"/>
      <c r="L8" s="2725" t="s">
        <v>2829</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68" t="s">
        <v>2830</v>
      </c>
      <c r="X8" s="3269"/>
      <c r="Y8" s="1610" t="s">
        <v>2831</v>
      </c>
      <c r="Z8" s="1610" t="s">
        <v>2832</v>
      </c>
      <c r="AA8" s="1610" t="s">
        <v>2833</v>
      </c>
      <c r="AB8" s="1610" t="s">
        <v>2834</v>
      </c>
      <c r="AC8" s="1610" t="s">
        <v>2835</v>
      </c>
      <c r="AD8" s="1610" t="s">
        <v>2836</v>
      </c>
      <c r="AE8" s="1610" t="s">
        <v>2837</v>
      </c>
      <c r="AF8" s="1610" t="s">
        <v>2838</v>
      </c>
      <c r="AG8" s="1610" t="s">
        <v>2839</v>
      </c>
      <c r="AH8" s="1610" t="s">
        <v>2840</v>
      </c>
      <c r="AI8" s="1610" t="s">
        <v>2841</v>
      </c>
      <c r="AJ8" s="1610" t="s">
        <v>2842</v>
      </c>
    </row>
    <row r="9" spans="1:36" ht="15">
      <c r="A9" s="3275"/>
      <c r="B9" s="198" t="s">
        <v>2843</v>
      </c>
      <c r="C9" s="922">
        <f>SUMIF(修正!C59:C119,C8,修正!E59:E119)</f>
        <v>0</v>
      </c>
      <c r="D9" s="200" t="s">
        <v>140</v>
      </c>
      <c r="E9" s="200" t="e">
        <f>ROUND(C11/E7,4)</f>
        <v>#DIV/0!</v>
      </c>
      <c r="F9" s="2750" t="s">
        <v>2844</v>
      </c>
      <c r="G9" s="2751"/>
      <c r="H9" s="2751"/>
      <c r="I9" s="2751"/>
      <c r="J9" s="2752"/>
      <c r="K9" s="1370"/>
      <c r="L9" s="2725" t="s">
        <v>2845</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70" t="s">
        <v>2846</v>
      </c>
      <c r="X9" s="1611" t="s">
        <v>2847</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75"/>
      <c r="B10" s="198" t="s">
        <v>2848</v>
      </c>
      <c r="C10" s="200">
        <f>SUMIF(修正!C59:C119,C8,修正!F59:F119)</f>
        <v>0</v>
      </c>
      <c r="D10" s="200" t="s">
        <v>141</v>
      </c>
      <c r="E10" s="200" t="e">
        <f>ROUND(C11/E7,4)</f>
        <v>#DIV/0!</v>
      </c>
      <c r="F10" s="2750" t="s">
        <v>2849</v>
      </c>
      <c r="G10" s="2751"/>
      <c r="H10" s="2751"/>
      <c r="I10" s="2751"/>
      <c r="J10" s="2752"/>
      <c r="K10" s="1370"/>
      <c r="L10" s="2725" t="s">
        <v>2850</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70"/>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75"/>
      <c r="B11" s="2753" t="s">
        <v>2851</v>
      </c>
      <c r="C11" s="923">
        <f>C10/4</f>
        <v>0</v>
      </c>
      <c r="D11" s="923" t="s">
        <v>142</v>
      </c>
      <c r="E11" s="923" t="e">
        <f>ROUND(C11/E7,4)</f>
        <v>#DIV/0!</v>
      </c>
      <c r="F11" s="2754" t="s">
        <v>2852</v>
      </c>
      <c r="G11" s="2755"/>
      <c r="H11" s="2755"/>
      <c r="I11" s="2755"/>
      <c r="J11" s="2756"/>
      <c r="K11" s="1370"/>
      <c r="L11" s="2725" t="s">
        <v>2853</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70" t="s">
        <v>2854</v>
      </c>
      <c r="X11" s="1614" t="s">
        <v>2855</v>
      </c>
      <c r="Y11" s="1615">
        <f>$G$3</f>
        <v>0.41</v>
      </c>
      <c r="Z11" s="1615">
        <f t="shared" ref="Z11:AJ11" si="3">$G$3</f>
        <v>0.41</v>
      </c>
      <c r="AA11" s="1615">
        <f t="shared" si="3"/>
        <v>0.41</v>
      </c>
      <c r="AB11" s="1615">
        <f t="shared" si="3"/>
        <v>0.41</v>
      </c>
      <c r="AC11" s="1615">
        <f t="shared" si="3"/>
        <v>0.41</v>
      </c>
      <c r="AD11" s="1615">
        <f t="shared" si="3"/>
        <v>0.41</v>
      </c>
      <c r="AE11" s="1615">
        <f t="shared" si="3"/>
        <v>0.41</v>
      </c>
      <c r="AF11" s="1615">
        <f t="shared" si="3"/>
        <v>0.41</v>
      </c>
      <c r="AG11" s="1615">
        <f t="shared" si="3"/>
        <v>0.41</v>
      </c>
      <c r="AH11" s="1615">
        <f t="shared" si="3"/>
        <v>0.41</v>
      </c>
      <c r="AI11" s="1615">
        <f t="shared" si="3"/>
        <v>0.41</v>
      </c>
      <c r="AJ11" s="1615">
        <f t="shared" si="3"/>
        <v>0.41</v>
      </c>
    </row>
    <row r="12" spans="1:36" ht="25.5" thickBot="1">
      <c r="A12" s="3255" t="s">
        <v>2856</v>
      </c>
      <c r="B12" s="2757" t="s">
        <v>2857</v>
      </c>
      <c r="C12" s="919">
        <f>ROUND(C15*D15*E15*F15*G15*H15*I15*J15,4)</f>
        <v>1</v>
      </c>
      <c r="D12" s="2758" t="s">
        <v>2858</v>
      </c>
      <c r="E12" s="2759"/>
      <c r="F12" s="2759"/>
      <c r="G12" s="2760"/>
      <c r="H12" s="2760"/>
      <c r="I12" s="2760"/>
      <c r="J12" s="2761"/>
      <c r="K12" s="1370"/>
      <c r="L12" s="2762" t="s">
        <v>2859</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70"/>
      <c r="X12" s="1616" t="s">
        <v>2860</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76"/>
      <c r="B13" s="2763" t="s">
        <v>2861</v>
      </c>
      <c r="C13" s="2764" t="s">
        <v>2862</v>
      </c>
      <c r="D13" s="1808" t="s">
        <v>2863</v>
      </c>
      <c r="E13" s="1808" t="s">
        <v>2864</v>
      </c>
      <c r="F13" s="30" t="s">
        <v>2865</v>
      </c>
      <c r="G13" s="2765" t="s">
        <v>2866</v>
      </c>
      <c r="H13" s="2765" t="s">
        <v>2866</v>
      </c>
      <c r="I13" s="2765" t="s">
        <v>2866</v>
      </c>
      <c r="J13" s="2766" t="s">
        <v>2866</v>
      </c>
      <c r="K13" s="1370"/>
      <c r="L13" s="1370"/>
      <c r="M13" s="1370"/>
      <c r="N13" s="1370"/>
      <c r="O13" s="1370"/>
      <c r="P13" s="1370"/>
      <c r="Q13" s="1370"/>
      <c r="R13" s="1602">
        <v>12</v>
      </c>
      <c r="S13" s="1603"/>
      <c r="T13" s="1602" t="e">
        <f t="shared" si="0"/>
        <v>#DIV/0!</v>
      </c>
      <c r="U13" s="1603"/>
      <c r="V13" s="1602" t="e">
        <f t="shared" si="1"/>
        <v>#DIV/0!</v>
      </c>
      <c r="W13" s="3270"/>
      <c r="X13" s="1616"/>
      <c r="Y13" s="1613">
        <f>(-0.163*(Y12^2)-0.59*Y12+7617)*(10^(-4))/Y11</f>
        <v>1.8578048780487808</v>
      </c>
      <c r="Z13" s="1613">
        <f t="shared" ref="Z13:AJ13" si="5">(-0.163*(Z12^2)-0.59*Z12+7617)*(10^(-4))/Z11</f>
        <v>1.8578048780487808</v>
      </c>
      <c r="AA13" s="1613">
        <f t="shared" si="5"/>
        <v>1.8578048780487808</v>
      </c>
      <c r="AB13" s="1613">
        <f t="shared" si="5"/>
        <v>1.8578048780487808</v>
      </c>
      <c r="AC13" s="1613">
        <f t="shared" si="5"/>
        <v>1.8578048780487808</v>
      </c>
      <c r="AD13" s="1613">
        <f t="shared" si="5"/>
        <v>1.8578048780487808</v>
      </c>
      <c r="AE13" s="1613">
        <f t="shared" si="5"/>
        <v>1.8578048780487808</v>
      </c>
      <c r="AF13" s="1613">
        <f t="shared" si="5"/>
        <v>1.8578048780487808</v>
      </c>
      <c r="AG13" s="1613">
        <f t="shared" si="5"/>
        <v>1.8578048780487808</v>
      </c>
      <c r="AH13" s="1613">
        <f t="shared" si="5"/>
        <v>1.8578048780487808</v>
      </c>
      <c r="AI13" s="1613">
        <f t="shared" si="5"/>
        <v>1.8578048780487808</v>
      </c>
      <c r="AJ13" s="1613">
        <f t="shared" si="5"/>
        <v>1.8578048780487808</v>
      </c>
    </row>
    <row r="14" spans="1:36" ht="15">
      <c r="A14" s="3276"/>
      <c r="B14" s="2767"/>
      <c r="C14" s="2768"/>
      <c r="D14" s="2769"/>
      <c r="E14" s="2769"/>
      <c r="F14" s="2770"/>
      <c r="G14" s="2771" t="s">
        <v>2867</v>
      </c>
      <c r="H14" s="2772"/>
      <c r="I14" s="2773"/>
      <c r="J14" s="2774"/>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77"/>
      <c r="B15" s="2775" t="s">
        <v>2868</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55" t="s">
        <v>2873</v>
      </c>
      <c r="B16" s="2744" t="s">
        <v>2874</v>
      </c>
      <c r="C16" s="2931" t="e">
        <f>ROUND(IF(F17="与级别开发程度一致",0,(G17-E17)/C17),0)</f>
        <v>#DIV/0!</v>
      </c>
      <c r="D16" s="3266" t="s">
        <v>2878</v>
      </c>
      <c r="E16" s="3267"/>
      <c r="F16" s="3266" t="s">
        <v>2875</v>
      </c>
      <c r="G16" s="3267"/>
      <c r="H16" s="2778"/>
      <c r="I16" s="2778"/>
      <c r="J16" s="2935"/>
      <c r="K16" s="2778"/>
      <c r="L16" s="2778"/>
      <c r="M16" s="2778"/>
      <c r="N16" s="2778"/>
      <c r="O16" s="2779"/>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56"/>
      <c r="B17" s="2942" t="s">
        <v>2877</v>
      </c>
      <c r="C17" s="2943">
        <f>SUMPRODUCT((修正!A2:A5=E2)*(修正!B1:M1=G2)*(修正!B2:M5))</f>
        <v>0</v>
      </c>
      <c r="D17" s="229" t="str">
        <f>IF(OR(G2="八级",G2="九级",G2="十级",G2="十一级",G2="十二级"),"五通一平","七通一平")</f>
        <v>七通一平</v>
      </c>
      <c r="E17" s="2932">
        <f>SUMPRODUCT((修正!B1:M1=G2)*(修正!B15:M15))</f>
        <v>0</v>
      </c>
      <c r="F17" s="2933"/>
      <c r="G17" s="2934">
        <f>SUM(H17:O17)</f>
        <v>0</v>
      </c>
      <c r="H17" s="2943">
        <f>SUMPRODUCT((七通一平=H16)*(修正!B1:M1=G2)*(修正!B6:M14))</f>
        <v>0</v>
      </c>
      <c r="I17" s="2943">
        <f>SUMPRODUCT((七通一平=I16)*(修正!B1:M1=G2)*(修正!B6:M14))</f>
        <v>0</v>
      </c>
      <c r="J17" s="2944">
        <f>SUMPRODUCT((七通一平=J16)*(修正!B1:M1=G2)*(修正!B6:M14))</f>
        <v>0</v>
      </c>
      <c r="K17" s="2943">
        <f>SUMPRODUCT((七通一平=K16)*(修正!B1:M1=G2)*(修正!B6:M14))</f>
        <v>0</v>
      </c>
      <c r="L17" s="2943">
        <f>SUMPRODUCT((七通一平=L16)*(修正!B1:M1=G2)*(修正!B6:M14))</f>
        <v>0</v>
      </c>
      <c r="M17" s="2943">
        <f>SUMPRODUCT((七通一平=M16)*(修正!B1:M1=G2)*(修正!B6:M14))</f>
        <v>0</v>
      </c>
      <c r="N17" s="2943">
        <f>SUMPRODUCT((七通一平=N16)*(修正!B1:M1=G2)*(修正!B6:M14))</f>
        <v>0</v>
      </c>
      <c r="O17" s="2945">
        <f>SUMPRODUCT((七通一平=O16)*(修正!B1:M1=G2)*(修正!B6:M14))</f>
        <v>0</v>
      </c>
      <c r="Q17" s="1370"/>
      <c r="R17" s="1370"/>
      <c r="S17" s="1370"/>
      <c r="T17" s="1370"/>
      <c r="U17" s="1370"/>
      <c r="V17" s="1370"/>
      <c r="W17" s="1370"/>
      <c r="X17" s="1370"/>
      <c r="Y17" s="1370"/>
      <c r="Z17" s="1371"/>
      <c r="AE17" s="2782"/>
      <c r="AF17" s="2782"/>
      <c r="AG17" s="2719"/>
      <c r="AH17" s="2719"/>
      <c r="AI17" s="2719"/>
      <c r="AJ17" s="2719"/>
    </row>
    <row r="18" spans="1:37" s="2737" customFormat="1" ht="15.75" thickBot="1">
      <c r="A18" s="2936" t="s">
        <v>808</v>
      </c>
      <c r="B18" s="2937" t="s">
        <v>2880</v>
      </c>
      <c r="C18" s="2938">
        <f>SUMIF(修正!C18:C39,E3,修正!E18:E39)</f>
        <v>0</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7"/>
      <c r="AH18" s="2787"/>
      <c r="AI18" s="2787"/>
    </row>
    <row r="19" spans="1:37" s="2737" customFormat="1" ht="27.75" thickBot="1">
      <c r="A19" s="2783" t="s">
        <v>809</v>
      </c>
      <c r="B19" s="2784" t="s">
        <v>2881</v>
      </c>
      <c r="C19" s="924" t="e">
        <f>ROUND(IF(H19="按公示增长率计算",SUMPRODUCT((地价!A3:A28=YEAR(G19)&amp;"-"&amp;ROUNDUP(MONTH(G19)/3,0))*(地价!X2:AB2=E2)*(地价!X3:AB28)),IF(H19="地价指数",M20/M19,(1+I19)^O19)),4)</f>
        <v>#VALUE!</v>
      </c>
      <c r="D19" s="2788" t="s">
        <v>2882</v>
      </c>
      <c r="E19" s="925">
        <v>41640</v>
      </c>
      <c r="F19" s="2788" t="s">
        <v>2883</v>
      </c>
      <c r="G19" s="926">
        <f>'数据-取费表'!B2</f>
        <v>44015</v>
      </c>
      <c r="H19" s="2789"/>
      <c r="I19" s="927" t="str">
        <f>IF(H19="季度增幅（自定义）",SUMIF(N21:N24,E2,O21:O24),"")</f>
        <v/>
      </c>
      <c r="J19" s="2786"/>
      <c r="K19" s="1377"/>
      <c r="L19" s="2790" t="s">
        <v>2884</v>
      </c>
      <c r="M19" s="1734">
        <f>ROUND(SUMIF(地价!B2:F2,E2,地价!B28:F28),0)</f>
        <v>0</v>
      </c>
      <c r="N19" s="2791" t="s">
        <v>2885</v>
      </c>
      <c r="O19" s="928">
        <f>ROUNDDOWN(DATEDIF(E19,G19,"M")/3,0)</f>
        <v>26</v>
      </c>
      <c r="P19" s="1374"/>
      <c r="Q19" s="1376"/>
      <c r="R19" s="1376"/>
      <c r="S19" s="1376"/>
      <c r="T19" s="1371"/>
      <c r="U19" s="1371"/>
      <c r="V19" s="1371"/>
      <c r="W19" s="1370"/>
      <c r="X19" s="1370"/>
      <c r="Y19" s="1370"/>
      <c r="Z19" s="1377"/>
      <c r="AA19" s="1378"/>
      <c r="AB19" s="1378"/>
      <c r="AC19" s="1378"/>
      <c r="AD19" s="1378"/>
      <c r="AE19" s="1378"/>
      <c r="AF19" s="2792"/>
      <c r="AG19" s="2793"/>
      <c r="AH19" s="2787"/>
      <c r="AI19" s="2794"/>
      <c r="AJ19" s="2794"/>
      <c r="AK19" s="2794"/>
    </row>
    <row r="20" spans="1:37" s="2737" customFormat="1" ht="27.75" thickBot="1">
      <c r="A20" s="2795" t="s">
        <v>810</v>
      </c>
      <c r="B20" s="2796" t="s">
        <v>2886</v>
      </c>
      <c r="C20" s="929" t="e">
        <f>ROUND(POWER(1+G20,J20-I20)*(POWER(1+G20,I20)-1)/(POWER(1+G20,J20)-1),4)</f>
        <v>#DIV/0!</v>
      </c>
      <c r="D20" s="2797" t="s">
        <v>2887</v>
      </c>
      <c r="E20" s="1768">
        <f ca="1">存贷款利率!D4/100</f>
        <v>4.3499999999999997E-2</v>
      </c>
      <c r="F20" s="2797" t="s">
        <v>2879</v>
      </c>
      <c r="G20" s="934">
        <f>SUMIF(M26:P26,E2,M28:P28)</f>
        <v>0</v>
      </c>
      <c r="H20" s="2797" t="s">
        <v>2888</v>
      </c>
      <c r="I20" s="935" t="e">
        <f>SUMIF('数据-取费表'!C6:C15,E2,'数据-取费表'!F6:F15)/COUNTIF('数据-取费表'!C6:C15,E2)</f>
        <v>#DIV/0!</v>
      </c>
      <c r="J20" s="936">
        <f>IF(E2="住宅",70,IF(E2="商业",40,50))</f>
        <v>50</v>
      </c>
      <c r="K20" s="1377"/>
      <c r="L20" s="2798" t="s">
        <v>2889</v>
      </c>
      <c r="M20" s="1735">
        <f>ROUND(SUMPRODUCT((地价!A4:A28=YEAR(G19)&amp;"-"&amp;ROUNDUP(MONTH(G19)/3,0))*(地价!B2:F2=E2)*(地价!B4:F28)),0)</f>
        <v>0</v>
      </c>
      <c r="N20" s="2799" t="s">
        <v>2890</v>
      </c>
      <c r="O20" s="2800" t="s">
        <v>2891</v>
      </c>
      <c r="P20" s="2801" t="s">
        <v>2892</v>
      </c>
      <c r="R20" s="1376"/>
      <c r="S20" s="1376"/>
      <c r="T20" s="1371"/>
      <c r="U20" s="1371"/>
      <c r="V20" s="1371"/>
      <c r="W20" s="1370"/>
      <c r="X20" s="1370"/>
      <c r="Y20" s="1370"/>
      <c r="Z20" s="1377"/>
      <c r="AA20" s="1378"/>
      <c r="AB20" s="1378"/>
      <c r="AC20" s="1378"/>
      <c r="AD20" s="1378"/>
      <c r="AE20" s="1378"/>
      <c r="AF20" s="1378"/>
    </row>
    <row r="21" spans="1:37" s="2737" customFormat="1" ht="15">
      <c r="A21" s="2802" t="s">
        <v>811</v>
      </c>
      <c r="B21" s="2803" t="s">
        <v>2893</v>
      </c>
      <c r="C21" s="937">
        <f>IF(B21="容积率修正",IF(G3&lt;=10,D22,J22),C23)</f>
        <v>0</v>
      </c>
      <c r="D21" s="2804"/>
      <c r="E21" s="2804"/>
      <c r="F21" s="2804"/>
      <c r="G21" s="2804"/>
      <c r="H21" s="2804"/>
      <c r="I21" s="2804"/>
      <c r="J21" s="2805"/>
      <c r="K21" s="1377"/>
      <c r="N21" s="2806" t="s">
        <v>2894</v>
      </c>
      <c r="O21" s="1561"/>
      <c r="P21" s="1562">
        <f>SUMPRODUCT((地价!A3:A28=YEAR(G19)&amp;"-"&amp;ROUNDUP(MONTH(G19)/3,0))*(地价!AD2:AH2=N21)*(地价!AD3:AH28))</f>
        <v>0</v>
      </c>
      <c r="R21" s="1376"/>
      <c r="S21" s="1376"/>
      <c r="T21" s="1371"/>
      <c r="U21" s="1371"/>
      <c r="V21" s="1371"/>
      <c r="W21" s="1370"/>
      <c r="X21" s="1370"/>
      <c r="Y21" s="1370"/>
      <c r="Z21" s="1377"/>
      <c r="AA21" s="1378"/>
      <c r="AB21" s="1378"/>
      <c r="AC21" s="1378"/>
      <c r="AD21" s="1378"/>
      <c r="AE21" s="1378"/>
      <c r="AF21" s="1378"/>
    </row>
    <row r="22" spans="1:37" s="2737" customFormat="1" ht="14.25">
      <c r="A22" s="2663" t="s">
        <v>2895</v>
      </c>
      <c r="B22" s="2807" t="s">
        <v>2896</v>
      </c>
      <c r="C22" s="1810" t="s">
        <v>2897</v>
      </c>
      <c r="D22" s="1810">
        <f>IF(E22=G22,F22,IF(G3&lt;=10,ROUND(F22+(H22-F22)*(G3-E22)/(G22-E22),4),"——"))</f>
        <v>0</v>
      </c>
      <c r="E22" s="916">
        <f>ROUNDDOWN(G3,1)</f>
        <v>0.4</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6" t="s">
        <v>2898</v>
      </c>
      <c r="O22" s="1561"/>
      <c r="P22" s="1562">
        <f>SUMPRODUCT((地价!A3:A28=YEAR(G19)&amp;"-"&amp;ROUNDUP(MONTH(G19)/3,0))*(地价!AD2:AH2=N22)*(地价!AD3:AH28))</f>
        <v>0</v>
      </c>
      <c r="R22" s="1376"/>
      <c r="S22" s="1376"/>
      <c r="T22" s="1371"/>
      <c r="U22" s="1371"/>
      <c r="V22" s="1371"/>
      <c r="W22" s="1370"/>
      <c r="X22" s="1370"/>
      <c r="Y22" s="1370"/>
      <c r="Z22" s="1377"/>
      <c r="AA22" s="1378"/>
      <c r="AB22" s="1378"/>
      <c r="AC22" s="1378"/>
      <c r="AD22" s="1378"/>
      <c r="AE22" s="1378"/>
      <c r="AF22" s="1378"/>
    </row>
    <row r="23" spans="1:37" ht="27.75" thickBot="1">
      <c r="A23" s="2663" t="s">
        <v>2899</v>
      </c>
      <c r="B23" s="2808" t="s">
        <v>2900</v>
      </c>
      <c r="C23" s="1013">
        <f>ROUND(IF(G3&gt;1,IF(I3&lt;7,SUMPRODUCT((B93:B98=I3)*(C92:N92=G2)*(C93:N98)),SUMIF(C92:N92,G2,C100:N100)),IF(I3&lt;7,SUMPRODUCT((B102:B107=I3)*(C92:N92=G2)*(C102:N107)),SUMIF(C92:N92,G2,C109:N109))),4)</f>
        <v>0</v>
      </c>
      <c r="D23" s="2772"/>
      <c r="E23" s="2772"/>
      <c r="F23" s="2809"/>
      <c r="G23" s="2810"/>
      <c r="H23" s="2811"/>
      <c r="I23" s="2812"/>
      <c r="J23" s="2813"/>
      <c r="K23" s="1370"/>
      <c r="N23" s="2806" t="s">
        <v>2901</v>
      </c>
      <c r="O23" s="1561"/>
      <c r="P23" s="1562">
        <f>SUMPRODUCT((地价!A3:A28=YEAR(G19)&amp;"-"&amp;ROUNDUP(MONTH(G19)/3,0))*(地价!AD2:AH2=N23)*(地价!AD3:AH28))</f>
        <v>0</v>
      </c>
      <c r="R23" s="1376"/>
      <c r="S23" s="1376"/>
      <c r="T23" s="1371"/>
      <c r="U23" s="1371"/>
      <c r="V23" s="1371"/>
      <c r="W23" s="1370"/>
      <c r="X23" s="1370"/>
      <c r="Y23" s="1370"/>
      <c r="Z23" s="1377"/>
      <c r="AA23" s="1378"/>
      <c r="AB23" s="1378"/>
      <c r="AC23" s="1378"/>
      <c r="AD23" s="1378"/>
      <c r="AK23" s="2787"/>
    </row>
    <row r="24" spans="1:37" s="2737" customFormat="1" ht="15.75" thickBot="1">
      <c r="A24" s="2795" t="s">
        <v>812</v>
      </c>
      <c r="B24" s="2784" t="s">
        <v>2902</v>
      </c>
      <c r="C24" s="924">
        <f>SUMIF(A45:A88,E2,B45:B88)</f>
        <v>0</v>
      </c>
      <c r="D24" s="2785"/>
      <c r="E24" s="2814"/>
      <c r="F24" s="2814"/>
      <c r="G24" s="2814"/>
      <c r="H24" s="2814"/>
      <c r="I24" s="2814"/>
      <c r="J24" s="2815"/>
      <c r="K24" s="1377"/>
      <c r="N24" s="2816" t="s">
        <v>2903</v>
      </c>
      <c r="O24" s="1563"/>
      <c r="P24" s="1564">
        <f>SUMPRODUCT((地价!A3:A28=YEAR(G19)&amp;"-"&amp;ROUNDUP(MONTH(G19)/3,0))*(地价!AD2:AH2=N24)*(地价!AD3:AH28))</f>
        <v>0</v>
      </c>
      <c r="R24" s="1376"/>
      <c r="S24" s="1376"/>
      <c r="T24" s="1371"/>
      <c r="U24" s="1371"/>
      <c r="V24" s="1371"/>
      <c r="W24" s="1370"/>
      <c r="X24" s="1370"/>
      <c r="Y24" s="1370"/>
      <c r="Z24" s="1377"/>
      <c r="AA24" s="1378"/>
      <c r="AB24" s="1378"/>
      <c r="AC24" s="1378"/>
      <c r="AD24" s="1378"/>
      <c r="AE24" s="1378"/>
      <c r="AF24" s="1378"/>
    </row>
    <row r="25" spans="1:37" ht="15.75" thickBot="1">
      <c r="A25" s="2795" t="s">
        <v>813</v>
      </c>
      <c r="B25" s="2817" t="s">
        <v>2904</v>
      </c>
      <c r="C25" s="930"/>
      <c r="D25" s="2747"/>
      <c r="E25" s="2747"/>
      <c r="F25" s="2818"/>
      <c r="G25" s="2747"/>
      <c r="H25" s="2747"/>
      <c r="I25" s="2747"/>
      <c r="J25" s="2748"/>
      <c r="K25" s="1370"/>
      <c r="N25" s="2819" t="s">
        <v>2905</v>
      </c>
      <c r="O25" s="1565"/>
      <c r="P25" s="1564">
        <f>SUMPRODUCT((地价!A3:A28=YEAR(G19)&amp;"-"&amp;ROUNDUP(MONTH(G19)/3,0))*(地价!AD2:AH2=N25)*(地价!AD3:AH28))</f>
        <v>0</v>
      </c>
      <c r="R25" s="1376"/>
      <c r="S25" s="1376"/>
      <c r="T25" s="1371"/>
      <c r="U25" s="1371"/>
      <c r="V25" s="1371"/>
      <c r="W25" s="1370"/>
      <c r="X25" s="1370"/>
      <c r="Y25" s="1370"/>
      <c r="Z25" s="1377"/>
      <c r="AA25" s="1378"/>
      <c r="AB25" s="1378"/>
      <c r="AC25" s="1378"/>
      <c r="AD25" s="1378"/>
    </row>
    <row r="26" spans="1:37" ht="15">
      <c r="A26" s="2820"/>
      <c r="B26" s="2807" t="s">
        <v>2906</v>
      </c>
      <c r="C26" s="206" t="e">
        <f>E29+SUM(E33:E39)</f>
        <v>#DIV/0!</v>
      </c>
      <c r="D26" s="2821"/>
      <c r="E26" s="2772"/>
      <c r="F26" s="2822"/>
      <c r="G26" s="2772"/>
      <c r="H26" s="2772"/>
      <c r="I26" s="2772"/>
      <c r="J26" s="2823"/>
      <c r="K26" s="1370"/>
      <c r="L26" s="2776" t="s">
        <v>2804</v>
      </c>
      <c r="M26" s="920" t="s">
        <v>2869</v>
      </c>
      <c r="N26" s="920" t="s">
        <v>2870</v>
      </c>
      <c r="O26" s="920" t="s">
        <v>2871</v>
      </c>
      <c r="P26" s="2777" t="s">
        <v>2872</v>
      </c>
      <c r="R26" s="1376"/>
      <c r="S26" s="1376"/>
      <c r="T26" s="1371"/>
      <c r="U26" s="1371"/>
      <c r="V26" s="1371"/>
      <c r="W26" s="1370"/>
      <c r="X26" s="1370"/>
      <c r="Y26" s="1370"/>
      <c r="Z26" s="1377"/>
      <c r="AA26" s="1378"/>
      <c r="AB26" s="1378"/>
      <c r="AC26" s="1378"/>
      <c r="AD26" s="1378"/>
    </row>
    <row r="27" spans="1:37" ht="15.75" thickBot="1">
      <c r="A27" s="2820"/>
      <c r="B27" s="2824" t="s">
        <v>2907</v>
      </c>
      <c r="C27" s="931" t="e">
        <f>E30+SUM(I33:I39)</f>
        <v>#DIV/0!</v>
      </c>
      <c r="D27" s="2825"/>
      <c r="E27" s="2826"/>
      <c r="F27" s="2827"/>
      <c r="G27" s="2826"/>
      <c r="H27" s="2826"/>
      <c r="I27" s="2826"/>
      <c r="J27" s="2828"/>
      <c r="K27" s="1370"/>
      <c r="L27" s="2780" t="s">
        <v>2876</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9"/>
      <c r="B28" s="2830" t="s">
        <v>2908</v>
      </c>
      <c r="C28" s="2831" t="s">
        <v>2909</v>
      </c>
      <c r="D28" s="2831" t="s">
        <v>2910</v>
      </c>
      <c r="E28" s="2832" t="s">
        <v>2911</v>
      </c>
      <c r="F28" s="2833"/>
      <c r="G28" s="2760"/>
      <c r="H28" s="2760"/>
      <c r="I28" s="2760"/>
      <c r="J28" s="2761"/>
      <c r="K28" s="1370"/>
      <c r="L28" s="2781" t="s">
        <v>2879</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4"/>
      <c r="B29" s="2835" t="s">
        <v>2912</v>
      </c>
      <c r="C29" s="206" t="e">
        <f>ROUND(C5*C18*C19*C20*C21*C24,0)</f>
        <v>#DIV/0!</v>
      </c>
      <c r="D29" s="2836"/>
      <c r="E29" s="942" t="e">
        <f>ROUND(C29*D29/10000,0)</f>
        <v>#DIV/0!</v>
      </c>
      <c r="F29" s="2837" t="s">
        <v>2913</v>
      </c>
      <c r="G29" s="2838"/>
      <c r="H29" s="2838"/>
      <c r="I29" s="2838"/>
      <c r="J29" s="2839"/>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9"/>
      <c r="AH29" s="2719"/>
      <c r="AI29" s="2719"/>
      <c r="AJ29" s="2719"/>
    </row>
    <row r="30" spans="1:37" ht="25.5" thickBot="1">
      <c r="A30" s="2840"/>
      <c r="B30" s="2841" t="s">
        <v>2914</v>
      </c>
      <c r="C30" s="229" t="e">
        <f>ROUND(IF(E2="工业",C29*M39,C29*M38),0)</f>
        <v>#DIV/0!</v>
      </c>
      <c r="D30" s="2842"/>
      <c r="E30" s="942" t="e">
        <f>ROUND(C30*D30/10000,0)</f>
        <v>#DIV/0!</v>
      </c>
      <c r="F30" s="2843" t="s">
        <v>2915</v>
      </c>
      <c r="G30" s="2844"/>
      <c r="H30" s="2844"/>
      <c r="I30" s="2844"/>
      <c r="J30" s="2845"/>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9"/>
      <c r="AH30" s="2719"/>
      <c r="AI30" s="2719"/>
      <c r="AJ30" s="2719"/>
    </row>
    <row r="31" spans="1:37" ht="14.25">
      <c r="A31" s="2846"/>
      <c r="B31" s="2847" t="s">
        <v>2916</v>
      </c>
      <c r="C31" s="2848" t="s">
        <v>2917</v>
      </c>
      <c r="D31" s="2760"/>
      <c r="E31" s="2848"/>
      <c r="F31" s="2848"/>
      <c r="G31" s="2758" t="s">
        <v>2918</v>
      </c>
      <c r="H31" s="2760"/>
      <c r="I31" s="2849"/>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9"/>
      <c r="AH31" s="2719"/>
      <c r="AI31" s="2719"/>
      <c r="AJ31" s="2719"/>
    </row>
    <row r="32" spans="1:37" ht="24">
      <c r="A32" s="2834"/>
      <c r="B32" s="2850"/>
      <c r="C32" s="501" t="s">
        <v>2909</v>
      </c>
      <c r="D32" s="498" t="s">
        <v>2910</v>
      </c>
      <c r="E32" s="498" t="s">
        <v>2911</v>
      </c>
      <c r="F32" s="388" t="s">
        <v>2919</v>
      </c>
      <c r="G32" s="2851" t="s">
        <v>2909</v>
      </c>
      <c r="H32" s="2851" t="s">
        <v>2910</v>
      </c>
      <c r="I32" s="2851" t="s">
        <v>2911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9"/>
      <c r="AH32" s="2719"/>
      <c r="AI32" s="2719"/>
      <c r="AJ32" s="2719"/>
    </row>
    <row r="33" spans="1:37" ht="36" customHeight="1">
      <c r="A33" s="3263" t="s">
        <v>2920</v>
      </c>
      <c r="B33" s="2852" t="s">
        <v>2921</v>
      </c>
      <c r="C33" s="206" t="e">
        <f>ROUND(D5*C19*C20*C24*F33,0)</f>
        <v>#DIV/0!</v>
      </c>
      <c r="D33" s="2836"/>
      <c r="E33" s="200" t="e">
        <f>ROUND(C33*D33/10000,0)</f>
        <v>#DIV/0!</v>
      </c>
      <c r="F33" s="200">
        <f>SUMIF(修正!A45:A56,G2,修正!B45:B56)</f>
        <v>0</v>
      </c>
      <c r="G33" s="200" t="e">
        <f t="shared" ref="G33" si="6">ROUND(IF(E2="工业",C33*$M$39,C33*$M$38),0)</f>
        <v>#DIV/0!</v>
      </c>
      <c r="H33" s="200">
        <f>D33</f>
        <v>0</v>
      </c>
      <c r="I33" s="200" t="e">
        <f>ROUND(G33*H33/10000,0)</f>
        <v>#DIV/0!</v>
      </c>
      <c r="J33" s="285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4"/>
      <c r="B34" s="2764" t="s">
        <v>2922</v>
      </c>
      <c r="C34" s="206" t="e">
        <f>ROUND(D5*C19*C20*C24*F34,0)</f>
        <v>#DIV/0!</v>
      </c>
      <c r="D34" s="2836"/>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4"/>
      <c r="B35" s="2764" t="s">
        <v>2923</v>
      </c>
      <c r="C35" s="206" t="e">
        <f>ROUND(D5*C19*C20*C24*F35,0)</f>
        <v>#DIV/0!</v>
      </c>
      <c r="D35" s="2836"/>
      <c r="E35" s="200" t="e">
        <f t="shared" si="7"/>
        <v>#DIV/0!</v>
      </c>
      <c r="F35" s="200">
        <f>SUMIF(修正!A45:A56,G2,修正!D45:D56)</f>
        <v>0</v>
      </c>
      <c r="G35" s="200" t="e">
        <f>ROUND(IF(E2="工业",C35*$M$39,C35*$M$38),0)</f>
        <v>#DIV/0!</v>
      </c>
      <c r="H35" s="200">
        <f t="shared" si="8"/>
        <v>0</v>
      </c>
      <c r="I35" s="200" t="e">
        <f t="shared" si="9"/>
        <v>#DIV/0!</v>
      </c>
      <c r="J35" s="2853"/>
      <c r="K35" s="1370"/>
      <c r="L35" s="1370"/>
      <c r="M35" s="1370"/>
      <c r="N35" s="1370"/>
      <c r="O35" s="1370"/>
      <c r="P35" s="1370"/>
      <c r="Q35" s="1370"/>
      <c r="R35" s="1370"/>
      <c r="S35" s="1370"/>
      <c r="T35" s="1370"/>
      <c r="U35" s="1370"/>
      <c r="V35" s="1370"/>
      <c r="W35" s="1370"/>
      <c r="X35" s="1370"/>
      <c r="Y35" s="1370"/>
      <c r="Z35" s="1371"/>
    </row>
    <row r="36" spans="1:37" ht="13.5" thickBot="1">
      <c r="A36" s="3265"/>
      <c r="B36" s="2764" t="s">
        <v>2924</v>
      </c>
      <c r="C36" s="206" t="e">
        <f>ROUND(D5*C19*C20*C24*F36,0)</f>
        <v>#DIV/0!</v>
      </c>
      <c r="D36" s="2836"/>
      <c r="E36" s="200" t="e">
        <f t="shared" si="7"/>
        <v>#DIV/0!</v>
      </c>
      <c r="F36" s="200">
        <f>SUMIF(修正!A45:A56,G2,修正!E45:E56)</f>
        <v>0</v>
      </c>
      <c r="G36" s="200" t="e">
        <f>ROUND(IF(E2="工业",C36*$M$39,C36*$M$38),0)</f>
        <v>#DIV/0!</v>
      </c>
      <c r="H36" s="200">
        <f t="shared" si="8"/>
        <v>0</v>
      </c>
      <c r="I36" s="200" t="e">
        <f t="shared" si="9"/>
        <v>#DIV/0!</v>
      </c>
      <c r="J36" s="2853"/>
      <c r="K36" s="1370"/>
      <c r="L36" s="2718"/>
      <c r="M36" s="2718"/>
      <c r="N36" s="1370"/>
      <c r="O36" s="1370"/>
      <c r="P36" s="1370"/>
      <c r="Q36" s="1370"/>
      <c r="R36" s="1370"/>
      <c r="S36" s="1370"/>
      <c r="T36" s="1370"/>
      <c r="U36" s="1370"/>
      <c r="V36" s="1370"/>
      <c r="W36" s="1370"/>
      <c r="X36" s="1370"/>
      <c r="Y36" s="1370"/>
      <c r="Z36" s="1371"/>
    </row>
    <row r="37" spans="1:37">
      <c r="A37" s="2854"/>
      <c r="B37" s="2764" t="s">
        <v>2925</v>
      </c>
      <c r="C37" s="200" t="e">
        <f>ROUND(D5*C19*C20*C24*F37,0)</f>
        <v>#DIV/0!</v>
      </c>
      <c r="D37" s="2836"/>
      <c r="E37" s="200" t="e">
        <f t="shared" si="7"/>
        <v>#DIV/0!</v>
      </c>
      <c r="F37" s="206">
        <f>SUMIF(修正!A45:A56,G2,修正!F45:F56)</f>
        <v>0</v>
      </c>
      <c r="G37" s="200" t="e">
        <f>ROUND(IF(E2="工业",C37*$M$39,C37*$M$38),0)</f>
        <v>#DIV/0!</v>
      </c>
      <c r="H37" s="200">
        <f t="shared" si="8"/>
        <v>0</v>
      </c>
      <c r="I37" s="200" t="e">
        <f t="shared" si="9"/>
        <v>#DIV/0!</v>
      </c>
      <c r="J37" s="2853"/>
      <c r="K37" s="1370"/>
      <c r="L37" s="2855" t="s">
        <v>2926</v>
      </c>
      <c r="M37" s="2856"/>
      <c r="N37" s="1370"/>
      <c r="O37" s="1370"/>
      <c r="P37" s="1370"/>
      <c r="Q37" s="1370"/>
      <c r="R37" s="1370"/>
      <c r="S37" s="1370"/>
      <c r="T37" s="1370"/>
      <c r="U37" s="1370"/>
      <c r="V37" s="1370"/>
      <c r="W37" s="1370"/>
      <c r="X37" s="1370"/>
      <c r="Y37" s="1370"/>
      <c r="Z37" s="1371"/>
    </row>
    <row r="38" spans="1:37">
      <c r="A38" s="2854"/>
      <c r="B38" s="2764" t="s">
        <v>2927</v>
      </c>
      <c r="C38" s="200" t="e">
        <f>ROUND(D5*C19*C41*C24*F38,0)</f>
        <v>#DIV/0!</v>
      </c>
      <c r="D38" s="2836"/>
      <c r="E38" s="200" t="e">
        <f t="shared" si="7"/>
        <v>#DIV/0!</v>
      </c>
      <c r="F38" s="206">
        <f>SUMIF(修正!A45:A56,G2,修正!G45:G56)</f>
        <v>0</v>
      </c>
      <c r="G38" s="200" t="e">
        <f>ROUND(IF(E2="工业",C38*$M$39,C38*$M$38),0)</f>
        <v>#DIV/0!</v>
      </c>
      <c r="H38" s="200">
        <f t="shared" si="8"/>
        <v>0</v>
      </c>
      <c r="I38" s="200" t="e">
        <f t="shared" si="9"/>
        <v>#DIV/0!</v>
      </c>
      <c r="J38" s="2853"/>
      <c r="K38" s="1370"/>
      <c r="L38" s="1887" t="s">
        <v>2928</v>
      </c>
      <c r="M38" s="2857">
        <v>0.25</v>
      </c>
      <c r="N38" s="1370"/>
      <c r="O38" s="1370"/>
      <c r="P38" s="1370"/>
      <c r="Q38" s="1370"/>
      <c r="R38" s="1370"/>
      <c r="S38" s="1370"/>
      <c r="T38" s="1370"/>
      <c r="U38" s="1370"/>
      <c r="V38" s="1370"/>
      <c r="W38" s="1370"/>
      <c r="X38" s="1370"/>
      <c r="Y38" s="1370"/>
      <c r="Z38" s="1371"/>
    </row>
    <row r="39" spans="1:37" ht="13.5" thickBot="1">
      <c r="A39" s="2840"/>
      <c r="B39" s="2858" t="s">
        <v>2929</v>
      </c>
      <c r="C39" s="229" t="e">
        <f>ROUND(D5*C19*C41*C24*F39,0)</f>
        <v>#DIV/0!</v>
      </c>
      <c r="D39" s="2842"/>
      <c r="E39" s="229" t="e">
        <f t="shared" si="7"/>
        <v>#DIV/0!</v>
      </c>
      <c r="F39" s="932">
        <f>SUMIF(修正!A45:A56,G2,修正!H45:H56)</f>
        <v>0</v>
      </c>
      <c r="G39" s="229" t="e">
        <f>ROUND(IF(E2="工业",C39*$M$39,C39*$M$38),0)</f>
        <v>#DIV/0!</v>
      </c>
      <c r="H39" s="229">
        <f t="shared" si="8"/>
        <v>0</v>
      </c>
      <c r="I39" s="229" t="e">
        <f t="shared" si="9"/>
        <v>#DIV/0!</v>
      </c>
      <c r="J39" s="2859"/>
      <c r="K39" s="1370"/>
      <c r="L39" s="2860" t="s">
        <v>2872</v>
      </c>
      <c r="M39" s="286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9" t="s">
        <v>3040</v>
      </c>
      <c r="C41" s="388" t="e">
        <f>ROUND(POWER(1+E41,H41-G41)*(POWER(1+E41,G41)-1)/(POWER(1+E41,H41)-1),4)</f>
        <v>#DIV/0!</v>
      </c>
      <c r="D41" s="200" t="s">
        <v>2879</v>
      </c>
      <c r="E41" s="2928">
        <f>G20</f>
        <v>0</v>
      </c>
      <c r="F41" s="200" t="s">
        <v>2888</v>
      </c>
      <c r="G41" s="218"/>
      <c r="H41" s="200">
        <v>50</v>
      </c>
      <c r="Z41" s="1371"/>
      <c r="AA41" s="1371"/>
      <c r="AB41" s="1371"/>
      <c r="AC41" s="1371"/>
      <c r="AD41" s="1371"/>
      <c r="AE41" s="1371"/>
      <c r="AF41" s="1371"/>
      <c r="AG41" s="1371"/>
      <c r="AH41" s="1371"/>
      <c r="AI41" s="1371"/>
      <c r="AJ41" s="1371"/>
    </row>
    <row r="42" spans="1:37" s="1370" customFormat="1">
      <c r="A42" s="1371"/>
      <c r="B42" s="2862"/>
      <c r="Z42" s="1371"/>
      <c r="AA42" s="1371"/>
      <c r="AB42" s="1371"/>
      <c r="AC42" s="1371"/>
      <c r="AD42" s="1371"/>
      <c r="AE42" s="1371"/>
      <c r="AF42" s="1371"/>
      <c r="AG42" s="1371"/>
      <c r="AH42" s="1371"/>
      <c r="AI42" s="1371"/>
      <c r="AJ42" s="1371"/>
    </row>
    <row r="43" spans="1:37" s="1370" customFormat="1">
      <c r="A43" s="1371"/>
      <c r="B43" s="2862"/>
      <c r="Z43" s="1371"/>
      <c r="AA43" s="1371"/>
      <c r="AB43" s="1371"/>
      <c r="AC43" s="1371"/>
      <c r="AD43" s="1371"/>
      <c r="AE43" s="1371"/>
      <c r="AF43" s="1371"/>
      <c r="AG43" s="1371"/>
      <c r="AH43" s="1371"/>
      <c r="AI43" s="1371"/>
      <c r="AJ43" s="1371"/>
    </row>
    <row r="44" spans="1:37" s="1370" customFormat="1">
      <c r="A44" s="1371"/>
      <c r="B44" s="2862"/>
      <c r="Z44" s="1371"/>
      <c r="AA44" s="1371"/>
      <c r="AB44" s="1371"/>
      <c r="AC44" s="1371"/>
      <c r="AD44" s="1371"/>
      <c r="AE44" s="1371"/>
      <c r="AF44" s="1371"/>
      <c r="AG44" s="1371"/>
      <c r="AH44" s="1371"/>
      <c r="AI44" s="1371"/>
      <c r="AJ44" s="1371"/>
    </row>
    <row r="45" spans="1:37" s="1370" customFormat="1" ht="15.75" thickBot="1">
      <c r="A45" s="2863" t="s">
        <v>2930</v>
      </c>
      <c r="B45" s="2864"/>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c r="A46" s="2865" t="s">
        <v>2931</v>
      </c>
      <c r="B46" s="2866">
        <f>1+E48</f>
        <v>1</v>
      </c>
      <c r="C46" s="2867"/>
      <c r="D46" s="814"/>
      <c r="E46" s="815"/>
      <c r="F46" s="2868"/>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c r="A47" s="2869" t="s">
        <v>2932</v>
      </c>
      <c r="B47" s="1809" t="s">
        <v>2933</v>
      </c>
      <c r="C47" s="1809" t="s">
        <v>2934</v>
      </c>
      <c r="D47" s="1809" t="s">
        <v>2935</v>
      </c>
      <c r="E47" s="819" t="s">
        <v>2936</v>
      </c>
      <c r="F47" s="2870" t="s">
        <v>2937</v>
      </c>
      <c r="G47" s="1809" t="s">
        <v>754</v>
      </c>
      <c r="H47" s="2871" t="s">
        <v>2938</v>
      </c>
      <c r="I47" s="1809" t="s">
        <v>2939</v>
      </c>
      <c r="J47" s="603" t="s">
        <v>2588</v>
      </c>
      <c r="K47" s="603" t="s">
        <v>2589</v>
      </c>
      <c r="L47" s="603" t="s">
        <v>2590</v>
      </c>
      <c r="M47" s="603" t="s">
        <v>2591</v>
      </c>
      <c r="N47" s="603" t="s">
        <v>2592</v>
      </c>
      <c r="AA47" s="1371"/>
      <c r="AB47" s="1371"/>
      <c r="AC47" s="1371"/>
      <c r="AD47" s="1371"/>
      <c r="AE47" s="1371"/>
      <c r="AF47" s="1371"/>
      <c r="AG47" s="1371"/>
      <c r="AH47" s="1371"/>
      <c r="AI47" s="1371"/>
      <c r="AJ47" s="1371"/>
      <c r="AK47" s="1371"/>
    </row>
    <row r="48" spans="1:37" s="1370" customFormat="1" ht="38.25">
      <c r="A48" s="2869" t="s">
        <v>2940</v>
      </c>
      <c r="B48" s="2872" t="str">
        <f>估价对象房地状况!C4</f>
        <v>估价对象位于XX商圈，周边商业氛围成熟，人流量大，商业繁华度好</v>
      </c>
      <c r="C48" s="2769"/>
      <c r="D48" s="1286">
        <f t="shared" ref="D48:D56" si="10">SUMIF($J$47:$N$47,C48,J48:N48)</f>
        <v>0</v>
      </c>
      <c r="E48" s="821">
        <f>ROUND(SUM(D48:D56),4)</f>
        <v>0</v>
      </c>
      <c r="F48" s="2500"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69" t="s">
        <v>2941</v>
      </c>
      <c r="B49" s="2873" t="str">
        <f>估价对象房地状况!C18</f>
        <v>估价对象周边道路状况、公共交通通达情况、停车便捷程度，综合评价交通便捷度较好</v>
      </c>
      <c r="C49" s="2769"/>
      <c r="D49" s="1286">
        <f t="shared" si="10"/>
        <v>0</v>
      </c>
      <c r="E49" s="822"/>
      <c r="F49" s="2500"/>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9" t="s">
        <v>2942</v>
      </c>
      <c r="B50" s="2873">
        <f>估价对象房地状况!C19</f>
        <v>0</v>
      </c>
      <c r="C50" s="2769"/>
      <c r="D50" s="1286">
        <f t="shared" si="10"/>
        <v>0</v>
      </c>
      <c r="E50" s="822"/>
      <c r="F50" s="2500"/>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9" t="s">
        <v>2943</v>
      </c>
      <c r="B51" s="2874" t="s">
        <v>2944</v>
      </c>
      <c r="C51" s="2769"/>
      <c r="D51" s="1286">
        <f t="shared" si="10"/>
        <v>0</v>
      </c>
      <c r="E51" s="822"/>
      <c r="F51" s="2500"/>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9" t="s">
        <v>2945</v>
      </c>
      <c r="B52" s="2873">
        <f>估价对象房地状况!C24</f>
        <v>0</v>
      </c>
      <c r="C52" s="2769"/>
      <c r="D52" s="1286">
        <f t="shared" si="10"/>
        <v>0</v>
      </c>
      <c r="E52" s="822"/>
      <c r="F52" s="2500"/>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9" t="s">
        <v>2946</v>
      </c>
      <c r="B53" s="2875" t="s">
        <v>2947</v>
      </c>
      <c r="C53" s="2769"/>
      <c r="D53" s="1286">
        <f t="shared" si="10"/>
        <v>0</v>
      </c>
      <c r="E53" s="822"/>
      <c r="F53" s="2500"/>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6" t="s">
        <v>2948</v>
      </c>
      <c r="B54" s="1725" t="str">
        <f>估价对象房地状况!C21</f>
        <v>估价对象所在区域公共配套设施齐备情况</v>
      </c>
      <c r="C54" s="2769"/>
      <c r="D54" s="1286">
        <f t="shared" si="10"/>
        <v>0</v>
      </c>
      <c r="E54" s="822"/>
      <c r="F54" s="2500"/>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6" t="s">
        <v>2949</v>
      </c>
      <c r="B55" s="2873" t="str">
        <f>估价对象房地状况!C22</f>
        <v>估价对象所在区域基础设施水平</v>
      </c>
      <c r="C55" s="2769"/>
      <c r="D55" s="1286">
        <f t="shared" si="10"/>
        <v>0</v>
      </c>
      <c r="E55" s="822"/>
      <c r="F55" s="2500"/>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7" t="s">
        <v>2950</v>
      </c>
      <c r="B56" s="2878" t="str">
        <f>估价对象房地状况!C20</f>
        <v>区域自然环境：；人文环境；综合评价环境状况一般</v>
      </c>
      <c r="C56" s="2769"/>
      <c r="D56" s="1286">
        <f t="shared" si="10"/>
        <v>0</v>
      </c>
      <c r="E56" s="825"/>
      <c r="F56" s="2500"/>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5" t="s">
        <v>2951</v>
      </c>
      <c r="B57" s="2866">
        <f>1+E59</f>
        <v>1</v>
      </c>
      <c r="C57" s="814"/>
      <c r="D57" s="814"/>
      <c r="E57" s="815"/>
      <c r="F57" s="286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9" t="s">
        <v>2932</v>
      </c>
      <c r="B58" s="1809"/>
      <c r="C58" s="1809" t="s">
        <v>2934</v>
      </c>
      <c r="D58" s="1809" t="s">
        <v>2935</v>
      </c>
      <c r="E58" s="819" t="s">
        <v>2936</v>
      </c>
      <c r="F58" s="2870" t="s">
        <v>2952</v>
      </c>
      <c r="G58" s="1809" t="s">
        <v>754</v>
      </c>
      <c r="H58" s="2871" t="s">
        <v>2938</v>
      </c>
      <c r="I58" s="1809" t="s">
        <v>2939</v>
      </c>
      <c r="J58" s="603" t="s">
        <v>2588</v>
      </c>
      <c r="K58" s="603" t="s">
        <v>2589</v>
      </c>
      <c r="L58" s="603" t="s">
        <v>2590</v>
      </c>
      <c r="M58" s="603" t="s">
        <v>2591</v>
      </c>
      <c r="N58" s="603" t="s">
        <v>2592</v>
      </c>
      <c r="AA58" s="1371"/>
      <c r="AB58" s="1371"/>
      <c r="AC58" s="1371"/>
      <c r="AD58" s="1371"/>
      <c r="AE58" s="1371"/>
      <c r="AF58" s="1371"/>
      <c r="AG58" s="1371"/>
      <c r="AH58" s="1371"/>
      <c r="AI58" s="1371"/>
      <c r="AJ58" s="1371"/>
      <c r="AK58" s="1371"/>
    </row>
    <row r="59" spans="1:37" s="1370" customFormat="1" ht="38.25">
      <c r="A59" s="2869" t="s">
        <v>2953</v>
      </c>
      <c r="B59" s="2872" t="str">
        <f>估价对象房地状况!C17</f>
        <v>估价对象位于XX商圈，周边办公楼项目较多，入驻率高，办公集聚程度较好</v>
      </c>
      <c r="C59" s="2769"/>
      <c r="D59" s="1286">
        <f t="shared" ref="D59:D67" si="15">SUMIF($J$58:$N$58,C59,J59:N59)</f>
        <v>0</v>
      </c>
      <c r="E59" s="821">
        <f>ROUND(SUM(D59:D67),4)</f>
        <v>0</v>
      </c>
      <c r="F59" s="2500"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9" t="s">
        <v>2941</v>
      </c>
      <c r="B60" s="2873" t="str">
        <f>估价对象房地状况!C18</f>
        <v>估价对象周边道路状况、公共交通通达情况、停车便捷程度，综合评价交通便捷度较好</v>
      </c>
      <c r="C60" s="2769"/>
      <c r="D60" s="1286">
        <f t="shared" si="15"/>
        <v>0</v>
      </c>
      <c r="E60" s="822"/>
      <c r="F60" s="2500"/>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9" t="s">
        <v>2942</v>
      </c>
      <c r="B61" s="2873">
        <f>估价对象房地状况!C19</f>
        <v>0</v>
      </c>
      <c r="C61" s="2769"/>
      <c r="D61" s="1286">
        <f t="shared" si="15"/>
        <v>0</v>
      </c>
      <c r="E61" s="822"/>
      <c r="F61" s="2500"/>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9" t="s">
        <v>2943</v>
      </c>
      <c r="B62" s="2874" t="s">
        <v>2944</v>
      </c>
      <c r="C62" s="2769"/>
      <c r="D62" s="1286">
        <f t="shared" si="15"/>
        <v>0</v>
      </c>
      <c r="E62" s="822"/>
      <c r="F62" s="2500"/>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9" t="s">
        <v>2945</v>
      </c>
      <c r="B63" s="2873">
        <f>估价对象房地状况!C24</f>
        <v>0</v>
      </c>
      <c r="C63" s="2769"/>
      <c r="D63" s="1286">
        <f t="shared" si="15"/>
        <v>0</v>
      </c>
      <c r="E63" s="822"/>
      <c r="F63" s="2500"/>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9" t="s">
        <v>2946</v>
      </c>
      <c r="B64" s="2875" t="s">
        <v>2947</v>
      </c>
      <c r="C64" s="2769"/>
      <c r="D64" s="1286">
        <f t="shared" si="15"/>
        <v>0</v>
      </c>
      <c r="E64" s="822"/>
      <c r="F64" s="2500"/>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9" t="s">
        <v>2948</v>
      </c>
      <c r="B65" s="1725" t="str">
        <f>估价对象房地状况!C21</f>
        <v>估价对象所在区域公共配套设施齐备情况</v>
      </c>
      <c r="C65" s="2769"/>
      <c r="D65" s="1286">
        <f t="shared" si="15"/>
        <v>0</v>
      </c>
      <c r="E65" s="822"/>
      <c r="F65" s="2500"/>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9" t="s">
        <v>2949</v>
      </c>
      <c r="B66" s="1725" t="str">
        <f>估价对象房地状况!C22</f>
        <v>估价对象所在区域基础设施水平</v>
      </c>
      <c r="C66" s="2769"/>
      <c r="D66" s="1286">
        <f t="shared" si="15"/>
        <v>0</v>
      </c>
      <c r="E66" s="822"/>
      <c r="F66" s="2500"/>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7" t="s">
        <v>2950</v>
      </c>
      <c r="B67" s="2879" t="str">
        <f>估价对象房地状况!C20</f>
        <v>区域自然环境：；人文环境；综合评价环境状况一般</v>
      </c>
      <c r="C67" s="2769"/>
      <c r="D67" s="1286">
        <f t="shared" si="15"/>
        <v>0</v>
      </c>
      <c r="E67" s="825"/>
      <c r="F67" s="2500"/>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5" t="s">
        <v>2954</v>
      </c>
      <c r="B68" s="2866">
        <f>1+E70</f>
        <v>1</v>
      </c>
      <c r="C68" s="814"/>
      <c r="D68" s="814"/>
      <c r="E68" s="815"/>
      <c r="F68" s="286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9" t="s">
        <v>2932</v>
      </c>
      <c r="B69" s="1809"/>
      <c r="C69" s="1809" t="s">
        <v>2934</v>
      </c>
      <c r="D69" s="1809" t="s">
        <v>2935</v>
      </c>
      <c r="E69" s="819" t="s">
        <v>2936</v>
      </c>
      <c r="F69" s="2870" t="s">
        <v>2952</v>
      </c>
      <c r="G69" s="1809" t="s">
        <v>754</v>
      </c>
      <c r="H69" s="2871" t="s">
        <v>2938</v>
      </c>
      <c r="I69" s="1809" t="s">
        <v>2939</v>
      </c>
      <c r="J69" s="603" t="s">
        <v>2588</v>
      </c>
      <c r="K69" s="603" t="s">
        <v>2589</v>
      </c>
      <c r="L69" s="603" t="s">
        <v>2590</v>
      </c>
      <c r="M69" s="603" t="s">
        <v>2591</v>
      </c>
      <c r="N69" s="603" t="s">
        <v>2592</v>
      </c>
      <c r="AA69" s="1371"/>
      <c r="AB69" s="1371"/>
      <c r="AC69" s="1371"/>
      <c r="AD69" s="1371"/>
      <c r="AE69" s="1371"/>
      <c r="AF69" s="1371"/>
      <c r="AG69" s="1371"/>
      <c r="AH69" s="1371"/>
      <c r="AI69" s="1371"/>
      <c r="AJ69" s="1371"/>
      <c r="AK69" s="1371"/>
    </row>
    <row r="70" spans="1:37" s="1370" customFormat="1" ht="51">
      <c r="A70" s="2869" t="s">
        <v>2955</v>
      </c>
      <c r="B70" s="2872" t="str">
        <f>估价对象房地状况!C15</f>
        <v>估价对象周边居住用地比例、居住小区规模和社区发展完善程度，综合评价居住社区成熟度一般</v>
      </c>
      <c r="C70" s="2769"/>
      <c r="D70" s="1286">
        <f t="shared" ref="D70:D78" si="20">SUMIF($J$69:$N$69,C70,J70:N70)</f>
        <v>0</v>
      </c>
      <c r="E70" s="821">
        <f>ROUND(SUM(D70:D78),4)</f>
        <v>0</v>
      </c>
      <c r="F70" s="250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9" t="s">
        <v>2941</v>
      </c>
      <c r="B71" s="2873" t="str">
        <f>估价对象房地状况!C18</f>
        <v>估价对象周边道路状况、公共交通通达情况、停车便捷程度，综合评价交通便捷度较好</v>
      </c>
      <c r="C71" s="2769"/>
      <c r="D71" s="1286">
        <f t="shared" si="20"/>
        <v>0</v>
      </c>
      <c r="E71" s="826"/>
      <c r="F71" s="250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9" t="s">
        <v>2942</v>
      </c>
      <c r="B72" s="2873">
        <f>估价对象房地状况!C19</f>
        <v>0</v>
      </c>
      <c r="C72" s="2769"/>
      <c r="D72" s="1286">
        <f t="shared" si="20"/>
        <v>0</v>
      </c>
      <c r="E72" s="826"/>
      <c r="F72" s="250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9" t="s">
        <v>2956</v>
      </c>
      <c r="B73" s="2873">
        <f>估价对象房地状况!C24</f>
        <v>0</v>
      </c>
      <c r="C73" s="2769"/>
      <c r="D73" s="1286">
        <f t="shared" si="20"/>
        <v>0</v>
      </c>
      <c r="E73" s="826"/>
      <c r="F73" s="250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9" t="s">
        <v>2948</v>
      </c>
      <c r="B74" s="1725" t="str">
        <f>估价对象房地状况!C21</f>
        <v>估价对象所在区域公共配套设施齐备情况</v>
      </c>
      <c r="C74" s="2769"/>
      <c r="D74" s="1286">
        <f t="shared" si="20"/>
        <v>0</v>
      </c>
      <c r="E74" s="826"/>
      <c r="F74" s="250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9" t="s">
        <v>2949</v>
      </c>
      <c r="B75" s="1725" t="str">
        <f>估价对象房地状况!C22</f>
        <v>估价对象所在区域基础设施水平</v>
      </c>
      <c r="C75" s="2769"/>
      <c r="D75" s="1286">
        <f t="shared" si="20"/>
        <v>0</v>
      </c>
      <c r="E75" s="826"/>
      <c r="F75" s="250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69" t="s">
        <v>2946</v>
      </c>
      <c r="B76" s="2875" t="s">
        <v>2947</v>
      </c>
      <c r="C76" s="2769"/>
      <c r="D76" s="1286">
        <f t="shared" si="20"/>
        <v>0</v>
      </c>
      <c r="E76" s="826"/>
      <c r="F76" s="2500"/>
      <c r="G76" s="1284"/>
      <c r="H76" s="1288" t="str">
        <f t="shared" si="21"/>
        <v>——</v>
      </c>
      <c r="I76" s="820">
        <v>0.05</v>
      </c>
      <c r="J76" s="1285">
        <f t="shared" si="22"/>
        <v>0</v>
      </c>
      <c r="K76" s="1285">
        <f t="shared" si="23"/>
        <v>0</v>
      </c>
      <c r="L76" s="1285">
        <v>0</v>
      </c>
      <c r="M76" s="1285">
        <f t="shared" si="24"/>
        <v>0</v>
      </c>
      <c r="N76" s="1285">
        <f t="shared" si="24"/>
        <v>0</v>
      </c>
      <c r="AA76" s="2880"/>
      <c r="AB76" s="1371"/>
      <c r="AC76" s="1371"/>
      <c r="AD76" s="1371"/>
      <c r="AE76" s="1371"/>
      <c r="AF76" s="1371"/>
      <c r="AG76" s="1371"/>
      <c r="AH76" s="2880"/>
      <c r="AI76" s="2880"/>
      <c r="AJ76" s="2880"/>
      <c r="AK76" s="2880"/>
    </row>
    <row r="77" spans="1:37" ht="38.25">
      <c r="A77" s="2869" t="s">
        <v>2950</v>
      </c>
      <c r="B77" s="2872" t="str">
        <f>估价对象房地状况!C20</f>
        <v>区域自然环境：；人文环境；综合评价环境状况一般</v>
      </c>
      <c r="C77" s="2769"/>
      <c r="D77" s="1286">
        <f t="shared" si="20"/>
        <v>0</v>
      </c>
      <c r="E77" s="826"/>
      <c r="F77" s="2500"/>
      <c r="G77" s="1284"/>
      <c r="H77" s="1288" t="str">
        <f t="shared" si="21"/>
        <v>——</v>
      </c>
      <c r="I77" s="820">
        <v>0.15</v>
      </c>
      <c r="J77" s="1285">
        <f t="shared" si="22"/>
        <v>0</v>
      </c>
      <c r="K77" s="1285">
        <f t="shared" si="23"/>
        <v>0</v>
      </c>
      <c r="L77" s="1285">
        <v>0</v>
      </c>
      <c r="M77" s="1285">
        <f t="shared" si="24"/>
        <v>0</v>
      </c>
      <c r="N77" s="1285">
        <f t="shared" si="24"/>
        <v>0</v>
      </c>
      <c r="Z77" s="2719"/>
      <c r="AA77" s="2787"/>
      <c r="AG77" s="1372"/>
      <c r="AK77" s="2787"/>
    </row>
    <row r="78" spans="1:37" ht="24.75" thickBot="1">
      <c r="A78" s="2877" t="s">
        <v>2957</v>
      </c>
      <c r="B78" s="2881"/>
      <c r="C78" s="2769"/>
      <c r="D78" s="1286">
        <f t="shared" si="20"/>
        <v>0</v>
      </c>
      <c r="E78" s="827"/>
      <c r="F78" s="2500"/>
      <c r="G78" s="1284"/>
      <c r="H78" s="1288" t="str">
        <f t="shared" si="21"/>
        <v>——</v>
      </c>
      <c r="I78" s="824">
        <v>0.04</v>
      </c>
      <c r="J78" s="1285">
        <f t="shared" si="22"/>
        <v>0</v>
      </c>
      <c r="K78" s="1285">
        <f t="shared" si="23"/>
        <v>0</v>
      </c>
      <c r="L78" s="1285">
        <v>0</v>
      </c>
      <c r="M78" s="1285">
        <f t="shared" si="24"/>
        <v>0</v>
      </c>
      <c r="N78" s="1285">
        <f t="shared" si="24"/>
        <v>0</v>
      </c>
      <c r="Z78" s="2719"/>
      <c r="AA78" s="2787"/>
      <c r="AG78" s="1372"/>
      <c r="AK78" s="2787"/>
    </row>
    <row r="79" spans="1:37" ht="15">
      <c r="A79" s="2865" t="s">
        <v>2958</v>
      </c>
      <c r="B79" s="2866">
        <f>1+E81</f>
        <v>1</v>
      </c>
      <c r="C79" s="814"/>
      <c r="D79" s="814"/>
      <c r="E79" s="815"/>
      <c r="F79" s="2868"/>
      <c r="G79" s="6"/>
      <c r="H79" s="6"/>
      <c r="I79" s="6"/>
      <c r="J79" s="7"/>
      <c r="K79" s="7"/>
      <c r="L79" s="7"/>
      <c r="M79" s="7"/>
      <c r="N79" s="7"/>
      <c r="Z79" s="2719"/>
      <c r="AA79" s="2787"/>
      <c r="AG79" s="1372"/>
      <c r="AK79" s="2787"/>
    </row>
    <row r="80" spans="1:37" ht="24.75">
      <c r="A80" s="2869" t="s">
        <v>2932</v>
      </c>
      <c r="B80" s="1809"/>
      <c r="C80" s="1809" t="s">
        <v>2934</v>
      </c>
      <c r="D80" s="1809" t="s">
        <v>2935</v>
      </c>
      <c r="E80" s="819" t="s">
        <v>2936</v>
      </c>
      <c r="F80" s="2870" t="s">
        <v>2952</v>
      </c>
      <c r="G80" s="1809" t="s">
        <v>754</v>
      </c>
      <c r="H80" s="2871" t="s">
        <v>2938</v>
      </c>
      <c r="I80" s="1809" t="s">
        <v>2939</v>
      </c>
      <c r="J80" s="603" t="s">
        <v>2588</v>
      </c>
      <c r="K80" s="603" t="s">
        <v>2589</v>
      </c>
      <c r="L80" s="603" t="s">
        <v>2590</v>
      </c>
      <c r="M80" s="603" t="s">
        <v>2591</v>
      </c>
      <c r="N80" s="603" t="s">
        <v>2592</v>
      </c>
      <c r="Z80" s="2719"/>
      <c r="AA80" s="2787"/>
      <c r="AG80" s="1372"/>
      <c r="AK80" s="2787"/>
    </row>
    <row r="81" spans="1:37" ht="38.25">
      <c r="A81" s="2869" t="s">
        <v>2959</v>
      </c>
      <c r="B81" s="2873" t="str">
        <f>估价对象房地状况!G15</f>
        <v>估价对象位于XX开发区，园区建设成熟度XX，产业集聚程度XX</v>
      </c>
      <c r="C81" s="2769"/>
      <c r="D81" s="1286">
        <f t="shared" ref="D81:D88" si="25">SUMIF($J$80:$N$80,C81,J81:N81)</f>
        <v>0</v>
      </c>
      <c r="E81" s="821">
        <f>ROUND(SUM(D81:D88),4)</f>
        <v>0</v>
      </c>
      <c r="F81" s="2500"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9"/>
      <c r="AA81" s="2787"/>
      <c r="AG81" s="1372"/>
      <c r="AK81" s="2787"/>
    </row>
    <row r="82" spans="1:37" ht="51">
      <c r="A82" s="2869" t="s">
        <v>2941</v>
      </c>
      <c r="B82" s="2873" t="str">
        <f>估价对象房地状况!G16</f>
        <v>估价对象周边道路状况、公共交通通达情况、停车便捷程度，综合评价交通便捷度较好</v>
      </c>
      <c r="C82" s="2769"/>
      <c r="D82" s="1286">
        <f t="shared" si="25"/>
        <v>0</v>
      </c>
      <c r="E82" s="826"/>
      <c r="F82" s="2500"/>
      <c r="G82" s="1284"/>
      <c r="H82" s="1288" t="str">
        <f t="shared" si="26"/>
        <v>——</v>
      </c>
      <c r="I82" s="820">
        <v>0.33</v>
      </c>
      <c r="J82" s="1285">
        <f t="shared" si="27"/>
        <v>0</v>
      </c>
      <c r="K82" s="1285">
        <f t="shared" si="28"/>
        <v>0</v>
      </c>
      <c r="L82" s="1285">
        <v>0</v>
      </c>
      <c r="M82" s="1285">
        <f t="shared" si="29"/>
        <v>0</v>
      </c>
      <c r="N82" s="1285">
        <f t="shared" si="29"/>
        <v>0</v>
      </c>
      <c r="Z82" s="2719"/>
      <c r="AA82" s="2787"/>
      <c r="AG82" s="1372"/>
      <c r="AK82" s="2787"/>
    </row>
    <row r="83" spans="1:37" ht="24">
      <c r="A83" s="2869" t="s">
        <v>2942</v>
      </c>
      <c r="B83" s="2873">
        <f>估价对象房地状况!G17</f>
        <v>0</v>
      </c>
      <c r="C83" s="2769"/>
      <c r="D83" s="1286">
        <f t="shared" si="25"/>
        <v>0</v>
      </c>
      <c r="E83" s="826"/>
      <c r="F83" s="2500"/>
      <c r="G83" s="1284"/>
      <c r="H83" s="1288" t="str">
        <f t="shared" si="26"/>
        <v>——</v>
      </c>
      <c r="I83" s="820">
        <v>0.05</v>
      </c>
      <c r="J83" s="1285">
        <f t="shared" si="27"/>
        <v>0</v>
      </c>
      <c r="K83" s="1285">
        <f t="shared" si="28"/>
        <v>0</v>
      </c>
      <c r="L83" s="1285">
        <v>0</v>
      </c>
      <c r="M83" s="1285">
        <f t="shared" si="29"/>
        <v>0</v>
      </c>
      <c r="N83" s="1285">
        <f t="shared" si="29"/>
        <v>0</v>
      </c>
      <c r="Z83" s="2719"/>
      <c r="AA83" s="2787"/>
      <c r="AG83" s="1372"/>
      <c r="AK83" s="2787"/>
    </row>
    <row r="84" spans="1:37" ht="14.25">
      <c r="A84" s="2869" t="s">
        <v>2956</v>
      </c>
      <c r="B84" s="2873">
        <f>估价对象房地状况!G22</f>
        <v>0</v>
      </c>
      <c r="C84" s="2769"/>
      <c r="D84" s="1286">
        <f t="shared" si="25"/>
        <v>0</v>
      </c>
      <c r="E84" s="826"/>
      <c r="F84" s="2500"/>
      <c r="G84" s="1284"/>
      <c r="H84" s="1288" t="str">
        <f t="shared" si="26"/>
        <v>——</v>
      </c>
      <c r="I84" s="820">
        <v>0.04</v>
      </c>
      <c r="J84" s="1285">
        <f t="shared" si="27"/>
        <v>0</v>
      </c>
      <c r="K84" s="1285">
        <f t="shared" si="28"/>
        <v>0</v>
      </c>
      <c r="L84" s="1285">
        <v>0</v>
      </c>
      <c r="M84" s="1285">
        <f t="shared" si="29"/>
        <v>0</v>
      </c>
      <c r="N84" s="1285">
        <f t="shared" si="29"/>
        <v>0</v>
      </c>
      <c r="Z84" s="2719"/>
      <c r="AA84" s="2787"/>
      <c r="AG84" s="1372"/>
      <c r="AK84" s="2787"/>
    </row>
    <row r="85" spans="1:37" ht="25.5">
      <c r="A85" s="2869" t="s">
        <v>2948</v>
      </c>
      <c r="B85" s="1725" t="str">
        <f>估价对象房地状况!G19</f>
        <v>估价对象所在区域公共配套设施齐备情况</v>
      </c>
      <c r="C85" s="2769"/>
      <c r="D85" s="1286">
        <f t="shared" si="25"/>
        <v>0</v>
      </c>
      <c r="E85" s="826"/>
      <c r="F85" s="2500"/>
      <c r="G85" s="1284"/>
      <c r="H85" s="1288" t="str">
        <f t="shared" si="26"/>
        <v>——</v>
      </c>
      <c r="I85" s="820">
        <v>0.06</v>
      </c>
      <c r="J85" s="1285">
        <f t="shared" si="27"/>
        <v>0</v>
      </c>
      <c r="K85" s="1285">
        <f t="shared" si="28"/>
        <v>0</v>
      </c>
      <c r="L85" s="1285">
        <v>0</v>
      </c>
      <c r="M85" s="1285">
        <f t="shared" si="29"/>
        <v>0</v>
      </c>
      <c r="N85" s="1285">
        <f t="shared" si="29"/>
        <v>0</v>
      </c>
      <c r="Z85" s="2719"/>
      <c r="AA85" s="2787"/>
      <c r="AG85" s="1372"/>
      <c r="AK85" s="2787"/>
    </row>
    <row r="86" spans="1:37" ht="25.5">
      <c r="A86" s="2869" t="s">
        <v>2949</v>
      </c>
      <c r="B86" s="1725" t="str">
        <f>估价对象房地状况!G20</f>
        <v>估价对象所在区域基础设施水平</v>
      </c>
      <c r="C86" s="2769"/>
      <c r="D86" s="1286">
        <f t="shared" si="25"/>
        <v>0</v>
      </c>
      <c r="E86" s="826"/>
      <c r="F86" s="2500"/>
      <c r="G86" s="1284"/>
      <c r="H86" s="1288" t="str">
        <f t="shared" si="26"/>
        <v>——</v>
      </c>
      <c r="I86" s="820">
        <v>0.15</v>
      </c>
      <c r="J86" s="1285">
        <f t="shared" si="27"/>
        <v>0</v>
      </c>
      <c r="K86" s="1285">
        <f t="shared" si="28"/>
        <v>0</v>
      </c>
      <c r="L86" s="1285">
        <v>0</v>
      </c>
      <c r="M86" s="1285">
        <f t="shared" si="29"/>
        <v>0</v>
      </c>
      <c r="N86" s="1285">
        <f t="shared" si="29"/>
        <v>0</v>
      </c>
      <c r="Z86" s="2719"/>
      <c r="AA86" s="2787"/>
      <c r="AG86" s="1372"/>
      <c r="AK86" s="2787"/>
    </row>
    <row r="87" spans="1:37" ht="24">
      <c r="A87" s="2869" t="s">
        <v>2946</v>
      </c>
      <c r="B87" s="2875" t="s">
        <v>2960</v>
      </c>
      <c r="C87" s="2769"/>
      <c r="D87" s="1286">
        <f t="shared" si="25"/>
        <v>0</v>
      </c>
      <c r="E87" s="826"/>
      <c r="F87" s="2500"/>
      <c r="G87" s="1284"/>
      <c r="H87" s="1288" t="str">
        <f t="shared" si="26"/>
        <v>——</v>
      </c>
      <c r="I87" s="820">
        <v>0.05</v>
      </c>
      <c r="J87" s="1285">
        <f t="shared" si="27"/>
        <v>0</v>
      </c>
      <c r="K87" s="1285">
        <f t="shared" si="28"/>
        <v>0</v>
      </c>
      <c r="L87" s="1285">
        <v>0</v>
      </c>
      <c r="M87" s="1285">
        <f t="shared" si="29"/>
        <v>0</v>
      </c>
      <c r="N87" s="1285">
        <f t="shared" si="29"/>
        <v>0</v>
      </c>
      <c r="Z87" s="2719"/>
      <c r="AA87" s="2787"/>
      <c r="AG87" s="1372"/>
      <c r="AK87" s="2787"/>
    </row>
    <row r="88" spans="1:37" ht="39" thickBot="1">
      <c r="A88" s="2877" t="s">
        <v>2961</v>
      </c>
      <c r="B88" s="2882" t="str">
        <f>估价对象房地状况!G18</f>
        <v>该园区内是否有污染型企业，绿化情况，卫生条件，整体环境状况判断</v>
      </c>
      <c r="C88" s="2769"/>
      <c r="D88" s="1286">
        <f t="shared" si="25"/>
        <v>0</v>
      </c>
      <c r="E88" s="827"/>
      <c r="F88" s="2500"/>
      <c r="G88" s="1284"/>
      <c r="H88" s="1288" t="str">
        <f t="shared" si="26"/>
        <v>——</v>
      </c>
      <c r="I88" s="824">
        <v>0.06</v>
      </c>
      <c r="J88" s="1285">
        <f t="shared" si="27"/>
        <v>0</v>
      </c>
      <c r="K88" s="1285">
        <f t="shared" si="28"/>
        <v>0</v>
      </c>
      <c r="L88" s="1285">
        <v>0</v>
      </c>
      <c r="M88" s="1285">
        <f t="shared" si="29"/>
        <v>0</v>
      </c>
      <c r="N88" s="1285">
        <f t="shared" si="29"/>
        <v>0</v>
      </c>
      <c r="Z88" s="2719"/>
      <c r="AA88" s="2787"/>
      <c r="AG88" s="1372"/>
      <c r="AK88" s="2787"/>
    </row>
    <row r="90" spans="1:37">
      <c r="A90" s="3257" t="s">
        <v>2962</v>
      </c>
      <c r="B90" s="3257"/>
      <c r="C90" s="3257"/>
      <c r="D90" s="3257"/>
      <c r="E90" s="3257"/>
      <c r="F90" s="3257"/>
      <c r="G90" s="3257"/>
      <c r="H90" s="3257"/>
      <c r="I90" s="3257"/>
      <c r="J90" s="3257"/>
      <c r="K90" s="2883"/>
      <c r="L90" s="2883"/>
      <c r="M90" s="2883"/>
      <c r="N90" s="2883"/>
    </row>
    <row r="91" spans="1:37">
      <c r="A91" s="3259" t="s">
        <v>2963</v>
      </c>
      <c r="B91" s="3259" t="s">
        <v>2964</v>
      </c>
      <c r="C91" s="2837" t="s">
        <v>2965</v>
      </c>
      <c r="D91" s="2838"/>
      <c r="E91" s="2838"/>
      <c r="F91" s="2838"/>
      <c r="G91" s="2838"/>
      <c r="H91" s="2838"/>
      <c r="I91" s="2838"/>
      <c r="J91" s="2884"/>
      <c r="K91" s="2885"/>
      <c r="L91" s="2885"/>
      <c r="M91" s="2885"/>
      <c r="N91" s="2885"/>
    </row>
    <row r="92" spans="1:37">
      <c r="A92" s="3259"/>
      <c r="B92" s="3259"/>
      <c r="C92" s="942" t="s">
        <v>2831</v>
      </c>
      <c r="D92" s="942" t="s">
        <v>2832</v>
      </c>
      <c r="E92" s="942" t="s">
        <v>2833</v>
      </c>
      <c r="F92" s="942" t="s">
        <v>2834</v>
      </c>
      <c r="G92" s="942" t="s">
        <v>2835</v>
      </c>
      <c r="H92" s="942" t="s">
        <v>2836</v>
      </c>
      <c r="I92" s="942" t="s">
        <v>2837</v>
      </c>
      <c r="J92" s="942" t="s">
        <v>2838</v>
      </c>
      <c r="K92" s="942" t="s">
        <v>2839</v>
      </c>
      <c r="L92" s="942" t="s">
        <v>2840</v>
      </c>
      <c r="M92" s="942" t="s">
        <v>2841</v>
      </c>
      <c r="N92" s="942" t="s">
        <v>2842</v>
      </c>
    </row>
    <row r="93" spans="1:37">
      <c r="A93" s="3260" t="s">
        <v>2966</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261"/>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261"/>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261"/>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261"/>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261"/>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261"/>
      <c r="B99" s="2886" t="s">
        <v>2847</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262"/>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260" t="s">
        <v>2967</v>
      </c>
      <c r="B101" s="2890" t="s">
        <v>2968</v>
      </c>
      <c r="C101" s="2891">
        <f>$G$3</f>
        <v>0.41</v>
      </c>
      <c r="D101" s="2891">
        <f t="shared" ref="D101:N101" si="31">$G$3</f>
        <v>0.41</v>
      </c>
      <c r="E101" s="2891">
        <f t="shared" si="31"/>
        <v>0.41</v>
      </c>
      <c r="F101" s="2891">
        <f t="shared" si="31"/>
        <v>0.41</v>
      </c>
      <c r="G101" s="2891">
        <f t="shared" si="31"/>
        <v>0.41</v>
      </c>
      <c r="H101" s="2891">
        <f t="shared" si="31"/>
        <v>0.41</v>
      </c>
      <c r="I101" s="2891">
        <f t="shared" si="31"/>
        <v>0.41</v>
      </c>
      <c r="J101" s="2891">
        <f t="shared" si="31"/>
        <v>0.41</v>
      </c>
      <c r="K101" s="2891">
        <f t="shared" si="31"/>
        <v>0.41</v>
      </c>
      <c r="L101" s="2891">
        <f t="shared" si="31"/>
        <v>0.41</v>
      </c>
      <c r="M101" s="2891">
        <f t="shared" si="31"/>
        <v>0.41</v>
      </c>
      <c r="N101" s="2891">
        <f t="shared" si="31"/>
        <v>0.41</v>
      </c>
    </row>
    <row r="102" spans="1:14">
      <c r="A102" s="3261"/>
      <c r="B102" s="2886">
        <v>1</v>
      </c>
      <c r="C102" s="2887">
        <f>1.9362/C101</f>
        <v>4.7224390243902441</v>
      </c>
      <c r="D102" s="2887">
        <f>1.9362/D101</f>
        <v>4.7224390243902441</v>
      </c>
      <c r="E102" s="2887">
        <f>1.8629/E101</f>
        <v>4.5436585365853661</v>
      </c>
      <c r="F102" s="2887">
        <f>1.8629/F101</f>
        <v>4.5436585365853661</v>
      </c>
      <c r="G102" s="2887">
        <f>1.8629/G101</f>
        <v>4.5436585365853661</v>
      </c>
      <c r="H102" s="2887">
        <f>1.8629/H101</f>
        <v>4.5436585365853661</v>
      </c>
      <c r="I102" s="2887">
        <f>1.8629/I101</f>
        <v>4.5436585365853661</v>
      </c>
      <c r="J102" s="2887">
        <f>1.942/J101</f>
        <v>4.7365853658536583</v>
      </c>
      <c r="K102" s="2887">
        <f>1.942/K101</f>
        <v>4.7365853658536583</v>
      </c>
      <c r="L102" s="2887">
        <f>1.942/L101</f>
        <v>4.7365853658536583</v>
      </c>
      <c r="M102" s="2887">
        <f>1.942/M101</f>
        <v>4.7365853658536583</v>
      </c>
      <c r="N102" s="2887">
        <f>1.942/N101</f>
        <v>4.7365853658536583</v>
      </c>
    </row>
    <row r="103" spans="1:14">
      <c r="A103" s="3261"/>
      <c r="B103" s="2886">
        <v>2</v>
      </c>
      <c r="C103" s="2887">
        <f>1.4198/C101</f>
        <v>3.4629268292682926</v>
      </c>
      <c r="D103" s="2887">
        <f>1.4198/D101</f>
        <v>3.4629268292682926</v>
      </c>
      <c r="E103" s="2887">
        <f>1.3372/E101</f>
        <v>3.2614634146341466</v>
      </c>
      <c r="F103" s="2887">
        <f>1.3372/F101</f>
        <v>3.2614634146341466</v>
      </c>
      <c r="G103" s="2887">
        <f>1.3372/G101</f>
        <v>3.2614634146341466</v>
      </c>
      <c r="H103" s="2887">
        <f>1.3372/H101</f>
        <v>3.2614634146341466</v>
      </c>
      <c r="I103" s="2887">
        <f>1.3372/I101</f>
        <v>3.2614634146341466</v>
      </c>
      <c r="J103" s="2887">
        <f>1.2799/J101</f>
        <v>3.1217073170731711</v>
      </c>
      <c r="K103" s="2887">
        <f>1.2799/K101</f>
        <v>3.1217073170731711</v>
      </c>
      <c r="L103" s="2887">
        <f>1.2799/L101</f>
        <v>3.1217073170731711</v>
      </c>
      <c r="M103" s="2887">
        <f>1.2799/M101</f>
        <v>3.1217073170731711</v>
      </c>
      <c r="N103" s="2887">
        <f>1.2799/N101</f>
        <v>3.1217073170731711</v>
      </c>
    </row>
    <row r="104" spans="1:14">
      <c r="A104" s="3261"/>
      <c r="B104" s="2886">
        <v>3</v>
      </c>
      <c r="C104" s="2887">
        <f>1.1594/C101</f>
        <v>2.8278048780487808</v>
      </c>
      <c r="D104" s="2887">
        <f>1.1594/D101</f>
        <v>2.8278048780487808</v>
      </c>
      <c r="E104" s="2887">
        <f>1.0788/E101</f>
        <v>2.6312195121951221</v>
      </c>
      <c r="F104" s="2887">
        <f>1.0788/F101</f>
        <v>2.6312195121951221</v>
      </c>
      <c r="G104" s="2887">
        <f>1.0788/G101</f>
        <v>2.6312195121951221</v>
      </c>
      <c r="H104" s="2887">
        <f>1.0788/H101</f>
        <v>2.6312195121951221</v>
      </c>
      <c r="I104" s="2887">
        <f>1.0788/I101</f>
        <v>2.6312195121951221</v>
      </c>
      <c r="J104" s="2887">
        <f>1.0072/J101</f>
        <v>2.4565853658536589</v>
      </c>
      <c r="K104" s="2887">
        <f>1.0072/K101</f>
        <v>2.4565853658536589</v>
      </c>
      <c r="L104" s="2887">
        <f>1.0072/L101</f>
        <v>2.4565853658536589</v>
      </c>
      <c r="M104" s="2887">
        <f>1.0072/M101</f>
        <v>2.4565853658536589</v>
      </c>
      <c r="N104" s="2887">
        <f>1.0072/N101</f>
        <v>2.4565853658536589</v>
      </c>
    </row>
    <row r="105" spans="1:14">
      <c r="A105" s="3261"/>
      <c r="B105" s="2886">
        <v>4</v>
      </c>
      <c r="C105" s="2887">
        <f>0.9622/C101</f>
        <v>2.3468292682926832</v>
      </c>
      <c r="D105" s="2887">
        <f>0.9622/D101</f>
        <v>2.3468292682926832</v>
      </c>
      <c r="E105" s="2887">
        <f>0.8656/E101</f>
        <v>2.1112195121951221</v>
      </c>
      <c r="F105" s="2887">
        <f>0.8656/F101</f>
        <v>2.1112195121951221</v>
      </c>
      <c r="G105" s="2887">
        <f>0.8656/G101</f>
        <v>2.1112195121951221</v>
      </c>
      <c r="H105" s="2887">
        <f>0.8656/H101</f>
        <v>2.1112195121951221</v>
      </c>
      <c r="I105" s="2887">
        <f>0.8656/I101</f>
        <v>2.1112195121951221</v>
      </c>
      <c r="J105" s="2887">
        <f>0.7525/J101</f>
        <v>1.8353658536585367</v>
      </c>
      <c r="K105" s="2887">
        <f>0.7525/K101</f>
        <v>1.8353658536585367</v>
      </c>
      <c r="L105" s="2887">
        <f>0.7525/L101</f>
        <v>1.8353658536585367</v>
      </c>
      <c r="M105" s="2887">
        <f>0.7525/M101</f>
        <v>1.8353658536585367</v>
      </c>
      <c r="N105" s="2887">
        <f>0.7525/N101</f>
        <v>1.8353658536585367</v>
      </c>
    </row>
    <row r="106" spans="1:14">
      <c r="A106" s="3261"/>
      <c r="B106" s="2886">
        <v>5</v>
      </c>
      <c r="C106" s="2887">
        <f>0.8417/C101</f>
        <v>2.052926829268293</v>
      </c>
      <c r="D106" s="2887">
        <f>0.8417/D101</f>
        <v>2.052926829268293</v>
      </c>
      <c r="E106" s="2887">
        <f>0.7371/E101</f>
        <v>1.7978048780487805</v>
      </c>
      <c r="F106" s="2887">
        <f>0.7371/F101</f>
        <v>1.7978048780487805</v>
      </c>
      <c r="G106" s="2887">
        <f>0.7371/G101</f>
        <v>1.7978048780487805</v>
      </c>
      <c r="H106" s="2887">
        <f>0.7371/H101</f>
        <v>1.7978048780487805</v>
      </c>
      <c r="I106" s="2887">
        <f>0.7371/I101</f>
        <v>1.7978048780487805</v>
      </c>
      <c r="J106" s="2887">
        <f>0.5659/J101</f>
        <v>1.3802439024390243</v>
      </c>
      <c r="K106" s="2887">
        <f>0.5659/K101</f>
        <v>1.3802439024390243</v>
      </c>
      <c r="L106" s="2887">
        <f>0.5659/L101</f>
        <v>1.3802439024390243</v>
      </c>
      <c r="M106" s="2887">
        <f>0.5659/M101</f>
        <v>1.3802439024390243</v>
      </c>
      <c r="N106" s="2887">
        <f>0.5659/N101</f>
        <v>1.3802439024390243</v>
      </c>
    </row>
    <row r="107" spans="1:14">
      <c r="A107" s="3261"/>
      <c r="B107" s="2886">
        <v>6</v>
      </c>
      <c r="C107" s="2887">
        <f>0.7608/C101</f>
        <v>1.8556097560975611</v>
      </c>
      <c r="D107" s="2887">
        <f>0.7608/D101</f>
        <v>1.8556097560975611</v>
      </c>
      <c r="E107" s="2887">
        <f>0.6482/E101</f>
        <v>1.5809756097560976</v>
      </c>
      <c r="F107" s="2887">
        <f>0.6482/F101</f>
        <v>1.5809756097560976</v>
      </c>
      <c r="G107" s="2887">
        <f>0.6482/G101</f>
        <v>1.5809756097560976</v>
      </c>
      <c r="H107" s="2887">
        <f>0.6482/H101</f>
        <v>1.5809756097560976</v>
      </c>
      <c r="I107" s="2887">
        <f>0.6482/I101</f>
        <v>1.5809756097560976</v>
      </c>
      <c r="J107" s="2887">
        <f>0.4525/J101</f>
        <v>1.1036585365853659</v>
      </c>
      <c r="K107" s="2887">
        <f>0.4525/K101</f>
        <v>1.1036585365853659</v>
      </c>
      <c r="L107" s="2887">
        <f>0.4525/L101</f>
        <v>1.1036585365853659</v>
      </c>
      <c r="M107" s="2887">
        <f>0.4525/M101</f>
        <v>1.1036585365853659</v>
      </c>
      <c r="N107" s="2887">
        <f>0.4525/N101</f>
        <v>1.1036585365853659</v>
      </c>
    </row>
    <row r="108" spans="1:14">
      <c r="A108" s="3261"/>
      <c r="B108" s="3089" t="s">
        <v>2969</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262"/>
      <c r="B109" s="3090"/>
      <c r="C109" s="2889">
        <f>(-0.163*(C108^2)-0.59*C108+7617)*(10^(-4))/C101</f>
        <v>1.8578048780487808</v>
      </c>
      <c r="D109" s="2889">
        <f>(-0.163*(D108^2)-0.59*D108+7617)*(10^(-4))/D101</f>
        <v>1.8578048780487808</v>
      </c>
      <c r="E109" s="2889">
        <f>(-0.161*(E108^2)-7.509*E108+6533)*(10^(-4))/E101</f>
        <v>1.5934146341463415</v>
      </c>
      <c r="F109" s="2889">
        <f>(-0.161*(F108^2)-7.509*F108+6533)*(10^(-4))/F101</f>
        <v>1.5934146341463415</v>
      </c>
      <c r="G109" s="2889">
        <f>(-0.161*(G108^2)-7.509*G108+6533)*(10^(-4))/G101</f>
        <v>1.5934146341463415</v>
      </c>
      <c r="H109" s="2889">
        <f>(-0.161*(H108^2)-7.509*H108+6533)*(10^(-4))/H101</f>
        <v>1.5934146341463415</v>
      </c>
      <c r="I109" s="2889">
        <f>(-0.161*(I108^2)-7.509*I108+6533)*(10^(-4))/I101</f>
        <v>1.5934146341463415</v>
      </c>
      <c r="J109" s="2889">
        <f>(-0.214*(J108^2)-21.991*J108+4665)*(10^(-4))/J101</f>
        <v>1.1378048780487806</v>
      </c>
      <c r="K109" s="2889">
        <f>(-0.214*(K108^2)-21.991*K108+4665)*(10^(-4))/K101</f>
        <v>1.1378048780487806</v>
      </c>
      <c r="L109" s="2889">
        <f>(-0.214*(L108^2)-21.991*L108+4665)*(10^(-4))/L101</f>
        <v>1.1378048780487806</v>
      </c>
      <c r="M109" s="2889">
        <f>(-0.214*(M108^2)-21.991*M108+4665)*(10^(-4))/M101</f>
        <v>1.1378048780487806</v>
      </c>
      <c r="N109" s="2889">
        <f>(-0.214*(N108^2)-21.991*N108+4665)*(10^(-4))/N101</f>
        <v>1.1378048780487806</v>
      </c>
    </row>
    <row r="110" spans="1:14">
      <c r="A110" s="3258" t="s">
        <v>2970</v>
      </c>
      <c r="B110" s="3258"/>
      <c r="C110" s="3258"/>
      <c r="D110" s="3258"/>
      <c r="E110" s="3258"/>
      <c r="F110" s="3258"/>
      <c r="G110" s="3258"/>
      <c r="H110" s="3258"/>
      <c r="I110" s="3258"/>
      <c r="J110" s="3258"/>
      <c r="K110" s="2892"/>
      <c r="L110" s="2892"/>
      <c r="M110" s="2892"/>
      <c r="N110" s="2892"/>
    </row>
    <row r="112" spans="1:14" ht="13.5" thickBot="1"/>
    <row r="113" spans="1:13" ht="25.5" thickBot="1">
      <c r="A113" s="903" t="s">
        <v>2971</v>
      </c>
      <c r="B113" s="1287">
        <f>G3</f>
        <v>0.41</v>
      </c>
      <c r="C113" s="904" t="s">
        <v>2972</v>
      </c>
      <c r="D113" s="905">
        <f>SUMPRODUCT((A115:A118=F113)*(B114:M114=H113)*B115:M118)</f>
        <v>0</v>
      </c>
      <c r="E113" s="2723" t="s">
        <v>2804</v>
      </c>
      <c r="F113" s="2894">
        <f>E2</f>
        <v>0</v>
      </c>
      <c r="G113" s="2723" t="s">
        <v>2805</v>
      </c>
      <c r="H113" s="2894">
        <f>G2</f>
        <v>0</v>
      </c>
      <c r="I113" s="2723"/>
      <c r="J113" s="2895"/>
      <c r="K113" s="2895"/>
      <c r="L113" s="2895"/>
      <c r="M113" s="2895"/>
    </row>
    <row r="114" spans="1:13">
      <c r="A114" s="908"/>
      <c r="B114" s="2896" t="s">
        <v>2973</v>
      </c>
      <c r="C114" s="2896" t="s">
        <v>2974</v>
      </c>
      <c r="D114" s="2896" t="s">
        <v>2975</v>
      </c>
      <c r="E114" s="2897" t="s">
        <v>2976</v>
      </c>
      <c r="F114" s="2897" t="s">
        <v>2977</v>
      </c>
      <c r="G114" s="2897" t="s">
        <v>2978</v>
      </c>
      <c r="H114" s="2898" t="s">
        <v>2979</v>
      </c>
      <c r="I114" s="2898" t="s">
        <v>2980</v>
      </c>
      <c r="J114" s="2899" t="s">
        <v>2981</v>
      </c>
      <c r="K114" s="2899" t="s">
        <v>2982</v>
      </c>
      <c r="L114" s="2899" t="s">
        <v>2983</v>
      </c>
      <c r="M114" s="2900" t="s">
        <v>2984</v>
      </c>
    </row>
    <row r="115" spans="1:13">
      <c r="A115" s="909" t="s">
        <v>2869</v>
      </c>
      <c r="B115" s="910">
        <f>ROUND(0.9335-0.0094*B113,4)</f>
        <v>0.92959999999999998</v>
      </c>
      <c r="C115" s="910">
        <f>B115</f>
        <v>0.92959999999999998</v>
      </c>
      <c r="D115" s="910">
        <f>ROUND(0.8331-0.0109*B113,4)</f>
        <v>0.8286</v>
      </c>
      <c r="E115" s="910">
        <f>D115</f>
        <v>0.8286</v>
      </c>
      <c r="F115" s="910">
        <f>E115</f>
        <v>0.8286</v>
      </c>
      <c r="G115" s="910">
        <f>F115</f>
        <v>0.8286</v>
      </c>
      <c r="H115" s="910">
        <f>G115</f>
        <v>0.8286</v>
      </c>
      <c r="I115" s="910">
        <f>ROUND(0.689-0.0155*B113,4)</f>
        <v>0.68259999999999998</v>
      </c>
      <c r="J115" s="910">
        <f t="shared" ref="J115:M118" si="33">I115</f>
        <v>0.68259999999999998</v>
      </c>
      <c r="K115" s="910">
        <f t="shared" si="33"/>
        <v>0.68259999999999998</v>
      </c>
      <c r="L115" s="910">
        <f t="shared" si="33"/>
        <v>0.68259999999999998</v>
      </c>
      <c r="M115" s="911">
        <f t="shared" si="33"/>
        <v>0.68259999999999998</v>
      </c>
    </row>
    <row r="116" spans="1:13">
      <c r="A116" s="909" t="s">
        <v>2870</v>
      </c>
      <c r="B116" s="910">
        <f>ROUND(0.949-0.012*B113,4)</f>
        <v>0.94410000000000005</v>
      </c>
      <c r="C116" s="910">
        <f>B116</f>
        <v>0.94410000000000005</v>
      </c>
      <c r="D116" s="910">
        <f>ROUND(0.8567-0.013*B113,4)</f>
        <v>0.85140000000000005</v>
      </c>
      <c r="E116" s="910">
        <f t="shared" ref="E116:H117" si="34">D116</f>
        <v>0.85140000000000005</v>
      </c>
      <c r="F116" s="910">
        <f t="shared" si="34"/>
        <v>0.85140000000000005</v>
      </c>
      <c r="G116" s="910">
        <f t="shared" si="34"/>
        <v>0.85140000000000005</v>
      </c>
      <c r="H116" s="910">
        <f t="shared" si="34"/>
        <v>0.85140000000000005</v>
      </c>
      <c r="I116" s="910">
        <f>ROUND(0.7694-0.014*B113,4)</f>
        <v>0.76370000000000005</v>
      </c>
      <c r="J116" s="910">
        <f t="shared" si="33"/>
        <v>0.76370000000000005</v>
      </c>
      <c r="K116" s="910">
        <f t="shared" si="33"/>
        <v>0.76370000000000005</v>
      </c>
      <c r="L116" s="910">
        <f t="shared" si="33"/>
        <v>0.76370000000000005</v>
      </c>
      <c r="M116" s="911">
        <f t="shared" si="33"/>
        <v>0.76370000000000005</v>
      </c>
    </row>
    <row r="117" spans="1:13">
      <c r="A117" s="909" t="s">
        <v>2871</v>
      </c>
      <c r="B117" s="910">
        <f>ROUND(0.8808-0.006*B113,4)</f>
        <v>0.87829999999999997</v>
      </c>
      <c r="C117" s="910">
        <f>B117</f>
        <v>0.87829999999999997</v>
      </c>
      <c r="D117" s="910">
        <f>ROUND(0.8748-0.008*B113,4)</f>
        <v>0.87150000000000005</v>
      </c>
      <c r="E117" s="910">
        <f t="shared" si="34"/>
        <v>0.87150000000000005</v>
      </c>
      <c r="F117" s="910">
        <f t="shared" si="34"/>
        <v>0.87150000000000005</v>
      </c>
      <c r="G117" s="910">
        <f t="shared" si="34"/>
        <v>0.87150000000000005</v>
      </c>
      <c r="H117" s="910">
        <f t="shared" si="34"/>
        <v>0.87150000000000005</v>
      </c>
      <c r="I117" s="910">
        <f>ROUND(0.7412-0.0095*B113,4)</f>
        <v>0.73729999999999996</v>
      </c>
      <c r="J117" s="910">
        <f t="shared" si="33"/>
        <v>0.73729999999999996</v>
      </c>
      <c r="K117" s="910">
        <f t="shared" si="33"/>
        <v>0.73729999999999996</v>
      </c>
      <c r="L117" s="910">
        <f t="shared" si="33"/>
        <v>0.73729999999999996</v>
      </c>
      <c r="M117" s="911">
        <f t="shared" si="33"/>
        <v>0.73729999999999996</v>
      </c>
    </row>
    <row r="118" spans="1:13" ht="13.5" thickBot="1">
      <c r="A118" s="714" t="s">
        <v>2872</v>
      </c>
      <c r="B118" s="912">
        <f>ROUND(0.7275-0.01*B113,4)</f>
        <v>0.72340000000000004</v>
      </c>
      <c r="C118" s="912">
        <f>B118</f>
        <v>0.72340000000000004</v>
      </c>
      <c r="D118" s="912">
        <f>ROUND(0.7043-0.012*B113,4)</f>
        <v>0.69940000000000002</v>
      </c>
      <c r="E118" s="912">
        <f>D118</f>
        <v>0.69940000000000002</v>
      </c>
      <c r="F118" s="912">
        <f>E118</f>
        <v>0.69940000000000002</v>
      </c>
      <c r="G118" s="912">
        <f>ROUND(0.6299-0.0122*B113,4)</f>
        <v>0.62490000000000001</v>
      </c>
      <c r="H118" s="912">
        <f>G118</f>
        <v>0.62490000000000001</v>
      </c>
      <c r="I118" s="912">
        <f>ROUND(0.5667-0.0136*B113,4)</f>
        <v>0.56110000000000004</v>
      </c>
      <c r="J118" s="912">
        <f t="shared" si="33"/>
        <v>0.56110000000000004</v>
      </c>
      <c r="K118" s="912">
        <f t="shared" si="33"/>
        <v>0.56110000000000004</v>
      </c>
      <c r="L118" s="912">
        <f t="shared" si="33"/>
        <v>0.56110000000000004</v>
      </c>
      <c r="M118" s="913">
        <f t="shared" si="33"/>
        <v>0.56110000000000004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8" t="s">
        <v>183</v>
      </c>
      <c r="B18" s="882" t="s">
        <v>560</v>
      </c>
      <c r="C18" s="883" t="s">
        <v>561</v>
      </c>
      <c r="D18" s="884"/>
      <c r="E18" s="882">
        <v>1</v>
      </c>
      <c r="F18" s="885" t="s">
        <v>562</v>
      </c>
      <c r="G18" s="886"/>
      <c r="H18" s="878"/>
      <c r="I18" s="878"/>
    </row>
    <row r="19" spans="1:9" s="887" customFormat="1" ht="19.5" customHeight="1">
      <c r="A19" s="3278"/>
      <c r="B19" s="3278" t="s">
        <v>563</v>
      </c>
      <c r="C19" s="883" t="s">
        <v>564</v>
      </c>
      <c r="D19" s="884"/>
      <c r="E19" s="882">
        <v>0.9</v>
      </c>
      <c r="F19" s="885" t="s">
        <v>565</v>
      </c>
      <c r="G19" s="886"/>
      <c r="H19" s="878"/>
      <c r="I19" s="878"/>
    </row>
    <row r="20" spans="1:9" s="887" customFormat="1" ht="19.5" customHeight="1">
      <c r="A20" s="3278"/>
      <c r="B20" s="3278"/>
      <c r="C20" s="883" t="s">
        <v>566</v>
      </c>
      <c r="D20" s="884"/>
      <c r="E20" s="882">
        <v>1.1000000000000001</v>
      </c>
      <c r="F20" s="885" t="s">
        <v>567</v>
      </c>
      <c r="G20" s="886"/>
      <c r="H20" s="878"/>
      <c r="I20" s="878"/>
    </row>
    <row r="21" spans="1:9" s="887" customFormat="1" ht="19.5" customHeight="1">
      <c r="A21" s="3278"/>
      <c r="B21" s="3278"/>
      <c r="C21" s="883" t="s">
        <v>568</v>
      </c>
      <c r="D21" s="884"/>
      <c r="E21" s="882">
        <v>0.8</v>
      </c>
      <c r="F21" s="885" t="s">
        <v>569</v>
      </c>
      <c r="G21" s="886"/>
      <c r="H21" s="878"/>
      <c r="I21" s="878"/>
    </row>
    <row r="22" spans="1:9" s="887" customFormat="1" ht="19.5" customHeight="1">
      <c r="A22" s="3278"/>
      <c r="B22" s="3278"/>
      <c r="C22" s="883" t="s">
        <v>570</v>
      </c>
      <c r="D22" s="884"/>
      <c r="E22" s="882">
        <v>0.5</v>
      </c>
      <c r="F22" s="885"/>
      <c r="G22" s="886"/>
      <c r="H22" s="878"/>
      <c r="I22" s="878"/>
    </row>
    <row r="23" spans="1:9" s="887" customFormat="1" ht="19.5" customHeight="1">
      <c r="A23" s="3278" t="s">
        <v>184</v>
      </c>
      <c r="B23" s="882" t="s">
        <v>560</v>
      </c>
      <c r="C23" s="883" t="s">
        <v>571</v>
      </c>
      <c r="D23" s="884"/>
      <c r="E23" s="882">
        <v>1</v>
      </c>
      <c r="F23" s="885" t="s">
        <v>572</v>
      </c>
      <c r="G23" s="886"/>
      <c r="H23" s="878"/>
      <c r="I23" s="878"/>
    </row>
    <row r="24" spans="1:9" s="887" customFormat="1" ht="19.5" customHeight="1">
      <c r="A24" s="3278"/>
      <c r="B24" s="3278" t="s">
        <v>563</v>
      </c>
      <c r="C24" s="883" t="s">
        <v>573</v>
      </c>
      <c r="D24" s="884"/>
      <c r="E24" s="882">
        <v>0.5</v>
      </c>
      <c r="F24" s="885"/>
      <c r="G24" s="886"/>
      <c r="H24" s="878"/>
      <c r="I24" s="878"/>
    </row>
    <row r="25" spans="1:9" s="887" customFormat="1" ht="19.5" customHeight="1">
      <c r="A25" s="3278"/>
      <c r="B25" s="3278"/>
      <c r="C25" s="883" t="s">
        <v>574</v>
      </c>
      <c r="D25" s="884"/>
      <c r="E25" s="882">
        <v>1.1000000000000001</v>
      </c>
      <c r="F25" s="885"/>
      <c r="G25" s="886"/>
      <c r="H25" s="878"/>
      <c r="I25" s="878"/>
    </row>
    <row r="26" spans="1:9" s="887" customFormat="1" ht="19.5" customHeight="1">
      <c r="A26" s="3278"/>
      <c r="B26" s="3278"/>
      <c r="C26" s="883" t="s">
        <v>575</v>
      </c>
      <c r="D26" s="884"/>
      <c r="E26" s="882">
        <v>1.1000000000000001</v>
      </c>
      <c r="F26" s="885"/>
      <c r="G26" s="886"/>
      <c r="H26" s="878"/>
      <c r="I26" s="878"/>
    </row>
    <row r="27" spans="1:9" s="887" customFormat="1" ht="19.5" customHeight="1">
      <c r="A27" s="3278"/>
      <c r="B27" s="3278"/>
      <c r="C27" s="883" t="s">
        <v>576</v>
      </c>
      <c r="D27" s="884"/>
      <c r="E27" s="882">
        <v>0.9</v>
      </c>
      <c r="F27" s="885" t="s">
        <v>577</v>
      </c>
      <c r="G27" s="886"/>
      <c r="H27" s="878"/>
      <c r="I27" s="878"/>
    </row>
    <row r="28" spans="1:9" s="887" customFormat="1" ht="19.5" customHeight="1">
      <c r="A28" s="3278"/>
      <c r="B28" s="3278"/>
      <c r="C28" s="883" t="s">
        <v>578</v>
      </c>
      <c r="D28" s="884"/>
      <c r="E28" s="882">
        <v>0.9</v>
      </c>
      <c r="F28" s="885" t="s">
        <v>579</v>
      </c>
      <c r="G28" s="886"/>
      <c r="H28" s="878"/>
      <c r="I28" s="878"/>
    </row>
    <row r="29" spans="1:9" s="887" customFormat="1" ht="19.5" customHeight="1">
      <c r="A29" s="3278"/>
      <c r="B29" s="3278"/>
      <c r="C29" s="883" t="s">
        <v>580</v>
      </c>
      <c r="D29" s="884"/>
      <c r="E29" s="882">
        <v>0.9</v>
      </c>
      <c r="F29" s="885" t="s">
        <v>581</v>
      </c>
      <c r="G29" s="886"/>
      <c r="H29" s="878"/>
      <c r="I29" s="878"/>
    </row>
    <row r="30" spans="1:9" s="887" customFormat="1" ht="19.5" customHeight="1">
      <c r="A30" s="3278"/>
      <c r="B30" s="3278"/>
      <c r="C30" s="883" t="s">
        <v>582</v>
      </c>
      <c r="D30" s="884"/>
      <c r="E30" s="882">
        <v>0.9</v>
      </c>
      <c r="F30" s="885" t="s">
        <v>583</v>
      </c>
      <c r="G30" s="886"/>
      <c r="H30" s="878"/>
      <c r="I30" s="878"/>
    </row>
    <row r="31" spans="1:9" s="887" customFormat="1" ht="19.5" customHeight="1">
      <c r="A31" s="3278"/>
      <c r="B31" s="3278"/>
      <c r="C31" s="883" t="s">
        <v>584</v>
      </c>
      <c r="D31" s="884"/>
      <c r="E31" s="882">
        <v>0.8</v>
      </c>
      <c r="F31" s="885" t="s">
        <v>585</v>
      </c>
      <c r="G31" s="886"/>
      <c r="H31" s="878"/>
      <c r="I31" s="878"/>
    </row>
    <row r="32" spans="1:9" s="887" customFormat="1" ht="19.5" customHeight="1">
      <c r="A32" s="3278"/>
      <c r="B32" s="3278"/>
      <c r="C32" s="883" t="s">
        <v>586</v>
      </c>
      <c r="D32" s="884"/>
      <c r="E32" s="882">
        <v>0.8</v>
      </c>
      <c r="F32" s="885" t="s">
        <v>587</v>
      </c>
      <c r="G32" s="886"/>
      <c r="H32" s="878"/>
      <c r="I32" s="878"/>
    </row>
    <row r="33" spans="1:9" s="887" customFormat="1" ht="19.5" customHeight="1">
      <c r="A33" s="3278" t="s">
        <v>185</v>
      </c>
      <c r="B33" s="882" t="s">
        <v>560</v>
      </c>
      <c r="C33" s="883" t="s">
        <v>588</v>
      </c>
      <c r="D33" s="884"/>
      <c r="E33" s="882">
        <v>1</v>
      </c>
      <c r="F33" s="885" t="s">
        <v>589</v>
      </c>
      <c r="G33" s="886"/>
      <c r="H33" s="878"/>
      <c r="I33" s="878"/>
    </row>
    <row r="34" spans="1:9" s="887" customFormat="1" ht="19.5" customHeight="1">
      <c r="A34" s="3278"/>
      <c r="B34" s="882" t="s">
        <v>563</v>
      </c>
      <c r="C34" s="883" t="s">
        <v>590</v>
      </c>
      <c r="D34" s="884"/>
      <c r="E34" s="882">
        <v>1.5</v>
      </c>
      <c r="F34" s="885" t="s">
        <v>591</v>
      </c>
      <c r="G34" s="886"/>
      <c r="H34" s="878"/>
      <c r="I34" s="878"/>
    </row>
    <row r="35" spans="1:9" s="887" customFormat="1" ht="19.5" customHeight="1">
      <c r="A35" s="3278" t="s">
        <v>186</v>
      </c>
      <c r="B35" s="882" t="s">
        <v>560</v>
      </c>
      <c r="C35" s="883" t="s">
        <v>592</v>
      </c>
      <c r="D35" s="884"/>
      <c r="E35" s="882">
        <v>1</v>
      </c>
      <c r="F35" s="885" t="s">
        <v>593</v>
      </c>
      <c r="G35" s="886"/>
      <c r="H35" s="878"/>
      <c r="I35" s="878"/>
    </row>
    <row r="36" spans="1:9" s="887" customFormat="1" ht="19.5" customHeight="1">
      <c r="A36" s="3278"/>
      <c r="B36" s="3278" t="s">
        <v>563</v>
      </c>
      <c r="C36" s="883" t="s">
        <v>594</v>
      </c>
      <c r="D36" s="884"/>
      <c r="E36" s="882">
        <v>1</v>
      </c>
      <c r="F36" s="885" t="s">
        <v>595</v>
      </c>
      <c r="G36" s="886"/>
      <c r="H36" s="878"/>
      <c r="I36" s="878"/>
    </row>
    <row r="37" spans="1:9" s="887" customFormat="1" ht="19.5" customHeight="1">
      <c r="A37" s="3278"/>
      <c r="B37" s="3278"/>
      <c r="C37" s="883" t="s">
        <v>596</v>
      </c>
      <c r="D37" s="884"/>
      <c r="E37" s="882">
        <v>1.5</v>
      </c>
      <c r="F37" s="885" t="s">
        <v>597</v>
      </c>
      <c r="G37" s="886"/>
      <c r="H37" s="878"/>
      <c r="I37" s="878"/>
    </row>
    <row r="38" spans="1:9" s="887" customFormat="1" ht="19.5" customHeight="1">
      <c r="A38" s="3278"/>
      <c r="B38" s="3278"/>
      <c r="C38" s="883" t="s">
        <v>598</v>
      </c>
      <c r="D38" s="884"/>
      <c r="E38" s="882">
        <v>1</v>
      </c>
      <c r="F38" s="885" t="s">
        <v>599</v>
      </c>
      <c r="G38" s="886"/>
      <c r="H38" s="878"/>
      <c r="I38" s="878"/>
    </row>
    <row r="39" spans="1:9" s="887" customFormat="1" ht="19.5" customHeight="1">
      <c r="A39" s="3278"/>
      <c r="B39" s="327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8" t="s">
        <v>614</v>
      </c>
      <c r="C61" s="818" t="s">
        <v>615</v>
      </c>
      <c r="D61" s="818" t="s">
        <v>616</v>
      </c>
      <c r="E61" s="895">
        <v>0.5</v>
      </c>
      <c r="F61" s="882">
        <v>80</v>
      </c>
    </row>
    <row r="62" spans="1:8" s="878" customFormat="1" ht="24">
      <c r="A62" s="882">
        <v>2</v>
      </c>
      <c r="B62" s="3278"/>
      <c r="C62" s="818" t="s">
        <v>617</v>
      </c>
      <c r="D62" s="818" t="s">
        <v>618</v>
      </c>
      <c r="E62" s="895">
        <v>0.5</v>
      </c>
      <c r="F62" s="882">
        <v>80</v>
      </c>
    </row>
    <row r="63" spans="1:8" s="878" customFormat="1" ht="36">
      <c r="A63" s="882">
        <v>3</v>
      </c>
      <c r="B63" s="3278"/>
      <c r="C63" s="818" t="s">
        <v>619</v>
      </c>
      <c r="D63" s="818" t="s">
        <v>620</v>
      </c>
      <c r="E63" s="895">
        <v>0.5</v>
      </c>
      <c r="F63" s="882">
        <v>80</v>
      </c>
    </row>
    <row r="64" spans="1:8" s="878" customFormat="1" ht="36">
      <c r="A64" s="882">
        <v>4</v>
      </c>
      <c r="B64" s="3278"/>
      <c r="C64" s="818" t="s">
        <v>621</v>
      </c>
      <c r="D64" s="818" t="s">
        <v>622</v>
      </c>
      <c r="E64" s="895">
        <v>0.4</v>
      </c>
      <c r="F64" s="882">
        <v>60</v>
      </c>
    </row>
    <row r="65" spans="1:6" s="878" customFormat="1" ht="36">
      <c r="A65" s="882">
        <v>5</v>
      </c>
      <c r="B65" s="3278"/>
      <c r="C65" s="818" t="s">
        <v>623</v>
      </c>
      <c r="D65" s="818" t="s">
        <v>624</v>
      </c>
      <c r="E65" s="895">
        <v>0.2</v>
      </c>
      <c r="F65" s="882">
        <v>30</v>
      </c>
    </row>
    <row r="66" spans="1:6" s="878" customFormat="1" ht="36">
      <c r="A66" s="882">
        <v>6</v>
      </c>
      <c r="B66" s="3278"/>
      <c r="C66" s="818" t="s">
        <v>625</v>
      </c>
      <c r="D66" s="818" t="s">
        <v>626</v>
      </c>
      <c r="E66" s="895">
        <v>0.3</v>
      </c>
      <c r="F66" s="882">
        <v>50</v>
      </c>
    </row>
    <row r="67" spans="1:6" s="878" customFormat="1" ht="36">
      <c r="A67" s="882">
        <v>7</v>
      </c>
      <c r="B67" s="3278"/>
      <c r="C67" s="818" t="s">
        <v>627</v>
      </c>
      <c r="D67" s="818" t="s">
        <v>628</v>
      </c>
      <c r="E67" s="895">
        <v>0.2</v>
      </c>
      <c r="F67" s="882">
        <v>30</v>
      </c>
    </row>
    <row r="68" spans="1:6" s="878" customFormat="1" ht="36">
      <c r="A68" s="882">
        <v>8</v>
      </c>
      <c r="B68" s="3278"/>
      <c r="C68" s="818" t="s">
        <v>629</v>
      </c>
      <c r="D68" s="818" t="s">
        <v>630</v>
      </c>
      <c r="E68" s="895">
        <v>0.2</v>
      </c>
      <c r="F68" s="882">
        <v>30</v>
      </c>
    </row>
    <row r="69" spans="1:6" s="878" customFormat="1" ht="36">
      <c r="A69" s="882">
        <v>9</v>
      </c>
      <c r="B69" s="3278"/>
      <c r="C69" s="818" t="s">
        <v>631</v>
      </c>
      <c r="D69" s="818" t="s">
        <v>632</v>
      </c>
      <c r="E69" s="895">
        <v>0.2</v>
      </c>
      <c r="F69" s="882">
        <v>30</v>
      </c>
    </row>
    <row r="70" spans="1:6" s="878" customFormat="1" ht="48">
      <c r="A70" s="882">
        <v>10</v>
      </c>
      <c r="B70" s="3278"/>
      <c r="C70" s="818" t="s">
        <v>633</v>
      </c>
      <c r="D70" s="818" t="s">
        <v>634</v>
      </c>
      <c r="E70" s="895">
        <v>0.2</v>
      </c>
      <c r="F70" s="882">
        <v>30</v>
      </c>
    </row>
    <row r="71" spans="1:6" s="878" customFormat="1" ht="48">
      <c r="A71" s="882">
        <v>11</v>
      </c>
      <c r="B71" s="3278"/>
      <c r="C71" s="818" t="s">
        <v>635</v>
      </c>
      <c r="D71" s="818" t="s">
        <v>636</v>
      </c>
      <c r="E71" s="895">
        <v>0.2</v>
      </c>
      <c r="F71" s="882">
        <v>30</v>
      </c>
    </row>
    <row r="72" spans="1:6" s="878" customFormat="1" ht="36">
      <c r="A72" s="882">
        <v>12</v>
      </c>
      <c r="B72" s="3278"/>
      <c r="C72" s="818" t="s">
        <v>637</v>
      </c>
      <c r="D72" s="818" t="s">
        <v>638</v>
      </c>
      <c r="E72" s="895">
        <v>0.5</v>
      </c>
      <c r="F72" s="882">
        <v>80</v>
      </c>
    </row>
    <row r="73" spans="1:6" s="878" customFormat="1" ht="24">
      <c r="A73" s="882">
        <v>13</v>
      </c>
      <c r="B73" s="3278"/>
      <c r="C73" s="818" t="s">
        <v>639</v>
      </c>
      <c r="D73" s="818" t="s">
        <v>640</v>
      </c>
      <c r="E73" s="895">
        <v>0.4</v>
      </c>
      <c r="F73" s="882">
        <v>60</v>
      </c>
    </row>
    <row r="74" spans="1:6" s="878" customFormat="1" ht="24">
      <c r="A74" s="882">
        <v>14</v>
      </c>
      <c r="B74" s="3278"/>
      <c r="C74" s="818" t="s">
        <v>641</v>
      </c>
      <c r="D74" s="818" t="s">
        <v>642</v>
      </c>
      <c r="E74" s="895">
        <v>0.2</v>
      </c>
      <c r="F74" s="882">
        <v>30</v>
      </c>
    </row>
    <row r="75" spans="1:6" s="878" customFormat="1" ht="24">
      <c r="A75" s="882">
        <v>15</v>
      </c>
      <c r="B75" s="3278"/>
      <c r="C75" s="818" t="s">
        <v>643</v>
      </c>
      <c r="D75" s="818" t="s">
        <v>644</v>
      </c>
      <c r="E75" s="895">
        <v>0.2</v>
      </c>
      <c r="F75" s="882">
        <v>30</v>
      </c>
    </row>
    <row r="76" spans="1:6" s="878" customFormat="1" ht="24">
      <c r="A76" s="882">
        <v>16</v>
      </c>
      <c r="B76" s="3278" t="s">
        <v>645</v>
      </c>
      <c r="C76" s="818" t="s">
        <v>646</v>
      </c>
      <c r="D76" s="818" t="s">
        <v>647</v>
      </c>
      <c r="E76" s="895">
        <v>0.5</v>
      </c>
      <c r="F76" s="882">
        <v>80</v>
      </c>
    </row>
    <row r="77" spans="1:6" s="878" customFormat="1" ht="24">
      <c r="A77" s="882">
        <v>17</v>
      </c>
      <c r="B77" s="3278"/>
      <c r="C77" s="818" t="s">
        <v>648</v>
      </c>
      <c r="D77" s="818" t="s">
        <v>649</v>
      </c>
      <c r="E77" s="895">
        <v>0.5</v>
      </c>
      <c r="F77" s="882">
        <v>80</v>
      </c>
    </row>
    <row r="78" spans="1:6" s="878" customFormat="1" ht="24">
      <c r="A78" s="882">
        <v>18</v>
      </c>
      <c r="B78" s="3278"/>
      <c r="C78" s="818" t="s">
        <v>650</v>
      </c>
      <c r="D78" s="818" t="s">
        <v>651</v>
      </c>
      <c r="E78" s="895">
        <v>0.2</v>
      </c>
      <c r="F78" s="882">
        <v>30</v>
      </c>
    </row>
    <row r="79" spans="1:6" s="878" customFormat="1" ht="24">
      <c r="A79" s="882">
        <v>19</v>
      </c>
      <c r="B79" s="3278"/>
      <c r="C79" s="818" t="s">
        <v>652</v>
      </c>
      <c r="D79" s="818" t="s">
        <v>653</v>
      </c>
      <c r="E79" s="895">
        <v>0.5</v>
      </c>
      <c r="F79" s="882">
        <v>80</v>
      </c>
    </row>
    <row r="80" spans="1:6" s="878" customFormat="1" ht="36">
      <c r="A80" s="882">
        <v>20</v>
      </c>
      <c r="B80" s="3278"/>
      <c r="C80" s="818" t="s">
        <v>654</v>
      </c>
      <c r="D80" s="818" t="s">
        <v>655</v>
      </c>
      <c r="E80" s="895">
        <v>0.2</v>
      </c>
      <c r="F80" s="882">
        <v>30</v>
      </c>
    </row>
    <row r="81" spans="1:6" s="878" customFormat="1" ht="36">
      <c r="A81" s="882">
        <v>21</v>
      </c>
      <c r="B81" s="3278"/>
      <c r="C81" s="818" t="s">
        <v>656</v>
      </c>
      <c r="D81" s="818" t="s">
        <v>657</v>
      </c>
      <c r="E81" s="895">
        <v>0.2</v>
      </c>
      <c r="F81" s="882">
        <v>30</v>
      </c>
    </row>
    <row r="82" spans="1:6" s="878" customFormat="1" ht="48">
      <c r="A82" s="882">
        <v>22</v>
      </c>
      <c r="B82" s="3278"/>
      <c r="C82" s="818" t="s">
        <v>658</v>
      </c>
      <c r="D82" s="818" t="s">
        <v>659</v>
      </c>
      <c r="E82" s="895">
        <v>0.2</v>
      </c>
      <c r="F82" s="882">
        <v>30</v>
      </c>
    </row>
    <row r="83" spans="1:6" s="878" customFormat="1" ht="48">
      <c r="A83" s="882">
        <v>23</v>
      </c>
      <c r="B83" s="3278"/>
      <c r="C83" s="818" t="s">
        <v>660</v>
      </c>
      <c r="D83" s="818" t="s">
        <v>661</v>
      </c>
      <c r="E83" s="895">
        <v>0.2</v>
      </c>
      <c r="F83" s="882">
        <v>30</v>
      </c>
    </row>
    <row r="84" spans="1:6" s="878" customFormat="1" ht="36">
      <c r="A84" s="882">
        <v>24</v>
      </c>
      <c r="B84" s="3278"/>
      <c r="C84" s="818" t="s">
        <v>662</v>
      </c>
      <c r="D84" s="818" t="s">
        <v>663</v>
      </c>
      <c r="E84" s="895">
        <v>0.2</v>
      </c>
      <c r="F84" s="882">
        <v>30</v>
      </c>
    </row>
    <row r="85" spans="1:6" s="878" customFormat="1" ht="36">
      <c r="A85" s="882">
        <v>25</v>
      </c>
      <c r="B85" s="3278"/>
      <c r="C85" s="818" t="s">
        <v>664</v>
      </c>
      <c r="D85" s="818" t="s">
        <v>665</v>
      </c>
      <c r="E85" s="895">
        <v>0.5</v>
      </c>
      <c r="F85" s="882">
        <v>80</v>
      </c>
    </row>
    <row r="86" spans="1:6" s="878" customFormat="1" ht="36">
      <c r="A86" s="882">
        <v>26</v>
      </c>
      <c r="B86" s="3278"/>
      <c r="C86" s="818" t="s">
        <v>666</v>
      </c>
      <c r="D86" s="818" t="s">
        <v>667</v>
      </c>
      <c r="E86" s="895">
        <v>0.2</v>
      </c>
      <c r="F86" s="882">
        <v>30</v>
      </c>
    </row>
    <row r="87" spans="1:6" s="878" customFormat="1" ht="36">
      <c r="A87" s="882">
        <v>27</v>
      </c>
      <c r="B87" s="3278"/>
      <c r="C87" s="818" t="s">
        <v>668</v>
      </c>
      <c r="D87" s="818" t="s">
        <v>669</v>
      </c>
      <c r="E87" s="895">
        <v>0.2</v>
      </c>
      <c r="F87" s="882">
        <v>30</v>
      </c>
    </row>
    <row r="88" spans="1:6" s="878" customFormat="1" ht="36">
      <c r="A88" s="882">
        <v>28</v>
      </c>
      <c r="B88" s="3278"/>
      <c r="C88" s="818" t="s">
        <v>670</v>
      </c>
      <c r="D88" s="818" t="s">
        <v>671</v>
      </c>
      <c r="E88" s="895">
        <v>0.2</v>
      </c>
      <c r="F88" s="882">
        <v>30</v>
      </c>
    </row>
    <row r="89" spans="1:6" s="878" customFormat="1" ht="24">
      <c r="A89" s="882">
        <v>29</v>
      </c>
      <c r="B89" s="3278"/>
      <c r="C89" s="818" t="s">
        <v>672</v>
      </c>
      <c r="D89" s="818" t="s">
        <v>673</v>
      </c>
      <c r="E89" s="895">
        <v>0.2</v>
      </c>
      <c r="F89" s="882">
        <v>30</v>
      </c>
    </row>
    <row r="90" spans="1:6" s="878" customFormat="1" ht="24">
      <c r="A90" s="882">
        <v>30</v>
      </c>
      <c r="B90" s="3278"/>
      <c r="C90" s="818" t="s">
        <v>674</v>
      </c>
      <c r="D90" s="818" t="s">
        <v>675</v>
      </c>
      <c r="E90" s="895">
        <v>0.2</v>
      </c>
      <c r="F90" s="882">
        <v>30</v>
      </c>
    </row>
    <row r="91" spans="1:6" s="878" customFormat="1" ht="36">
      <c r="A91" s="882">
        <v>31</v>
      </c>
      <c r="B91" s="3278"/>
      <c r="C91" s="818" t="s">
        <v>676</v>
      </c>
      <c r="D91" s="818" t="s">
        <v>677</v>
      </c>
      <c r="E91" s="895">
        <v>0.2</v>
      </c>
      <c r="F91" s="882">
        <v>30</v>
      </c>
    </row>
    <row r="92" spans="1:6" s="878" customFormat="1" ht="24">
      <c r="A92" s="882">
        <v>32</v>
      </c>
      <c r="B92" s="3278" t="s">
        <v>678</v>
      </c>
      <c r="C92" s="882" t="s">
        <v>679</v>
      </c>
      <c r="D92" s="818" t="s">
        <v>680</v>
      </c>
      <c r="E92" s="895">
        <v>0.2</v>
      </c>
      <c r="F92" s="882">
        <v>30</v>
      </c>
    </row>
    <row r="93" spans="1:6" s="878" customFormat="1" ht="36">
      <c r="A93" s="882">
        <v>33</v>
      </c>
      <c r="B93" s="3278"/>
      <c r="C93" s="882" t="s">
        <v>681</v>
      </c>
      <c r="D93" s="818" t="s">
        <v>682</v>
      </c>
      <c r="E93" s="895">
        <v>0.2</v>
      </c>
      <c r="F93" s="882">
        <v>30</v>
      </c>
    </row>
    <row r="94" spans="1:6" s="878" customFormat="1" ht="48">
      <c r="A94" s="882">
        <v>34</v>
      </c>
      <c r="B94" s="3278"/>
      <c r="C94" s="882" t="s">
        <v>683</v>
      </c>
      <c r="D94" s="818" t="s">
        <v>684</v>
      </c>
      <c r="E94" s="895">
        <v>0.2</v>
      </c>
      <c r="F94" s="882">
        <v>30</v>
      </c>
    </row>
    <row r="95" spans="1:6" s="878" customFormat="1" ht="36">
      <c r="A95" s="882">
        <v>35</v>
      </c>
      <c r="B95" s="3278"/>
      <c r="C95" s="882" t="s">
        <v>685</v>
      </c>
      <c r="D95" s="818" t="s">
        <v>686</v>
      </c>
      <c r="E95" s="895">
        <v>0.2</v>
      </c>
      <c r="F95" s="882">
        <v>30</v>
      </c>
    </row>
    <row r="96" spans="1:6" s="878" customFormat="1" ht="48">
      <c r="A96" s="882">
        <v>36</v>
      </c>
      <c r="B96" s="3278"/>
      <c r="C96" s="818" t="s">
        <v>687</v>
      </c>
      <c r="D96" s="818" t="s">
        <v>688</v>
      </c>
      <c r="E96" s="895">
        <v>0.2</v>
      </c>
      <c r="F96" s="882">
        <v>30</v>
      </c>
    </row>
    <row r="97" spans="1:6" s="878" customFormat="1" ht="36">
      <c r="A97" s="882">
        <v>37</v>
      </c>
      <c r="B97" s="3278"/>
      <c r="C97" s="882" t="s">
        <v>689</v>
      </c>
      <c r="D97" s="818" t="s">
        <v>690</v>
      </c>
      <c r="E97" s="895">
        <v>0.2</v>
      </c>
      <c r="F97" s="882">
        <v>30</v>
      </c>
    </row>
    <row r="98" spans="1:6" s="878" customFormat="1" ht="36">
      <c r="A98" s="882">
        <v>38</v>
      </c>
      <c r="B98" s="3278"/>
      <c r="C98" s="882" t="s">
        <v>691</v>
      </c>
      <c r="D98" s="818" t="s">
        <v>692</v>
      </c>
      <c r="E98" s="895">
        <v>0.2</v>
      </c>
      <c r="F98" s="882">
        <v>30</v>
      </c>
    </row>
    <row r="99" spans="1:6" s="878" customFormat="1" ht="36">
      <c r="A99" s="882">
        <v>39</v>
      </c>
      <c r="B99" s="3278" t="s">
        <v>693</v>
      </c>
      <c r="C99" s="882" t="s">
        <v>694</v>
      </c>
      <c r="D99" s="818" t="s">
        <v>695</v>
      </c>
      <c r="E99" s="895">
        <v>0.3</v>
      </c>
      <c r="F99" s="882">
        <v>50</v>
      </c>
    </row>
    <row r="100" spans="1:6" s="878" customFormat="1" ht="24">
      <c r="A100" s="882">
        <v>40</v>
      </c>
      <c r="B100" s="3278"/>
      <c r="C100" s="882" t="s">
        <v>696</v>
      </c>
      <c r="D100" s="818" t="s">
        <v>697</v>
      </c>
      <c r="E100" s="895">
        <v>0.2</v>
      </c>
      <c r="F100" s="882">
        <v>30</v>
      </c>
    </row>
    <row r="101" spans="1:6" s="878" customFormat="1" ht="36">
      <c r="A101" s="882">
        <v>41</v>
      </c>
      <c r="B101" s="327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8" t="s">
        <v>708</v>
      </c>
      <c r="C105" s="882" t="s">
        <v>709</v>
      </c>
      <c r="D105" s="818" t="s">
        <v>710</v>
      </c>
      <c r="E105" s="895">
        <v>0.2</v>
      </c>
      <c r="F105" s="882">
        <v>30</v>
      </c>
    </row>
    <row r="106" spans="1:6" s="878" customFormat="1" ht="36">
      <c r="A106" s="882">
        <v>46</v>
      </c>
      <c r="B106" s="3278"/>
      <c r="C106" s="882" t="s">
        <v>711</v>
      </c>
      <c r="D106" s="818" t="s">
        <v>712</v>
      </c>
      <c r="E106" s="895">
        <v>0.2</v>
      </c>
      <c r="F106" s="882">
        <v>30</v>
      </c>
    </row>
    <row r="107" spans="1:6" s="878" customFormat="1" ht="36">
      <c r="A107" s="882">
        <v>47</v>
      </c>
      <c r="B107" s="3278" t="s">
        <v>713</v>
      </c>
      <c r="C107" s="882" t="s">
        <v>714</v>
      </c>
      <c r="D107" s="818" t="s">
        <v>715</v>
      </c>
      <c r="E107" s="895">
        <v>0.3</v>
      </c>
      <c r="F107" s="882">
        <v>50</v>
      </c>
    </row>
    <row r="108" spans="1:6" s="878" customFormat="1" ht="36">
      <c r="A108" s="882">
        <v>48</v>
      </c>
      <c r="B108" s="327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8" t="s">
        <v>724</v>
      </c>
      <c r="C111" s="882" t="s">
        <v>725</v>
      </c>
      <c r="D111" s="818" t="s">
        <v>726</v>
      </c>
      <c r="E111" s="895">
        <v>0.2</v>
      </c>
      <c r="F111" s="882">
        <v>30</v>
      </c>
    </row>
    <row r="112" spans="1:6" s="878" customFormat="1" ht="24">
      <c r="A112" s="882">
        <v>52</v>
      </c>
      <c r="B112" s="3278"/>
      <c r="C112" s="882" t="s">
        <v>727</v>
      </c>
      <c r="D112" s="818" t="s">
        <v>728</v>
      </c>
      <c r="E112" s="895">
        <v>0.2</v>
      </c>
      <c r="F112" s="882">
        <v>30</v>
      </c>
    </row>
    <row r="113" spans="1:6" s="878" customFormat="1" ht="24">
      <c r="A113" s="882">
        <v>53</v>
      </c>
      <c r="B113" s="327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8" t="s">
        <v>737</v>
      </c>
      <c r="C116" s="882" t="s">
        <v>738</v>
      </c>
      <c r="D116" s="818" t="s">
        <v>739</v>
      </c>
      <c r="E116" s="895">
        <v>0.2</v>
      </c>
      <c r="F116" s="882">
        <v>30</v>
      </c>
    </row>
    <row r="117" spans="1:6" ht="36">
      <c r="A117" s="882">
        <v>57</v>
      </c>
      <c r="B117" s="327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2993</v>
      </c>
    </row>
    <row r="2" spans="1:5" ht="15.75">
      <c r="A2" s="2901" t="s">
        <v>2985</v>
      </c>
      <c r="B2" s="2902" t="e">
        <f ca="1">SUMIF(B6:B13,"&lt;&gt;#ref!",B6:B13)</f>
        <v>#DIV/0!</v>
      </c>
      <c r="C2" s="2901" t="s">
        <v>2986</v>
      </c>
      <c r="D2" s="2901" t="s">
        <v>2987</v>
      </c>
      <c r="E2" s="2902">
        <f ca="1">SUMIF(E6:E13,"&lt;&gt;#ref!",E6:E13)</f>
        <v>0</v>
      </c>
    </row>
    <row r="3" spans="1:5" ht="15.75">
      <c r="A3" s="2901" t="s">
        <v>2988</v>
      </c>
      <c r="B3" s="2902" t="e">
        <f ca="1">ROUND(B2*10000/E2,0)</f>
        <v>#DIV/0!</v>
      </c>
      <c r="C3" s="2901" t="s">
        <v>2994</v>
      </c>
      <c r="D3" s="2903"/>
      <c r="E3" s="2903"/>
    </row>
    <row r="4" spans="1:5" ht="15.75">
      <c r="A4" s="2904"/>
      <c r="B4" s="2903"/>
      <c r="C4" s="2903"/>
      <c r="D4" s="2903"/>
      <c r="E4" s="2903"/>
    </row>
    <row r="5" spans="1:5" ht="28.5">
      <c r="A5" s="2905" t="s">
        <v>2989</v>
      </c>
      <c r="B5" s="2901" t="s">
        <v>2990</v>
      </c>
      <c r="C5" s="2902"/>
      <c r="D5" s="2903"/>
      <c r="E5" s="2901" t="s">
        <v>2991</v>
      </c>
    </row>
    <row r="6" spans="1:5" ht="15.75">
      <c r="A6" s="2906" t="s">
        <v>2992</v>
      </c>
      <c r="B6" s="2902" t="e">
        <f ca="1">SUMIF(INDIRECT("'"&amp;A6&amp;"'"&amp;"!A:A"),"总价",INDIRECT("'"&amp;A6&amp;"'"&amp;"!B:B"))</f>
        <v>#DIV/0!</v>
      </c>
      <c r="C6" s="2901" t="s">
        <v>2986</v>
      </c>
      <c r="D6" s="2903"/>
      <c r="E6" s="2574">
        <f ca="1">SUMIF(INDIRECT("'"&amp;A6&amp;"'"&amp;"!C:C"),"建筑面积",INDIRECT("'"&amp;A6&amp;"'"&amp;"!D:D"))</f>
        <v>0</v>
      </c>
    </row>
    <row r="7" spans="1:5" ht="15.75">
      <c r="A7" s="2906"/>
      <c r="B7" s="2902" t="e">
        <f ca="1">SUMIF(INDIRECT("'"&amp;A7&amp;"'"&amp;"!A:A"),"总价",INDIRECT("'"&amp;A7&amp;"'"&amp;"!B:B"))</f>
        <v>#REF!</v>
      </c>
      <c r="C7" s="2901" t="s">
        <v>2986</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2986</v>
      </c>
      <c r="D8" s="2903"/>
      <c r="E8" s="2574" t="e">
        <f t="shared" ca="1" si="0"/>
        <v>#REF!</v>
      </c>
    </row>
    <row r="9" spans="1:5" ht="15.75">
      <c r="A9" s="2906"/>
      <c r="B9" s="2902" t="e">
        <f t="shared" ca="1" si="1"/>
        <v>#REF!</v>
      </c>
      <c r="C9" s="2901" t="s">
        <v>2986</v>
      </c>
      <c r="D9" s="2903"/>
      <c r="E9" s="2574" t="e">
        <f t="shared" ca="1" si="0"/>
        <v>#REF!</v>
      </c>
    </row>
    <row r="10" spans="1:5" ht="15.75">
      <c r="A10" s="2906"/>
      <c r="B10" s="2902" t="e">
        <f t="shared" ca="1" si="1"/>
        <v>#REF!</v>
      </c>
      <c r="C10" s="2901" t="s">
        <v>2986</v>
      </c>
      <c r="D10" s="2903"/>
      <c r="E10" s="2574" t="e">
        <f t="shared" ca="1" si="0"/>
        <v>#REF!</v>
      </c>
    </row>
    <row r="11" spans="1:5" ht="15.75">
      <c r="A11" s="2906"/>
      <c r="B11" s="2902" t="e">
        <f t="shared" ca="1" si="1"/>
        <v>#REF!</v>
      </c>
      <c r="C11" s="2901" t="s">
        <v>2986</v>
      </c>
      <c r="D11" s="2903"/>
      <c r="E11" s="2574" t="e">
        <f t="shared" ca="1" si="0"/>
        <v>#REF!</v>
      </c>
    </row>
    <row r="12" spans="1:5" ht="15.75">
      <c r="A12" s="2906"/>
      <c r="B12" s="2902" t="e">
        <f t="shared" ca="1" si="1"/>
        <v>#REF!</v>
      </c>
      <c r="C12" s="2901" t="s">
        <v>2986</v>
      </c>
      <c r="D12" s="2903"/>
      <c r="E12" s="2574" t="e">
        <f t="shared" ca="1" si="0"/>
        <v>#REF!</v>
      </c>
    </row>
    <row r="13" spans="1:5" ht="15.75">
      <c r="A13" s="2906"/>
      <c r="B13" s="2902" t="e">
        <f t="shared" ca="1" si="1"/>
        <v>#REF!</v>
      </c>
      <c r="C13" s="2901" t="s">
        <v>2986</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AH111"/>
  <sheetViews>
    <sheetView zoomScale="80" zoomScaleNormal="80" workbookViewId="0">
      <selection activeCell="I11" sqref="I11"/>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4" t="s">
        <v>1146</v>
      </c>
      <c r="C1" s="3284"/>
      <c r="D1" s="3284"/>
      <c r="E1" s="3284"/>
      <c r="F1" s="3284"/>
      <c r="G1" s="3280" t="s">
        <v>1147</v>
      </c>
      <c r="H1" s="3280"/>
      <c r="I1" s="3280"/>
      <c r="J1" s="3280"/>
      <c r="K1" s="3280"/>
      <c r="L1" s="3280"/>
      <c r="N1" s="3280" t="s">
        <v>1148</v>
      </c>
      <c r="O1" s="3280"/>
      <c r="P1" s="3280"/>
      <c r="Q1" s="3280"/>
      <c r="R1" s="1446"/>
      <c r="S1" s="3280" t="s">
        <v>1149</v>
      </c>
      <c r="T1" s="3280"/>
      <c r="U1" s="3280"/>
      <c r="V1" s="3280"/>
      <c r="X1" s="3279" t="s">
        <v>1150</v>
      </c>
      <c r="Y1" s="3280"/>
      <c r="Z1" s="3280"/>
      <c r="AA1" s="3280"/>
      <c r="AB1" s="3280"/>
      <c r="AD1" s="3279" t="s">
        <v>1151</v>
      </c>
      <c r="AE1" s="3280"/>
      <c r="AF1" s="3280"/>
      <c r="AG1" s="3280"/>
      <c r="AH1" s="3280"/>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7" customFormat="1" ht="14.25">
      <c r="A3" s="2926" t="s">
        <v>3028</v>
      </c>
      <c r="B3" s="2918"/>
      <c r="C3" s="2918"/>
      <c r="D3" s="2919"/>
      <c r="E3" s="2919"/>
      <c r="F3" s="2918"/>
      <c r="G3" s="2920"/>
      <c r="H3" s="2921"/>
      <c r="I3" s="2922">
        <f>ROUND(AVERAGE($I4:$I28),2)</f>
        <v>1.98</v>
      </c>
      <c r="J3" s="2922">
        <f>ROUND(AVERAGE($J4:$J28),2)</f>
        <v>1.41</v>
      </c>
      <c r="K3" s="2922">
        <f>ROUND(AVERAGE($K4:$K28),2)</f>
        <v>2.16</v>
      </c>
      <c r="L3" s="2922">
        <f>ROUND(AVERAGE($L4:$L28),2)</f>
        <v>1.38</v>
      </c>
      <c r="N3" s="2920"/>
      <c r="O3" s="2923"/>
      <c r="P3" s="2923"/>
      <c r="Q3" s="2923"/>
      <c r="R3" s="2923"/>
      <c r="S3" s="2920"/>
      <c r="T3" s="2923"/>
      <c r="U3" s="2923"/>
      <c r="V3" s="2923"/>
      <c r="W3" s="2915"/>
      <c r="X3" s="2924">
        <f>ROUND(SUMPRODUCT(PRODUCT(1+N3:N$27)),4)</f>
        <v>1.5516000000000001</v>
      </c>
      <c r="Y3" s="2924">
        <f>ROUND(SUMPRODUCT(PRODUCT(1+O3:O$27)),4)</f>
        <v>1.3649</v>
      </c>
      <c r="Z3" s="2924">
        <f t="shared" ref="Z3:Z25" si="0">Y3</f>
        <v>1.3649</v>
      </c>
      <c r="AA3" s="2924">
        <f>ROUND(SUMPRODUCT(PRODUCT(1+P3:P$27)),4)</f>
        <v>1.6133999999999999</v>
      </c>
      <c r="AB3" s="2924">
        <f>ROUND(SUMPRODUCT(PRODUCT(1+Q3:Q$27)),4)</f>
        <v>1.3713</v>
      </c>
      <c r="AD3" s="2925">
        <f>ROUND(AVERAGE(I3:I$28)/100,4)</f>
        <v>1.9800000000000002E-2</v>
      </c>
      <c r="AE3" s="2925">
        <f>ROUND(AVERAGE(J3:J$28)/100,4)</f>
        <v>1.41E-2</v>
      </c>
      <c r="AF3" s="2925">
        <f t="shared" ref="AF3:AF26" si="1">AE3</f>
        <v>1.41E-2</v>
      </c>
      <c r="AG3" s="2925">
        <f>ROUND(AVERAGE(K3:K$28)/100,4)</f>
        <v>2.1600000000000001E-2</v>
      </c>
      <c r="AH3" s="2925">
        <f>ROUND(AVERAGE(L3:L$28)/100,4)</f>
        <v>1.38E-2</v>
      </c>
    </row>
    <row r="4" spans="1:34" s="1453" customFormat="1" ht="14.25">
      <c r="B4" s="1454"/>
      <c r="C4" s="1454"/>
      <c r="D4" s="1455"/>
      <c r="E4" s="1455"/>
      <c r="F4" s="1454"/>
      <c r="G4" s="1456"/>
      <c r="H4" s="1457"/>
      <c r="I4" s="2912"/>
      <c r="J4" s="2912"/>
      <c r="K4" s="2912"/>
      <c r="L4" s="2912"/>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3046</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0">
        <v>2019</v>
      </c>
      <c r="H5" s="1730">
        <v>4</v>
      </c>
      <c r="I5" s="2913">
        <v>0</v>
      </c>
      <c r="J5" s="2913">
        <v>0</v>
      </c>
      <c r="K5" s="2913">
        <v>0</v>
      </c>
      <c r="L5" s="2913">
        <v>0</v>
      </c>
      <c r="N5" s="1467">
        <f t="shared" ref="N5:N10" si="7">I5/100</f>
        <v>0</v>
      </c>
      <c r="O5" s="1467">
        <f t="shared" ref="O5" si="8">J5/100</f>
        <v>0</v>
      </c>
      <c r="P5" s="1467">
        <f t="shared" ref="P5" si="9">K5/100</f>
        <v>0</v>
      </c>
      <c r="Q5" s="1467">
        <f t="shared" ref="Q5" si="10">L5/100</f>
        <v>0</v>
      </c>
      <c r="R5" s="1732"/>
      <c r="S5" s="1733"/>
      <c r="T5" s="1732"/>
      <c r="U5" s="1732"/>
      <c r="V5" s="1732"/>
      <c r="W5" s="2916" t="s">
        <v>3029</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3045</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0">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3043</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6">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3041</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0">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3044</v>
      </c>
      <c r="B9" s="2947">
        <f t="shared" ref="B9" si="46">B10*(1+N9)</f>
        <v>464.37293017158942</v>
      </c>
      <c r="C9" s="2947">
        <f t="shared" ref="C9" si="47">C10*(1+O9)</f>
        <v>344.73679941385956</v>
      </c>
      <c r="D9" s="2947">
        <f t="shared" ref="D9" si="48">C9</f>
        <v>344.73679941385956</v>
      </c>
      <c r="E9" s="2947">
        <f t="shared" ref="E9" si="49">E10*(1+P9)</f>
        <v>663.2377795103107</v>
      </c>
      <c r="F9" s="2948">
        <f t="shared" ref="F9" si="50">F10*(1+Q9)</f>
        <v>304.75936311478398</v>
      </c>
      <c r="G9" s="3282">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3035</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82"/>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3034</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82"/>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3027</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89"/>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3024</v>
      </c>
      <c r="B13" s="1469">
        <v>439</v>
      </c>
      <c r="C13" s="1469">
        <v>327</v>
      </c>
      <c r="D13" s="1469">
        <f>C13</f>
        <v>327</v>
      </c>
      <c r="E13" s="1469">
        <v>627</v>
      </c>
      <c r="F13" s="1470">
        <v>283</v>
      </c>
      <c r="G13" s="3285">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3025</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82"/>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82"/>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89"/>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85">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82"/>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82"/>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83"/>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81">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82"/>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82"/>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83"/>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81">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82"/>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82"/>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83"/>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86">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87"/>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87"/>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88"/>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81">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82"/>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82"/>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83"/>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81">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82">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82">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83">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81">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82">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82">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83">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81">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82">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82">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83">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81">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82">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82">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83">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81">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82">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82">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83">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81">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82">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82">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83">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81">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82">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82">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83">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81">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82">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82">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83">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81">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82">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82">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83">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81">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82">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82">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83">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2995</v>
      </c>
      <c r="C1" s="3291" t="s">
        <v>2996</v>
      </c>
      <c r="D1" s="3292"/>
      <c r="E1" s="3292"/>
      <c r="F1" s="3292"/>
      <c r="G1" s="3292"/>
      <c r="H1" s="3292"/>
      <c r="I1" s="3292"/>
      <c r="J1" s="3292"/>
      <c r="K1" s="3292"/>
      <c r="L1" s="3292"/>
      <c r="M1" s="3292"/>
      <c r="N1" s="3292"/>
      <c r="O1" s="3292"/>
      <c r="P1" s="3292"/>
      <c r="Q1" s="3292"/>
      <c r="R1" s="3292"/>
      <c r="S1" s="3293"/>
      <c r="T1" s="1204" t="s">
        <v>2997</v>
      </c>
    </row>
    <row r="2" spans="1:45" s="707" customFormat="1">
      <c r="A2" s="1205"/>
      <c r="B2" s="703" t="s">
        <v>2998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2999</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3000</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3001</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7" t="s">
        <v>3005</v>
      </c>
      <c r="B17" s="2908" t="s">
        <v>3006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9" t="s">
        <v>3007</v>
      </c>
      <c r="E19" s="1792"/>
      <c r="F19" s="1792"/>
      <c r="G19" s="1792"/>
      <c r="H19" s="1280"/>
      <c r="I19" s="168"/>
      <c r="J19" s="168"/>
      <c r="K19" s="168"/>
      <c r="L19" s="168"/>
      <c r="M19" s="168"/>
      <c r="N19" s="168"/>
      <c r="O19" s="168"/>
      <c r="P19" s="168"/>
      <c r="Q19" s="168"/>
      <c r="R19" s="788"/>
      <c r="S19" s="138"/>
    </row>
    <row r="20" spans="1:45" ht="16.5" thickBot="1">
      <c r="A20" s="715" t="s">
        <v>3008</v>
      </c>
      <c r="B20" s="338" t="e">
        <f ca="1">IF(D20="——",S22,S22-F20)</f>
        <v>#REF!</v>
      </c>
      <c r="C20" s="168"/>
      <c r="D20" s="2910" t="s">
        <v>3009</v>
      </c>
      <c r="E20" s="1793"/>
      <c r="F20" s="1204" t="e">
        <f ca="1">SUMIF(INDIRECT("'"&amp;H20&amp;"'"&amp;"!A:A"),"承租人权益价值",INDIRECT("'"&amp;H20&amp;"'"&amp;"!c:c"))</f>
        <v>#REF!</v>
      </c>
      <c r="G20" s="1204" t="s">
        <v>3010</v>
      </c>
      <c r="H20" s="2911"/>
      <c r="I20" s="168"/>
      <c r="J20" s="168"/>
      <c r="K20" s="168"/>
      <c r="L20" s="168"/>
      <c r="M20" s="168"/>
      <c r="N20" s="168"/>
      <c r="O20" s="168"/>
      <c r="P20" s="168"/>
      <c r="Q20" s="168"/>
      <c r="R20" s="788"/>
      <c r="S20" s="138"/>
    </row>
    <row r="21" spans="1:45" ht="15.75">
      <c r="A21" s="715" t="s">
        <v>3011</v>
      </c>
      <c r="B21" s="338">
        <f>R22</f>
        <v>10000</v>
      </c>
      <c r="C21" s="168"/>
      <c r="D21" s="168"/>
      <c r="E21" s="168"/>
      <c r="F21" s="168"/>
      <c r="G21" s="168"/>
      <c r="H21" s="168"/>
      <c r="I21" s="168"/>
      <c r="J21" s="168"/>
      <c r="K21" s="168"/>
      <c r="L21" s="168"/>
      <c r="M21" s="168"/>
      <c r="N21" s="168"/>
      <c r="O21" s="168"/>
      <c r="P21" s="168"/>
      <c r="Q21" s="168"/>
      <c r="R21" s="788"/>
      <c r="S21" s="138"/>
    </row>
    <row r="22" spans="1:45">
      <c r="A22" s="361" t="s">
        <v>3012</v>
      </c>
      <c r="B22" s="24">
        <f>SUM(B24:B10000)</f>
        <v>100</v>
      </c>
      <c r="C22" s="3070" t="s">
        <v>33</v>
      </c>
      <c r="D22" s="3071"/>
      <c r="E22" s="3071"/>
      <c r="F22" s="3071"/>
      <c r="G22" s="3071"/>
      <c r="H22" s="3071"/>
      <c r="I22" s="3071"/>
      <c r="J22" s="3071"/>
      <c r="K22" s="3071"/>
      <c r="L22" s="3071"/>
      <c r="M22" s="3071"/>
      <c r="N22" s="3071"/>
      <c r="O22" s="3071"/>
      <c r="P22" s="3071"/>
      <c r="Q22" s="3290"/>
      <c r="R22" s="716">
        <f>ROUND(S22*10000/B22,0)</f>
        <v>10000</v>
      </c>
      <c r="S22" s="24">
        <f>SUM(S24:S10000)</f>
        <v>100</v>
      </c>
    </row>
    <row r="23" spans="1:45" s="12" customFormat="1" ht="24">
      <c r="A23" s="11" t="s">
        <v>3013</v>
      </c>
      <c r="B23" s="11" t="s">
        <v>3014</v>
      </c>
      <c r="C23" s="11" t="s">
        <v>3015</v>
      </c>
      <c r="D23" s="11" t="str">
        <f>B5</f>
        <v>修正项2</v>
      </c>
      <c r="E23" s="11" t="s">
        <v>3015</v>
      </c>
      <c r="F23" s="11" t="str">
        <f>B7</f>
        <v>修正项3</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7" t="s">
        <v>3016</v>
      </c>
      <c r="S23" s="11" t="s">
        <v>3017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4"/>
      <c r="C2" s="2974"/>
      <c r="D2" s="2974"/>
      <c r="E2" s="2974"/>
    </row>
    <row r="3" spans="1:5" ht="18">
      <c r="A3" s="2975" t="str">
        <f>IF(项目基本情况!B9="房地产市场价值","估价结果一览表（市场价值不需“结果表-1”）","估价结果一览表")</f>
        <v>估价结果一览表</v>
      </c>
      <c r="B3" s="2975"/>
      <c r="C3" s="2975"/>
      <c r="D3" s="2975"/>
      <c r="E3" s="2975"/>
    </row>
    <row r="4" spans="1:5" ht="19.5" thickBot="1">
      <c r="A4" s="1960"/>
      <c r="B4" s="2973" t="s">
        <v>1625</v>
      </c>
      <c r="C4" s="2973"/>
      <c r="D4" s="2973"/>
      <c r="E4" s="1960"/>
    </row>
    <row r="5" spans="1:5" ht="16.5" thickTop="1">
      <c r="A5" s="1958"/>
      <c r="B5" s="2971" t="s">
        <v>1617</v>
      </c>
      <c r="C5" s="1961" t="s">
        <v>1618</v>
      </c>
      <c r="D5" s="1040">
        <f ca="1">结果表!H101</f>
        <v>1010</v>
      </c>
      <c r="E5" s="1958"/>
    </row>
    <row r="6" spans="1:5" ht="15.75">
      <c r="A6" s="1958"/>
      <c r="B6" s="2971"/>
      <c r="C6" s="1961" t="s">
        <v>1619</v>
      </c>
      <c r="D6" s="1040" t="str">
        <f ca="1">NUMBERSTRING(INT(D5*10000),2)&amp;"元整"</f>
        <v>壹仟零壹拾万元整</v>
      </c>
      <c r="E6" s="1958"/>
    </row>
    <row r="7" spans="1:5" ht="15.75">
      <c r="A7" s="1958"/>
      <c r="B7" s="2976"/>
      <c r="C7" s="1962" t="s">
        <v>1620</v>
      </c>
      <c r="D7" s="1041">
        <f ca="1">结果表!H102</f>
        <v>3965</v>
      </c>
      <c r="E7" s="1958"/>
    </row>
    <row r="8" spans="1:5" ht="15.75">
      <c r="A8" s="1958"/>
      <c r="B8" s="2977" t="str">
        <f>结果表!E103</f>
        <v>2.估价师知悉的法定优先受偿款</v>
      </c>
      <c r="C8" s="1963" t="s">
        <v>1621</v>
      </c>
      <c r="D8" s="1041">
        <f>结果表!H103</f>
        <v>0</v>
      </c>
      <c r="E8" s="1958"/>
    </row>
    <row r="9" spans="1:5" ht="15.75">
      <c r="A9" s="1958"/>
      <c r="B9" s="2979"/>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70" t="str">
        <f>结果表!E107</f>
        <v>3.房地产抵押价值</v>
      </c>
      <c r="C13" s="1966" t="s">
        <v>1618</v>
      </c>
      <c r="D13" s="1043">
        <f ca="1">结果表!H107</f>
        <v>1010</v>
      </c>
      <c r="E13" s="1958"/>
    </row>
    <row r="14" spans="1:5" ht="15.75">
      <c r="A14" s="1958"/>
      <c r="B14" s="2971"/>
      <c r="C14" s="1961" t="s">
        <v>1619</v>
      </c>
      <c r="D14" s="1040" t="str">
        <f ca="1">NUMBERSTRING(INT(D13*10000),2)&amp;"元整"</f>
        <v>壹仟零壹拾万元整</v>
      </c>
      <c r="E14" s="1958"/>
    </row>
    <row r="15" spans="1:5" ht="15">
      <c r="A15" s="1958"/>
      <c r="B15" s="2976"/>
      <c r="C15" s="1962" t="s">
        <v>1629</v>
      </c>
      <c r="D15" s="1052">
        <f ca="1">结果表!H108</f>
        <v>3965</v>
      </c>
      <c r="E15" s="1958"/>
    </row>
    <row r="16" spans="1:5" ht="15">
      <c r="A16" s="1958"/>
      <c r="B16" s="2977" t="str">
        <f>结果表!E109</f>
        <v>——</v>
      </c>
      <c r="C16" s="1966" t="s">
        <v>1630</v>
      </c>
      <c r="D16" s="1967" t="str">
        <f>结果表!H109</f>
        <v>——</v>
      </c>
      <c r="E16" s="1958"/>
    </row>
    <row r="17" spans="1:5" ht="15.75">
      <c r="A17" s="1958"/>
      <c r="B17" s="2978"/>
      <c r="C17" s="1961" t="s">
        <v>1631</v>
      </c>
      <c r="D17" s="1040" t="e">
        <f>NUMBERSTRING(INT(D16*10000),2)&amp;"元整"</f>
        <v>#VALUE!</v>
      </c>
      <c r="E17" s="1958"/>
    </row>
    <row r="18" spans="1:5" ht="15">
      <c r="A18" s="1958"/>
      <c r="B18" s="2979"/>
      <c r="C18" s="1962" t="s">
        <v>1620</v>
      </c>
      <c r="D18" s="1052" t="str">
        <f>结果表!H110</f>
        <v>——</v>
      </c>
      <c r="E18" s="1958"/>
    </row>
    <row r="19" spans="1:5" ht="15.75">
      <c r="A19" s="1958"/>
      <c r="B19" s="2970" t="str">
        <f>结果表!E111</f>
        <v>——</v>
      </c>
      <c r="C19" s="1966" t="s">
        <v>1618</v>
      </c>
      <c r="D19" s="1041" t="str">
        <f>结果表!H111</f>
        <v>——</v>
      </c>
      <c r="E19" s="1958"/>
    </row>
    <row r="20" spans="1:5" ht="15.75">
      <c r="A20" s="1958"/>
      <c r="B20" s="2971"/>
      <c r="C20" s="1961" t="s">
        <v>1631</v>
      </c>
      <c r="D20" s="1040" t="e">
        <f>NUMBERSTRING(INT(D19*10000),2)&amp;"元整"</f>
        <v>#VALUE!</v>
      </c>
      <c r="E20" s="1958"/>
    </row>
    <row r="21" spans="1:5" ht="15.75" thickBot="1">
      <c r="A21" s="1958"/>
      <c r="B21" s="2972"/>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25181</v>
      </c>
      <c r="C2" s="2" t="s">
        <v>133</v>
      </c>
      <c r="D2" s="243"/>
      <c r="E2" s="243"/>
      <c r="F2" s="243"/>
      <c r="G2" s="243"/>
    </row>
    <row r="3" spans="1:7" s="244" customFormat="1" ht="18" customHeight="1" thickBot="1">
      <c r="A3" s="247" t="s">
        <v>85</v>
      </c>
      <c r="B3" s="248">
        <f ca="1">ROUND(B2*10000/'数据-汇总表'!E3,0)</f>
        <v>98847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20810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810</v>
      </c>
      <c r="D7" s="264"/>
      <c r="E7" s="262"/>
      <c r="F7" s="265">
        <f>'数据-取费表'!B48+'数据-取费表'!B49</f>
        <v>4.0500000000000001E-2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6</v>
      </c>
      <c r="D10" s="1032">
        <f>'数据-汇总表'!E6</f>
        <v>2547.4699999999998</v>
      </c>
      <c r="E10" s="269">
        <f>'数据-取费表'!B28</f>
        <v>21.6</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51</v>
      </c>
      <c r="D19" s="1036">
        <f>'数据-汇总表'!E3</f>
        <v>2547.4699999999998</v>
      </c>
      <c r="E19" s="255">
        <f>'数据-取费表'!B31</f>
        <v>200</v>
      </c>
      <c r="F19" s="275"/>
      <c r="G19" s="1" t="s">
        <v>1071</v>
      </c>
    </row>
    <row r="20" spans="1:7" s="258" customFormat="1" ht="13.5" customHeight="1">
      <c r="A20" s="948" t="s">
        <v>1054</v>
      </c>
      <c r="B20" s="254" t="s">
        <v>104</v>
      </c>
      <c r="C20" s="276">
        <f>ROUND((C5+C19)*F20,0)</f>
        <v>209</v>
      </c>
      <c r="D20" s="276"/>
      <c r="E20" s="276"/>
      <c r="F20" s="277">
        <f>'数据-取费表'!B37</f>
        <v>0.01</v>
      </c>
      <c r="G20" s="1289" t="s">
        <v>1065</v>
      </c>
    </row>
    <row r="21" spans="1:7" s="258" customFormat="1" ht="13.5" customHeight="1">
      <c r="A21" s="948" t="s">
        <v>1056</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912</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1058</v>
      </c>
      <c r="C23" s="1355">
        <f ca="1">ROUND(IF('数据-取费表'!B22&lt;=1,C5*F22*'数据-取费表'!B23,C5*(POWER((1+F22),'数据-取费表'!B23)-1)),0)</f>
        <v>905</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2</v>
      </c>
      <c r="D24" s="282"/>
      <c r="E24" s="282"/>
      <c r="F24" s="283"/>
      <c r="G24" s="284" t="s">
        <v>109</v>
      </c>
    </row>
    <row r="25" spans="1:7" s="258" customFormat="1" ht="24">
      <c r="A25" s="951" t="s">
        <v>793</v>
      </c>
      <c r="B25" s="259" t="s">
        <v>1055</v>
      </c>
      <c r="C25" s="1355">
        <f ca="1">ROUND(IF('数据-取费表'!B22&lt;=1,C20*F22*'数据-取费表'!B23/2,C20*(POWER((1+F22),'数据-取费表'!B23/2)-1)),0)</f>
        <v>5</v>
      </c>
      <c r="D25" s="282"/>
      <c r="E25" s="285"/>
      <c r="F25" s="283"/>
      <c r="G25" s="286" t="s">
        <v>110</v>
      </c>
    </row>
    <row r="26" spans="1:7" s="258" customFormat="1">
      <c r="A26" s="951" t="s">
        <v>795</v>
      </c>
      <c r="B26" s="259" t="s">
        <v>1057</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1054</v>
      </c>
      <c r="D27" s="279">
        <f>C29</f>
        <v>5.0000000000000001E-4</v>
      </c>
      <c r="E27" s="280" t="s">
        <v>126</v>
      </c>
      <c r="F27" s="290">
        <f>'数据-取费表'!Q16</f>
        <v>0.05</v>
      </c>
      <c r="G27" s="291" t="s">
        <v>1066</v>
      </c>
    </row>
    <row r="28" spans="1:7" s="258" customFormat="1" ht="13.5" customHeight="1">
      <c r="A28" s="951" t="s">
        <v>794</v>
      </c>
      <c r="B28" s="292" t="s">
        <v>1059</v>
      </c>
      <c r="C28" s="293">
        <f>ROUND((C5+C19+C20)*F27*'数据-取费表'!B21/'数据-取费表'!B20,0)</f>
        <v>1054</v>
      </c>
      <c r="D28" s="279"/>
      <c r="E28" s="280"/>
      <c r="F28" s="290"/>
      <c r="G28" s="291"/>
    </row>
    <row r="29" spans="1:7" s="258" customFormat="1" ht="13.5" customHeight="1">
      <c r="A29" s="951" t="s">
        <v>792</v>
      </c>
      <c r="B29" s="292" t="s">
        <v>1060</v>
      </c>
      <c r="C29" s="282">
        <f>ROUND(C21*F27*'数据-取费表'!B21/'数据-取费表'!B20,4)</f>
        <v>5.0000000000000001E-4</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24612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631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555</v>
      </c>
      <c r="D34" s="261"/>
      <c r="E34" s="264"/>
      <c r="F34" s="301">
        <f>IF('数据-取费表'!B24=0,1,'数据-取费表'!N16)</f>
        <v>1</v>
      </c>
      <c r="G34" s="263" t="s">
        <v>116</v>
      </c>
    </row>
    <row r="35" spans="1:7" ht="13.5" customHeight="1">
      <c r="A35" s="951" t="s">
        <v>796</v>
      </c>
      <c r="B35" s="259" t="s">
        <v>60</v>
      </c>
      <c r="C35" s="264">
        <f>ROUND(C34*F35,0)</f>
        <v>17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51</v>
      </c>
      <c r="D37" s="261">
        <f>'数据-汇总表'!E3</f>
        <v>2547.4699999999998</v>
      </c>
      <c r="E37" s="293">
        <f>'数据-取费表'!B35</f>
        <v>200</v>
      </c>
      <c r="F37" s="303"/>
      <c r="G37" s="305" t="s">
        <v>119</v>
      </c>
    </row>
    <row r="38" spans="1:7" ht="13.5" customHeight="1">
      <c r="A38" s="951" t="s">
        <v>799</v>
      </c>
      <c r="B38" s="259" t="s">
        <v>63</v>
      </c>
      <c r="C38" s="264">
        <f>ROUND(C34*F38,0)</f>
        <v>8</v>
      </c>
      <c r="D38" s="264"/>
      <c r="E38" s="264"/>
      <c r="F38" s="303">
        <f>'数据-取费表'!B36</f>
        <v>1.4999999999999999E-2</v>
      </c>
      <c r="G38" s="263" t="s">
        <v>117</v>
      </c>
    </row>
    <row r="39" spans="1:7" s="258" customFormat="1" ht="13.5" customHeight="1">
      <c r="A39" s="948" t="s">
        <v>783</v>
      </c>
      <c r="B39" s="254" t="s">
        <v>104</v>
      </c>
      <c r="C39" s="276">
        <f>ROUND(C33*F20,0)</f>
        <v>6</v>
      </c>
      <c r="D39" s="276"/>
      <c r="E39" s="276"/>
      <c r="F39" s="277"/>
      <c r="G39" s="1289" t="s">
        <v>1068</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14</v>
      </c>
      <c r="D41" s="279">
        <f ca="1">C44</f>
        <v>2.0000000000000001E-4</v>
      </c>
      <c r="E41" s="280" t="s">
        <v>129</v>
      </c>
      <c r="F41" s="281"/>
      <c r="G41" s="1289" t="str">
        <f>IF('数据-取费表'!B22&lt;=1,"单利计息","复利计息")</f>
        <v>单利计息</v>
      </c>
    </row>
    <row r="42" spans="1:7" ht="13.5" customHeight="1">
      <c r="A42" s="951" t="s">
        <v>794</v>
      </c>
      <c r="B42" s="259" t="s">
        <v>1058</v>
      </c>
      <c r="C42" s="282">
        <f ca="1">ROUND(IF('数据-取费表'!B22&lt;=1,C33*F22*'数据-取费表'!B21/2,C33*(POWER((1+F22),'数据-取费表'!B21/2)-1)),0)</f>
        <v>14</v>
      </c>
      <c r="D42" s="282"/>
      <c r="E42" s="282"/>
      <c r="F42" s="283"/>
      <c r="G42" s="3155" t="s">
        <v>121</v>
      </c>
    </row>
    <row r="43" spans="1:7" ht="13.5" customHeight="1">
      <c r="A43" s="951" t="s">
        <v>792</v>
      </c>
      <c r="B43" s="259" t="s">
        <v>1061</v>
      </c>
      <c r="C43" s="282">
        <f ca="1">ROUND(IF('数据-取费表'!B22&lt;=1,C39*F22*'数据-取费表'!B21/2,C39*(POWER((1+F22),'数据-取费表'!B21/2)-1)),0)</f>
        <v>0</v>
      </c>
      <c r="D43" s="282"/>
      <c r="E43" s="282"/>
      <c r="F43" s="283"/>
      <c r="G43" s="3156"/>
    </row>
    <row r="44" spans="1:7" ht="13.5" customHeight="1">
      <c r="A44" s="951" t="s">
        <v>793</v>
      </c>
      <c r="B44" s="259" t="s">
        <v>1063</v>
      </c>
      <c r="C44" s="282">
        <f ca="1">ROUND(IF('数据-取费表'!B22&lt;=1,C40*F22*'数据-取费表'!B21/2,C40*(POWER((1+F22),'数据-取费表'!B21/2)-1)),4)</f>
        <v>2.0000000000000001E-4</v>
      </c>
      <c r="D44" s="282"/>
      <c r="E44" s="282"/>
      <c r="F44" s="283"/>
      <c r="G44" s="3157"/>
    </row>
    <row r="45" spans="1:7" s="258" customFormat="1" ht="13.5" customHeight="1">
      <c r="A45" s="948" t="s">
        <v>786</v>
      </c>
      <c r="B45" s="288" t="s">
        <v>112</v>
      </c>
      <c r="C45" s="289">
        <f>C46</f>
        <v>32</v>
      </c>
      <c r="D45" s="279">
        <f>C47</f>
        <v>5.0000000000000001E-4</v>
      </c>
      <c r="E45" s="280" t="s">
        <v>129</v>
      </c>
      <c r="F45" s="290"/>
      <c r="G45" s="291" t="s">
        <v>1069</v>
      </c>
    </row>
    <row r="46" spans="1:7" s="258" customFormat="1" ht="13.5" customHeight="1">
      <c r="A46" s="951" t="s">
        <v>794</v>
      </c>
      <c r="B46" s="292" t="s">
        <v>1062</v>
      </c>
      <c r="C46" s="293">
        <f>ROUND((C33+C39)*F27,0)</f>
        <v>32</v>
      </c>
      <c r="D46" s="307"/>
      <c r="E46" s="280"/>
      <c r="F46" s="290"/>
      <c r="G46" s="291"/>
    </row>
    <row r="47" spans="1:7" s="258" customFormat="1" ht="13.5" customHeight="1">
      <c r="A47" s="951" t="s">
        <v>792</v>
      </c>
      <c r="B47" s="292" t="s">
        <v>1064</v>
      </c>
      <c r="C47" s="282">
        <f>ROUND(C40*F27,4)</f>
        <v>5.0000000000000001E-4</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730</v>
      </c>
      <c r="D49" s="276"/>
      <c r="E49" s="276"/>
      <c r="F49" s="308"/>
      <c r="G49" s="278" t="s">
        <v>1070</v>
      </c>
    </row>
    <row r="50" spans="1:7" s="302" customFormat="1" ht="24">
      <c r="A50" s="948" t="s">
        <v>789</v>
      </c>
      <c r="B50" s="254" t="s">
        <v>124</v>
      </c>
      <c r="C50" s="276"/>
      <c r="D50" s="276"/>
      <c r="E50" s="276"/>
      <c r="F50" s="308">
        <f>IF('数据-取费表'!B24=0,'数据-取费表'!N16,1)</f>
        <v>0.78</v>
      </c>
      <c r="G50" s="291" t="s">
        <v>125</v>
      </c>
    </row>
    <row r="51" spans="1:7" ht="16.5" customHeight="1">
      <c r="A51" s="948" t="s">
        <v>790</v>
      </c>
      <c r="B51" s="254" t="s">
        <v>132</v>
      </c>
      <c r="C51" s="276">
        <f ca="1">ROUND(C49*F50,0)</f>
        <v>569</v>
      </c>
      <c r="D51" s="276"/>
      <c r="E51" s="276"/>
      <c r="F51" s="308"/>
      <c r="G51" s="278" t="s">
        <v>64</v>
      </c>
    </row>
    <row r="52" spans="1:7" s="252" customFormat="1" ht="16.5" thickBot="1">
      <c r="A52" s="309" t="s">
        <v>65</v>
      </c>
      <c r="B52" s="310"/>
      <c r="C52" s="311">
        <f ca="1">C31+C51</f>
        <v>25181</v>
      </c>
      <c r="D52" s="310"/>
      <c r="E52" s="310"/>
      <c r="F52" s="310"/>
      <c r="G52" s="312"/>
    </row>
    <row r="55" spans="1:7" ht="15">
      <c r="B55" s="314" t="s">
        <v>66</v>
      </c>
      <c r="C55" s="315"/>
    </row>
    <row r="56" spans="1:7">
      <c r="B56" s="317" t="s">
        <v>67</v>
      </c>
      <c r="C56" s="318">
        <f ca="1">ROUND(C51/C52,3)</f>
        <v>2.3E-2</v>
      </c>
    </row>
    <row r="57" spans="1:7">
      <c r="B57" s="317" t="s">
        <v>68</v>
      </c>
      <c r="C57" s="319">
        <f ca="1">1-C56</f>
        <v>0.97699999999999998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4" t="s">
        <v>156</v>
      </c>
      <c r="B1" s="3294"/>
      <c r="C1" s="3294"/>
      <c r="D1" s="3294"/>
      <c r="E1" s="3294"/>
      <c r="F1" s="329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5" t="s">
        <v>169</v>
      </c>
      <c r="B2" s="3295"/>
      <c r="C2" s="3295"/>
      <c r="D2" s="3295"/>
      <c r="E2" s="3295"/>
      <c r="F2" s="329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4" t="s">
        <v>868</v>
      </c>
      <c r="B1" s="3294"/>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44015</v>
      </c>
      <c r="D1" s="1700" t="s">
        <v>1297</v>
      </c>
      <c r="E1" s="1695">
        <f>'数据-取费表'!B22</f>
        <v>1</v>
      </c>
      <c r="F1" s="1700" t="s">
        <v>1298</v>
      </c>
      <c r="G1" s="1696">
        <f ca="1">INDIRECT("d"&amp;$K$1)/100</f>
        <v>4.3499999999999997E-2</v>
      </c>
      <c r="H1" s="1700" t="s">
        <v>1328</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P51"/>
  <sheetViews>
    <sheetView topLeftCell="F4" workbookViewId="0">
      <selection activeCell="H38" sqref="H38"/>
    </sheetView>
  </sheetViews>
  <sheetFormatPr defaultRowHeight="13.5"/>
  <cols>
    <col min="1" max="1" width="33.625" style="1635" customWidth="1"/>
    <col min="2" max="2" width="6.25" style="1635" hidden="1" customWidth="1"/>
    <col min="3" max="3" width="7.875" style="1635" hidden="1" customWidth="1"/>
    <col min="4" max="4" width="2.875" style="1635" hidden="1" customWidth="1"/>
    <col min="5" max="5" width="7.875" style="1635" customWidth="1"/>
    <col min="6" max="7" width="13.875" style="1635" customWidth="1"/>
    <col min="8" max="8" width="15.75" style="2962" customWidth="1"/>
    <col min="9" max="9" width="9" style="1635" customWidth="1"/>
    <col min="10" max="10" width="13.5" style="1635" customWidth="1"/>
    <col min="11" max="11" width="10.625" style="1635" customWidth="1"/>
    <col min="12" max="12" width="9.5" style="1635" customWidth="1"/>
    <col min="13" max="13" width="7.875" style="1635" customWidth="1"/>
    <col min="14" max="14" width="6.25" style="1635" customWidth="1"/>
    <col min="15" max="15" width="7.875" style="1635" customWidth="1"/>
    <col min="16" max="256" width="9" style="1635"/>
    <col min="257" max="257" width="33.625" style="1635" customWidth="1"/>
    <col min="258" max="260" width="0" style="1635" hidden="1" customWidth="1"/>
    <col min="261" max="261" width="7.875" style="1635" customWidth="1"/>
    <col min="262" max="263" width="13.875" style="1635" customWidth="1"/>
    <col min="264" max="264" width="15.75" style="1635" customWidth="1"/>
    <col min="265" max="265" width="9" style="1635" customWidth="1"/>
    <col min="266" max="266" width="13.5" style="1635" customWidth="1"/>
    <col min="267" max="267" width="10.625" style="1635" customWidth="1"/>
    <col min="268" max="268" width="9.5" style="1635" customWidth="1"/>
    <col min="269" max="269" width="7.875" style="1635" customWidth="1"/>
    <col min="270" max="270" width="6.25" style="1635" customWidth="1"/>
    <col min="271" max="271" width="7.875" style="1635" customWidth="1"/>
    <col min="272" max="512" width="9" style="1635"/>
    <col min="513" max="513" width="33.625" style="1635" customWidth="1"/>
    <col min="514" max="516" width="0" style="1635" hidden="1" customWidth="1"/>
    <col min="517" max="517" width="7.875" style="1635" customWidth="1"/>
    <col min="518" max="519" width="13.875" style="1635" customWidth="1"/>
    <col min="520" max="520" width="15.75" style="1635" customWidth="1"/>
    <col min="521" max="521" width="9" style="1635" customWidth="1"/>
    <col min="522" max="522" width="13.5" style="1635" customWidth="1"/>
    <col min="523" max="523" width="10.625" style="1635" customWidth="1"/>
    <col min="524" max="524" width="9.5" style="1635" customWidth="1"/>
    <col min="525" max="525" width="7.875" style="1635" customWidth="1"/>
    <col min="526" max="526" width="6.25" style="1635" customWidth="1"/>
    <col min="527" max="527" width="7.875" style="1635" customWidth="1"/>
    <col min="528" max="768" width="9" style="1635"/>
    <col min="769" max="769" width="33.625" style="1635" customWidth="1"/>
    <col min="770" max="772" width="0" style="1635" hidden="1" customWidth="1"/>
    <col min="773" max="773" width="7.875" style="1635" customWidth="1"/>
    <col min="774" max="775" width="13.875" style="1635" customWidth="1"/>
    <col min="776" max="776" width="15.75" style="1635" customWidth="1"/>
    <col min="777" max="777" width="9" style="1635" customWidth="1"/>
    <col min="778" max="778" width="13.5" style="1635" customWidth="1"/>
    <col min="779" max="779" width="10.625" style="1635" customWidth="1"/>
    <col min="780" max="780" width="9.5" style="1635" customWidth="1"/>
    <col min="781" max="781" width="7.875" style="1635" customWidth="1"/>
    <col min="782" max="782" width="6.25" style="1635" customWidth="1"/>
    <col min="783" max="783" width="7.875" style="1635" customWidth="1"/>
    <col min="784" max="1024" width="9" style="1635"/>
    <col min="1025" max="1025" width="33.625" style="1635" customWidth="1"/>
    <col min="1026" max="1028" width="0" style="1635" hidden="1" customWidth="1"/>
    <col min="1029" max="1029" width="7.875" style="1635" customWidth="1"/>
    <col min="1030" max="1031" width="13.875" style="1635" customWidth="1"/>
    <col min="1032" max="1032" width="15.75" style="1635" customWidth="1"/>
    <col min="1033" max="1033" width="9" style="1635" customWidth="1"/>
    <col min="1034" max="1034" width="13.5" style="1635" customWidth="1"/>
    <col min="1035" max="1035" width="10.625" style="1635" customWidth="1"/>
    <col min="1036" max="1036" width="9.5" style="1635" customWidth="1"/>
    <col min="1037" max="1037" width="7.875" style="1635" customWidth="1"/>
    <col min="1038" max="1038" width="6.25" style="1635" customWidth="1"/>
    <col min="1039" max="1039" width="7.875" style="1635" customWidth="1"/>
    <col min="1040" max="1280" width="9" style="1635"/>
    <col min="1281" max="1281" width="33.625" style="1635" customWidth="1"/>
    <col min="1282" max="1284" width="0" style="1635" hidden="1" customWidth="1"/>
    <col min="1285" max="1285" width="7.875" style="1635" customWidth="1"/>
    <col min="1286" max="1287" width="13.875" style="1635" customWidth="1"/>
    <col min="1288" max="1288" width="15.75" style="1635" customWidth="1"/>
    <col min="1289" max="1289" width="9" style="1635" customWidth="1"/>
    <col min="1290" max="1290" width="13.5" style="1635" customWidth="1"/>
    <col min="1291" max="1291" width="10.625" style="1635" customWidth="1"/>
    <col min="1292" max="1292" width="9.5" style="1635" customWidth="1"/>
    <col min="1293" max="1293" width="7.875" style="1635" customWidth="1"/>
    <col min="1294" max="1294" width="6.25" style="1635" customWidth="1"/>
    <col min="1295" max="1295" width="7.875" style="1635" customWidth="1"/>
    <col min="1296" max="1536" width="9" style="1635"/>
    <col min="1537" max="1537" width="33.625" style="1635" customWidth="1"/>
    <col min="1538" max="1540" width="0" style="1635" hidden="1" customWidth="1"/>
    <col min="1541" max="1541" width="7.875" style="1635" customWidth="1"/>
    <col min="1542" max="1543" width="13.875" style="1635" customWidth="1"/>
    <col min="1544" max="1544" width="15.75" style="1635" customWidth="1"/>
    <col min="1545" max="1545" width="9" style="1635" customWidth="1"/>
    <col min="1546" max="1546" width="13.5" style="1635" customWidth="1"/>
    <col min="1547" max="1547" width="10.625" style="1635" customWidth="1"/>
    <col min="1548" max="1548" width="9.5" style="1635" customWidth="1"/>
    <col min="1549" max="1549" width="7.875" style="1635" customWidth="1"/>
    <col min="1550" max="1550" width="6.25" style="1635" customWidth="1"/>
    <col min="1551" max="1551" width="7.875" style="1635" customWidth="1"/>
    <col min="1552" max="1792" width="9" style="1635"/>
    <col min="1793" max="1793" width="33.625" style="1635" customWidth="1"/>
    <col min="1794" max="1796" width="0" style="1635" hidden="1" customWidth="1"/>
    <col min="1797" max="1797" width="7.875" style="1635" customWidth="1"/>
    <col min="1798" max="1799" width="13.875" style="1635" customWidth="1"/>
    <col min="1800" max="1800" width="15.75" style="1635" customWidth="1"/>
    <col min="1801" max="1801" width="9" style="1635" customWidth="1"/>
    <col min="1802" max="1802" width="13.5" style="1635" customWidth="1"/>
    <col min="1803" max="1803" width="10.625" style="1635" customWidth="1"/>
    <col min="1804" max="1804" width="9.5" style="1635" customWidth="1"/>
    <col min="1805" max="1805" width="7.875" style="1635" customWidth="1"/>
    <col min="1806" max="1806" width="6.25" style="1635" customWidth="1"/>
    <col min="1807" max="1807" width="7.875" style="1635" customWidth="1"/>
    <col min="1808" max="2048" width="9" style="1635"/>
    <col min="2049" max="2049" width="33.625" style="1635" customWidth="1"/>
    <col min="2050" max="2052" width="0" style="1635" hidden="1" customWidth="1"/>
    <col min="2053" max="2053" width="7.875" style="1635" customWidth="1"/>
    <col min="2054" max="2055" width="13.875" style="1635" customWidth="1"/>
    <col min="2056" max="2056" width="15.75" style="1635" customWidth="1"/>
    <col min="2057" max="2057" width="9" style="1635" customWidth="1"/>
    <col min="2058" max="2058" width="13.5" style="1635" customWidth="1"/>
    <col min="2059" max="2059" width="10.625" style="1635" customWidth="1"/>
    <col min="2060" max="2060" width="9.5" style="1635" customWidth="1"/>
    <col min="2061" max="2061" width="7.875" style="1635" customWidth="1"/>
    <col min="2062" max="2062" width="6.25" style="1635" customWidth="1"/>
    <col min="2063" max="2063" width="7.875" style="1635" customWidth="1"/>
    <col min="2064" max="2304" width="9" style="1635"/>
    <col min="2305" max="2305" width="33.625" style="1635" customWidth="1"/>
    <col min="2306" max="2308" width="0" style="1635" hidden="1" customWidth="1"/>
    <col min="2309" max="2309" width="7.875" style="1635" customWidth="1"/>
    <col min="2310" max="2311" width="13.875" style="1635" customWidth="1"/>
    <col min="2312" max="2312" width="15.75" style="1635" customWidth="1"/>
    <col min="2313" max="2313" width="9" style="1635" customWidth="1"/>
    <col min="2314" max="2314" width="13.5" style="1635" customWidth="1"/>
    <col min="2315" max="2315" width="10.625" style="1635" customWidth="1"/>
    <col min="2316" max="2316" width="9.5" style="1635" customWidth="1"/>
    <col min="2317" max="2317" width="7.875" style="1635" customWidth="1"/>
    <col min="2318" max="2318" width="6.25" style="1635" customWidth="1"/>
    <col min="2319" max="2319" width="7.875" style="1635" customWidth="1"/>
    <col min="2320" max="2560" width="9" style="1635"/>
    <col min="2561" max="2561" width="33.625" style="1635" customWidth="1"/>
    <col min="2562" max="2564" width="0" style="1635" hidden="1" customWidth="1"/>
    <col min="2565" max="2565" width="7.875" style="1635" customWidth="1"/>
    <col min="2566" max="2567" width="13.875" style="1635" customWidth="1"/>
    <col min="2568" max="2568" width="15.75" style="1635" customWidth="1"/>
    <col min="2569" max="2569" width="9" style="1635" customWidth="1"/>
    <col min="2570" max="2570" width="13.5" style="1635" customWidth="1"/>
    <col min="2571" max="2571" width="10.625" style="1635" customWidth="1"/>
    <col min="2572" max="2572" width="9.5" style="1635" customWidth="1"/>
    <col min="2573" max="2573" width="7.875" style="1635" customWidth="1"/>
    <col min="2574" max="2574" width="6.25" style="1635" customWidth="1"/>
    <col min="2575" max="2575" width="7.875" style="1635" customWidth="1"/>
    <col min="2576" max="2816" width="9" style="1635"/>
    <col min="2817" max="2817" width="33.625" style="1635" customWidth="1"/>
    <col min="2818" max="2820" width="0" style="1635" hidden="1" customWidth="1"/>
    <col min="2821" max="2821" width="7.875" style="1635" customWidth="1"/>
    <col min="2822" max="2823" width="13.875" style="1635" customWidth="1"/>
    <col min="2824" max="2824" width="15.75" style="1635" customWidth="1"/>
    <col min="2825" max="2825" width="9" style="1635" customWidth="1"/>
    <col min="2826" max="2826" width="13.5" style="1635" customWidth="1"/>
    <col min="2827" max="2827" width="10.625" style="1635" customWidth="1"/>
    <col min="2828" max="2828" width="9.5" style="1635" customWidth="1"/>
    <col min="2829" max="2829" width="7.875" style="1635" customWidth="1"/>
    <col min="2830" max="2830" width="6.25" style="1635" customWidth="1"/>
    <col min="2831" max="2831" width="7.875" style="1635" customWidth="1"/>
    <col min="2832" max="3072" width="9" style="1635"/>
    <col min="3073" max="3073" width="33.625" style="1635" customWidth="1"/>
    <col min="3074" max="3076" width="0" style="1635" hidden="1" customWidth="1"/>
    <col min="3077" max="3077" width="7.875" style="1635" customWidth="1"/>
    <col min="3078" max="3079" width="13.875" style="1635" customWidth="1"/>
    <col min="3080" max="3080" width="15.75" style="1635" customWidth="1"/>
    <col min="3081" max="3081" width="9" style="1635" customWidth="1"/>
    <col min="3082" max="3082" width="13.5" style="1635" customWidth="1"/>
    <col min="3083" max="3083" width="10.625" style="1635" customWidth="1"/>
    <col min="3084" max="3084" width="9.5" style="1635" customWidth="1"/>
    <col min="3085" max="3085" width="7.875" style="1635" customWidth="1"/>
    <col min="3086" max="3086" width="6.25" style="1635" customWidth="1"/>
    <col min="3087" max="3087" width="7.875" style="1635" customWidth="1"/>
    <col min="3088" max="3328" width="9" style="1635"/>
    <col min="3329" max="3329" width="33.625" style="1635" customWidth="1"/>
    <col min="3330" max="3332" width="0" style="1635" hidden="1" customWidth="1"/>
    <col min="3333" max="3333" width="7.875" style="1635" customWidth="1"/>
    <col min="3334" max="3335" width="13.875" style="1635" customWidth="1"/>
    <col min="3336" max="3336" width="15.75" style="1635" customWidth="1"/>
    <col min="3337" max="3337" width="9" style="1635" customWidth="1"/>
    <col min="3338" max="3338" width="13.5" style="1635" customWidth="1"/>
    <col min="3339" max="3339" width="10.625" style="1635" customWidth="1"/>
    <col min="3340" max="3340" width="9.5" style="1635" customWidth="1"/>
    <col min="3341" max="3341" width="7.875" style="1635" customWidth="1"/>
    <col min="3342" max="3342" width="6.25" style="1635" customWidth="1"/>
    <col min="3343" max="3343" width="7.875" style="1635" customWidth="1"/>
    <col min="3344" max="3584" width="9" style="1635"/>
    <col min="3585" max="3585" width="33.625" style="1635" customWidth="1"/>
    <col min="3586" max="3588" width="0" style="1635" hidden="1" customWidth="1"/>
    <col min="3589" max="3589" width="7.875" style="1635" customWidth="1"/>
    <col min="3590" max="3591" width="13.875" style="1635" customWidth="1"/>
    <col min="3592" max="3592" width="15.75" style="1635" customWidth="1"/>
    <col min="3593" max="3593" width="9" style="1635" customWidth="1"/>
    <col min="3594" max="3594" width="13.5" style="1635" customWidth="1"/>
    <col min="3595" max="3595" width="10.625" style="1635" customWidth="1"/>
    <col min="3596" max="3596" width="9.5" style="1635" customWidth="1"/>
    <col min="3597" max="3597" width="7.875" style="1635" customWidth="1"/>
    <col min="3598" max="3598" width="6.25" style="1635" customWidth="1"/>
    <col min="3599" max="3599" width="7.875" style="1635" customWidth="1"/>
    <col min="3600" max="3840" width="9" style="1635"/>
    <col min="3841" max="3841" width="33.625" style="1635" customWidth="1"/>
    <col min="3842" max="3844" width="0" style="1635" hidden="1" customWidth="1"/>
    <col min="3845" max="3845" width="7.875" style="1635" customWidth="1"/>
    <col min="3846" max="3847" width="13.875" style="1635" customWidth="1"/>
    <col min="3848" max="3848" width="15.75" style="1635" customWidth="1"/>
    <col min="3849" max="3849" width="9" style="1635" customWidth="1"/>
    <col min="3850" max="3850" width="13.5" style="1635" customWidth="1"/>
    <col min="3851" max="3851" width="10.625" style="1635" customWidth="1"/>
    <col min="3852" max="3852" width="9.5" style="1635" customWidth="1"/>
    <col min="3853" max="3853" width="7.875" style="1635" customWidth="1"/>
    <col min="3854" max="3854" width="6.25" style="1635" customWidth="1"/>
    <col min="3855" max="3855" width="7.875" style="1635" customWidth="1"/>
    <col min="3856" max="4096" width="9" style="1635"/>
    <col min="4097" max="4097" width="33.625" style="1635" customWidth="1"/>
    <col min="4098" max="4100" width="0" style="1635" hidden="1" customWidth="1"/>
    <col min="4101" max="4101" width="7.875" style="1635" customWidth="1"/>
    <col min="4102" max="4103" width="13.875" style="1635" customWidth="1"/>
    <col min="4104" max="4104" width="15.75" style="1635" customWidth="1"/>
    <col min="4105" max="4105" width="9" style="1635" customWidth="1"/>
    <col min="4106" max="4106" width="13.5" style="1635" customWidth="1"/>
    <col min="4107" max="4107" width="10.625" style="1635" customWidth="1"/>
    <col min="4108" max="4108" width="9.5" style="1635" customWidth="1"/>
    <col min="4109" max="4109" width="7.875" style="1635" customWidth="1"/>
    <col min="4110" max="4110" width="6.25" style="1635" customWidth="1"/>
    <col min="4111" max="4111" width="7.875" style="1635" customWidth="1"/>
    <col min="4112" max="4352" width="9" style="1635"/>
    <col min="4353" max="4353" width="33.625" style="1635" customWidth="1"/>
    <col min="4354" max="4356" width="0" style="1635" hidden="1" customWidth="1"/>
    <col min="4357" max="4357" width="7.875" style="1635" customWidth="1"/>
    <col min="4358" max="4359" width="13.875" style="1635" customWidth="1"/>
    <col min="4360" max="4360" width="15.75" style="1635" customWidth="1"/>
    <col min="4361" max="4361" width="9" style="1635" customWidth="1"/>
    <col min="4362" max="4362" width="13.5" style="1635" customWidth="1"/>
    <col min="4363" max="4363" width="10.625" style="1635" customWidth="1"/>
    <col min="4364" max="4364" width="9.5" style="1635" customWidth="1"/>
    <col min="4365" max="4365" width="7.875" style="1635" customWidth="1"/>
    <col min="4366" max="4366" width="6.25" style="1635" customWidth="1"/>
    <col min="4367" max="4367" width="7.875" style="1635" customWidth="1"/>
    <col min="4368" max="4608" width="9" style="1635"/>
    <col min="4609" max="4609" width="33.625" style="1635" customWidth="1"/>
    <col min="4610" max="4612" width="0" style="1635" hidden="1" customWidth="1"/>
    <col min="4613" max="4613" width="7.875" style="1635" customWidth="1"/>
    <col min="4614" max="4615" width="13.875" style="1635" customWidth="1"/>
    <col min="4616" max="4616" width="15.75" style="1635" customWidth="1"/>
    <col min="4617" max="4617" width="9" style="1635" customWidth="1"/>
    <col min="4618" max="4618" width="13.5" style="1635" customWidth="1"/>
    <col min="4619" max="4619" width="10.625" style="1635" customWidth="1"/>
    <col min="4620" max="4620" width="9.5" style="1635" customWidth="1"/>
    <col min="4621" max="4621" width="7.875" style="1635" customWidth="1"/>
    <col min="4622" max="4622" width="6.25" style="1635" customWidth="1"/>
    <col min="4623" max="4623" width="7.875" style="1635" customWidth="1"/>
    <col min="4624" max="4864" width="9" style="1635"/>
    <col min="4865" max="4865" width="33.625" style="1635" customWidth="1"/>
    <col min="4866" max="4868" width="0" style="1635" hidden="1" customWidth="1"/>
    <col min="4869" max="4869" width="7.875" style="1635" customWidth="1"/>
    <col min="4870" max="4871" width="13.875" style="1635" customWidth="1"/>
    <col min="4872" max="4872" width="15.75" style="1635" customWidth="1"/>
    <col min="4873" max="4873" width="9" style="1635" customWidth="1"/>
    <col min="4874" max="4874" width="13.5" style="1635" customWidth="1"/>
    <col min="4875" max="4875" width="10.625" style="1635" customWidth="1"/>
    <col min="4876" max="4876" width="9.5" style="1635" customWidth="1"/>
    <col min="4877" max="4877" width="7.875" style="1635" customWidth="1"/>
    <col min="4878" max="4878" width="6.25" style="1635" customWidth="1"/>
    <col min="4879" max="4879" width="7.875" style="1635" customWidth="1"/>
    <col min="4880" max="5120" width="9" style="1635"/>
    <col min="5121" max="5121" width="33.625" style="1635" customWidth="1"/>
    <col min="5122" max="5124" width="0" style="1635" hidden="1" customWidth="1"/>
    <col min="5125" max="5125" width="7.875" style="1635" customWidth="1"/>
    <col min="5126" max="5127" width="13.875" style="1635" customWidth="1"/>
    <col min="5128" max="5128" width="15.75" style="1635" customWidth="1"/>
    <col min="5129" max="5129" width="9" style="1635" customWidth="1"/>
    <col min="5130" max="5130" width="13.5" style="1635" customWidth="1"/>
    <col min="5131" max="5131" width="10.625" style="1635" customWidth="1"/>
    <col min="5132" max="5132" width="9.5" style="1635" customWidth="1"/>
    <col min="5133" max="5133" width="7.875" style="1635" customWidth="1"/>
    <col min="5134" max="5134" width="6.25" style="1635" customWidth="1"/>
    <col min="5135" max="5135" width="7.875" style="1635" customWidth="1"/>
    <col min="5136" max="5376" width="9" style="1635"/>
    <col min="5377" max="5377" width="33.625" style="1635" customWidth="1"/>
    <col min="5378" max="5380" width="0" style="1635" hidden="1" customWidth="1"/>
    <col min="5381" max="5381" width="7.875" style="1635" customWidth="1"/>
    <col min="5382" max="5383" width="13.875" style="1635" customWidth="1"/>
    <col min="5384" max="5384" width="15.75" style="1635" customWidth="1"/>
    <col min="5385" max="5385" width="9" style="1635" customWidth="1"/>
    <col min="5386" max="5386" width="13.5" style="1635" customWidth="1"/>
    <col min="5387" max="5387" width="10.625" style="1635" customWidth="1"/>
    <col min="5388" max="5388" width="9.5" style="1635" customWidth="1"/>
    <col min="5389" max="5389" width="7.875" style="1635" customWidth="1"/>
    <col min="5390" max="5390" width="6.25" style="1635" customWidth="1"/>
    <col min="5391" max="5391" width="7.875" style="1635" customWidth="1"/>
    <col min="5392" max="5632" width="9" style="1635"/>
    <col min="5633" max="5633" width="33.625" style="1635" customWidth="1"/>
    <col min="5634" max="5636" width="0" style="1635" hidden="1" customWidth="1"/>
    <col min="5637" max="5637" width="7.875" style="1635" customWidth="1"/>
    <col min="5638" max="5639" width="13.875" style="1635" customWidth="1"/>
    <col min="5640" max="5640" width="15.75" style="1635" customWidth="1"/>
    <col min="5641" max="5641" width="9" style="1635" customWidth="1"/>
    <col min="5642" max="5642" width="13.5" style="1635" customWidth="1"/>
    <col min="5643" max="5643" width="10.625" style="1635" customWidth="1"/>
    <col min="5644" max="5644" width="9.5" style="1635" customWidth="1"/>
    <col min="5645" max="5645" width="7.875" style="1635" customWidth="1"/>
    <col min="5646" max="5646" width="6.25" style="1635" customWidth="1"/>
    <col min="5647" max="5647" width="7.875" style="1635" customWidth="1"/>
    <col min="5648" max="5888" width="9" style="1635"/>
    <col min="5889" max="5889" width="33.625" style="1635" customWidth="1"/>
    <col min="5890" max="5892" width="0" style="1635" hidden="1" customWidth="1"/>
    <col min="5893" max="5893" width="7.875" style="1635" customWidth="1"/>
    <col min="5894" max="5895" width="13.875" style="1635" customWidth="1"/>
    <col min="5896" max="5896" width="15.75" style="1635" customWidth="1"/>
    <col min="5897" max="5897" width="9" style="1635" customWidth="1"/>
    <col min="5898" max="5898" width="13.5" style="1635" customWidth="1"/>
    <col min="5899" max="5899" width="10.625" style="1635" customWidth="1"/>
    <col min="5900" max="5900" width="9.5" style="1635" customWidth="1"/>
    <col min="5901" max="5901" width="7.875" style="1635" customWidth="1"/>
    <col min="5902" max="5902" width="6.25" style="1635" customWidth="1"/>
    <col min="5903" max="5903" width="7.875" style="1635" customWidth="1"/>
    <col min="5904" max="6144" width="9" style="1635"/>
    <col min="6145" max="6145" width="33.625" style="1635" customWidth="1"/>
    <col min="6146" max="6148" width="0" style="1635" hidden="1" customWidth="1"/>
    <col min="6149" max="6149" width="7.875" style="1635" customWidth="1"/>
    <col min="6150" max="6151" width="13.875" style="1635" customWidth="1"/>
    <col min="6152" max="6152" width="15.75" style="1635" customWidth="1"/>
    <col min="6153" max="6153" width="9" style="1635" customWidth="1"/>
    <col min="6154" max="6154" width="13.5" style="1635" customWidth="1"/>
    <col min="6155" max="6155" width="10.625" style="1635" customWidth="1"/>
    <col min="6156" max="6156" width="9.5" style="1635" customWidth="1"/>
    <col min="6157" max="6157" width="7.875" style="1635" customWidth="1"/>
    <col min="6158" max="6158" width="6.25" style="1635" customWidth="1"/>
    <col min="6159" max="6159" width="7.875" style="1635" customWidth="1"/>
    <col min="6160" max="6400" width="9" style="1635"/>
    <col min="6401" max="6401" width="33.625" style="1635" customWidth="1"/>
    <col min="6402" max="6404" width="0" style="1635" hidden="1" customWidth="1"/>
    <col min="6405" max="6405" width="7.875" style="1635" customWidth="1"/>
    <col min="6406" max="6407" width="13.875" style="1635" customWidth="1"/>
    <col min="6408" max="6408" width="15.75" style="1635" customWidth="1"/>
    <col min="6409" max="6409" width="9" style="1635" customWidth="1"/>
    <col min="6410" max="6410" width="13.5" style="1635" customWidth="1"/>
    <col min="6411" max="6411" width="10.625" style="1635" customWidth="1"/>
    <col min="6412" max="6412" width="9.5" style="1635" customWidth="1"/>
    <col min="6413" max="6413" width="7.875" style="1635" customWidth="1"/>
    <col min="6414" max="6414" width="6.25" style="1635" customWidth="1"/>
    <col min="6415" max="6415" width="7.875" style="1635" customWidth="1"/>
    <col min="6416" max="6656" width="9" style="1635"/>
    <col min="6657" max="6657" width="33.625" style="1635" customWidth="1"/>
    <col min="6658" max="6660" width="0" style="1635" hidden="1" customWidth="1"/>
    <col min="6661" max="6661" width="7.875" style="1635" customWidth="1"/>
    <col min="6662" max="6663" width="13.875" style="1635" customWidth="1"/>
    <col min="6664" max="6664" width="15.75" style="1635" customWidth="1"/>
    <col min="6665" max="6665" width="9" style="1635" customWidth="1"/>
    <col min="6666" max="6666" width="13.5" style="1635" customWidth="1"/>
    <col min="6667" max="6667" width="10.625" style="1635" customWidth="1"/>
    <col min="6668" max="6668" width="9.5" style="1635" customWidth="1"/>
    <col min="6669" max="6669" width="7.875" style="1635" customWidth="1"/>
    <col min="6670" max="6670" width="6.25" style="1635" customWidth="1"/>
    <col min="6671" max="6671" width="7.875" style="1635" customWidth="1"/>
    <col min="6672" max="6912" width="9" style="1635"/>
    <col min="6913" max="6913" width="33.625" style="1635" customWidth="1"/>
    <col min="6914" max="6916" width="0" style="1635" hidden="1" customWidth="1"/>
    <col min="6917" max="6917" width="7.875" style="1635" customWidth="1"/>
    <col min="6918" max="6919" width="13.875" style="1635" customWidth="1"/>
    <col min="6920" max="6920" width="15.75" style="1635" customWidth="1"/>
    <col min="6921" max="6921" width="9" style="1635" customWidth="1"/>
    <col min="6922" max="6922" width="13.5" style="1635" customWidth="1"/>
    <col min="6923" max="6923" width="10.625" style="1635" customWidth="1"/>
    <col min="6924" max="6924" width="9.5" style="1635" customWidth="1"/>
    <col min="6925" max="6925" width="7.875" style="1635" customWidth="1"/>
    <col min="6926" max="6926" width="6.25" style="1635" customWidth="1"/>
    <col min="6927" max="6927" width="7.875" style="1635" customWidth="1"/>
    <col min="6928" max="7168" width="9" style="1635"/>
    <col min="7169" max="7169" width="33.625" style="1635" customWidth="1"/>
    <col min="7170" max="7172" width="0" style="1635" hidden="1" customWidth="1"/>
    <col min="7173" max="7173" width="7.875" style="1635" customWidth="1"/>
    <col min="7174" max="7175" width="13.875" style="1635" customWidth="1"/>
    <col min="7176" max="7176" width="15.75" style="1635" customWidth="1"/>
    <col min="7177" max="7177" width="9" style="1635" customWidth="1"/>
    <col min="7178" max="7178" width="13.5" style="1635" customWidth="1"/>
    <col min="7179" max="7179" width="10.625" style="1635" customWidth="1"/>
    <col min="7180" max="7180" width="9.5" style="1635" customWidth="1"/>
    <col min="7181" max="7181" width="7.875" style="1635" customWidth="1"/>
    <col min="7182" max="7182" width="6.25" style="1635" customWidth="1"/>
    <col min="7183" max="7183" width="7.875" style="1635" customWidth="1"/>
    <col min="7184" max="7424" width="9" style="1635"/>
    <col min="7425" max="7425" width="33.625" style="1635" customWidth="1"/>
    <col min="7426" max="7428" width="0" style="1635" hidden="1" customWidth="1"/>
    <col min="7429" max="7429" width="7.875" style="1635" customWidth="1"/>
    <col min="7430" max="7431" width="13.875" style="1635" customWidth="1"/>
    <col min="7432" max="7432" width="15.75" style="1635" customWidth="1"/>
    <col min="7433" max="7433" width="9" style="1635" customWidth="1"/>
    <col min="7434" max="7434" width="13.5" style="1635" customWidth="1"/>
    <col min="7435" max="7435" width="10.625" style="1635" customWidth="1"/>
    <col min="7436" max="7436" width="9.5" style="1635" customWidth="1"/>
    <col min="7437" max="7437" width="7.875" style="1635" customWidth="1"/>
    <col min="7438" max="7438" width="6.25" style="1635" customWidth="1"/>
    <col min="7439" max="7439" width="7.875" style="1635" customWidth="1"/>
    <col min="7440" max="7680" width="9" style="1635"/>
    <col min="7681" max="7681" width="33.625" style="1635" customWidth="1"/>
    <col min="7682" max="7684" width="0" style="1635" hidden="1" customWidth="1"/>
    <col min="7685" max="7685" width="7.875" style="1635" customWidth="1"/>
    <col min="7686" max="7687" width="13.875" style="1635" customWidth="1"/>
    <col min="7688" max="7688" width="15.75" style="1635" customWidth="1"/>
    <col min="7689" max="7689" width="9" style="1635" customWidth="1"/>
    <col min="7690" max="7690" width="13.5" style="1635" customWidth="1"/>
    <col min="7691" max="7691" width="10.625" style="1635" customWidth="1"/>
    <col min="7692" max="7692" width="9.5" style="1635" customWidth="1"/>
    <col min="7693" max="7693" width="7.875" style="1635" customWidth="1"/>
    <col min="7694" max="7694" width="6.25" style="1635" customWidth="1"/>
    <col min="7695" max="7695" width="7.875" style="1635" customWidth="1"/>
    <col min="7696" max="7936" width="9" style="1635"/>
    <col min="7937" max="7937" width="33.625" style="1635" customWidth="1"/>
    <col min="7938" max="7940" width="0" style="1635" hidden="1" customWidth="1"/>
    <col min="7941" max="7941" width="7.875" style="1635" customWidth="1"/>
    <col min="7942" max="7943" width="13.875" style="1635" customWidth="1"/>
    <col min="7944" max="7944" width="15.75" style="1635" customWidth="1"/>
    <col min="7945" max="7945" width="9" style="1635" customWidth="1"/>
    <col min="7946" max="7946" width="13.5" style="1635" customWidth="1"/>
    <col min="7947" max="7947" width="10.625" style="1635" customWidth="1"/>
    <col min="7948" max="7948" width="9.5" style="1635" customWidth="1"/>
    <col min="7949" max="7949" width="7.875" style="1635" customWidth="1"/>
    <col min="7950" max="7950" width="6.25" style="1635" customWidth="1"/>
    <col min="7951" max="7951" width="7.875" style="1635" customWidth="1"/>
    <col min="7952" max="8192" width="9" style="1635"/>
    <col min="8193" max="8193" width="33.625" style="1635" customWidth="1"/>
    <col min="8194" max="8196" width="0" style="1635" hidden="1" customWidth="1"/>
    <col min="8197" max="8197" width="7.875" style="1635" customWidth="1"/>
    <col min="8198" max="8199" width="13.875" style="1635" customWidth="1"/>
    <col min="8200" max="8200" width="15.75" style="1635" customWidth="1"/>
    <col min="8201" max="8201" width="9" style="1635" customWidth="1"/>
    <col min="8202" max="8202" width="13.5" style="1635" customWidth="1"/>
    <col min="8203" max="8203" width="10.625" style="1635" customWidth="1"/>
    <col min="8204" max="8204" width="9.5" style="1635" customWidth="1"/>
    <col min="8205" max="8205" width="7.875" style="1635" customWidth="1"/>
    <col min="8206" max="8206" width="6.25" style="1635" customWidth="1"/>
    <col min="8207" max="8207" width="7.875" style="1635" customWidth="1"/>
    <col min="8208" max="8448" width="9" style="1635"/>
    <col min="8449" max="8449" width="33.625" style="1635" customWidth="1"/>
    <col min="8450" max="8452" width="0" style="1635" hidden="1" customWidth="1"/>
    <col min="8453" max="8453" width="7.875" style="1635" customWidth="1"/>
    <col min="8454" max="8455" width="13.875" style="1635" customWidth="1"/>
    <col min="8456" max="8456" width="15.75" style="1635" customWidth="1"/>
    <col min="8457" max="8457" width="9" style="1635" customWidth="1"/>
    <col min="8458" max="8458" width="13.5" style="1635" customWidth="1"/>
    <col min="8459" max="8459" width="10.625" style="1635" customWidth="1"/>
    <col min="8460" max="8460" width="9.5" style="1635" customWidth="1"/>
    <col min="8461" max="8461" width="7.875" style="1635" customWidth="1"/>
    <col min="8462" max="8462" width="6.25" style="1635" customWidth="1"/>
    <col min="8463" max="8463" width="7.875" style="1635" customWidth="1"/>
    <col min="8464" max="8704" width="9" style="1635"/>
    <col min="8705" max="8705" width="33.625" style="1635" customWidth="1"/>
    <col min="8706" max="8708" width="0" style="1635" hidden="1" customWidth="1"/>
    <col min="8709" max="8709" width="7.875" style="1635" customWidth="1"/>
    <col min="8710" max="8711" width="13.875" style="1635" customWidth="1"/>
    <col min="8712" max="8712" width="15.75" style="1635" customWidth="1"/>
    <col min="8713" max="8713" width="9" style="1635" customWidth="1"/>
    <col min="8714" max="8714" width="13.5" style="1635" customWidth="1"/>
    <col min="8715" max="8715" width="10.625" style="1635" customWidth="1"/>
    <col min="8716" max="8716" width="9.5" style="1635" customWidth="1"/>
    <col min="8717" max="8717" width="7.875" style="1635" customWidth="1"/>
    <col min="8718" max="8718" width="6.25" style="1635" customWidth="1"/>
    <col min="8719" max="8719" width="7.875" style="1635" customWidth="1"/>
    <col min="8720" max="8960" width="9" style="1635"/>
    <col min="8961" max="8961" width="33.625" style="1635" customWidth="1"/>
    <col min="8962" max="8964" width="0" style="1635" hidden="1" customWidth="1"/>
    <col min="8965" max="8965" width="7.875" style="1635" customWidth="1"/>
    <col min="8966" max="8967" width="13.875" style="1635" customWidth="1"/>
    <col min="8968" max="8968" width="15.75" style="1635" customWidth="1"/>
    <col min="8969" max="8969" width="9" style="1635" customWidth="1"/>
    <col min="8970" max="8970" width="13.5" style="1635" customWidth="1"/>
    <col min="8971" max="8971" width="10.625" style="1635" customWidth="1"/>
    <col min="8972" max="8972" width="9.5" style="1635" customWidth="1"/>
    <col min="8973" max="8973" width="7.875" style="1635" customWidth="1"/>
    <col min="8974" max="8974" width="6.25" style="1635" customWidth="1"/>
    <col min="8975" max="8975" width="7.875" style="1635" customWidth="1"/>
    <col min="8976" max="9216" width="9" style="1635"/>
    <col min="9217" max="9217" width="33.625" style="1635" customWidth="1"/>
    <col min="9218" max="9220" width="0" style="1635" hidden="1" customWidth="1"/>
    <col min="9221" max="9221" width="7.875" style="1635" customWidth="1"/>
    <col min="9222" max="9223" width="13.875" style="1635" customWidth="1"/>
    <col min="9224" max="9224" width="15.75" style="1635" customWidth="1"/>
    <col min="9225" max="9225" width="9" style="1635" customWidth="1"/>
    <col min="9226" max="9226" width="13.5" style="1635" customWidth="1"/>
    <col min="9227" max="9227" width="10.625" style="1635" customWidth="1"/>
    <col min="9228" max="9228" width="9.5" style="1635" customWidth="1"/>
    <col min="9229" max="9229" width="7.875" style="1635" customWidth="1"/>
    <col min="9230" max="9230" width="6.25" style="1635" customWidth="1"/>
    <col min="9231" max="9231" width="7.875" style="1635" customWidth="1"/>
    <col min="9232" max="9472" width="9" style="1635"/>
    <col min="9473" max="9473" width="33.625" style="1635" customWidth="1"/>
    <col min="9474" max="9476" width="0" style="1635" hidden="1" customWidth="1"/>
    <col min="9477" max="9477" width="7.875" style="1635" customWidth="1"/>
    <col min="9478" max="9479" width="13.875" style="1635" customWidth="1"/>
    <col min="9480" max="9480" width="15.75" style="1635" customWidth="1"/>
    <col min="9481" max="9481" width="9" style="1635" customWidth="1"/>
    <col min="9482" max="9482" width="13.5" style="1635" customWidth="1"/>
    <col min="9483" max="9483" width="10.625" style="1635" customWidth="1"/>
    <col min="9484" max="9484" width="9.5" style="1635" customWidth="1"/>
    <col min="9485" max="9485" width="7.875" style="1635" customWidth="1"/>
    <col min="9486" max="9486" width="6.25" style="1635" customWidth="1"/>
    <col min="9487" max="9487" width="7.875" style="1635" customWidth="1"/>
    <col min="9488" max="9728" width="9" style="1635"/>
    <col min="9729" max="9729" width="33.625" style="1635" customWidth="1"/>
    <col min="9730" max="9732" width="0" style="1635" hidden="1" customWidth="1"/>
    <col min="9733" max="9733" width="7.875" style="1635" customWidth="1"/>
    <col min="9734" max="9735" width="13.875" style="1635" customWidth="1"/>
    <col min="9736" max="9736" width="15.75" style="1635" customWidth="1"/>
    <col min="9737" max="9737" width="9" style="1635" customWidth="1"/>
    <col min="9738" max="9738" width="13.5" style="1635" customWidth="1"/>
    <col min="9739" max="9739" width="10.625" style="1635" customWidth="1"/>
    <col min="9740" max="9740" width="9.5" style="1635" customWidth="1"/>
    <col min="9741" max="9741" width="7.875" style="1635" customWidth="1"/>
    <col min="9742" max="9742" width="6.25" style="1635" customWidth="1"/>
    <col min="9743" max="9743" width="7.875" style="1635" customWidth="1"/>
    <col min="9744" max="9984" width="9" style="1635"/>
    <col min="9985" max="9985" width="33.625" style="1635" customWidth="1"/>
    <col min="9986" max="9988" width="0" style="1635" hidden="1" customWidth="1"/>
    <col min="9989" max="9989" width="7.875" style="1635" customWidth="1"/>
    <col min="9990" max="9991" width="13.875" style="1635" customWidth="1"/>
    <col min="9992" max="9992" width="15.75" style="1635" customWidth="1"/>
    <col min="9993" max="9993" width="9" style="1635" customWidth="1"/>
    <col min="9994" max="9994" width="13.5" style="1635" customWidth="1"/>
    <col min="9995" max="9995" width="10.625" style="1635" customWidth="1"/>
    <col min="9996" max="9996" width="9.5" style="1635" customWidth="1"/>
    <col min="9997" max="9997" width="7.875" style="1635" customWidth="1"/>
    <col min="9998" max="9998" width="6.25" style="1635" customWidth="1"/>
    <col min="9999" max="9999" width="7.875" style="1635" customWidth="1"/>
    <col min="10000" max="10240" width="9" style="1635"/>
    <col min="10241" max="10241" width="33.625" style="1635" customWidth="1"/>
    <col min="10242" max="10244" width="0" style="1635" hidden="1" customWidth="1"/>
    <col min="10245" max="10245" width="7.875" style="1635" customWidth="1"/>
    <col min="10246" max="10247" width="13.875" style="1635" customWidth="1"/>
    <col min="10248" max="10248" width="15.75" style="1635" customWidth="1"/>
    <col min="10249" max="10249" width="9" style="1635" customWidth="1"/>
    <col min="10250" max="10250" width="13.5" style="1635" customWidth="1"/>
    <col min="10251" max="10251" width="10.625" style="1635" customWidth="1"/>
    <col min="10252" max="10252" width="9.5" style="1635" customWidth="1"/>
    <col min="10253" max="10253" width="7.875" style="1635" customWidth="1"/>
    <col min="10254" max="10254" width="6.25" style="1635" customWidth="1"/>
    <col min="10255" max="10255" width="7.875" style="1635" customWidth="1"/>
    <col min="10256" max="10496" width="9" style="1635"/>
    <col min="10497" max="10497" width="33.625" style="1635" customWidth="1"/>
    <col min="10498" max="10500" width="0" style="1635" hidden="1" customWidth="1"/>
    <col min="10501" max="10501" width="7.875" style="1635" customWidth="1"/>
    <col min="10502" max="10503" width="13.875" style="1635" customWidth="1"/>
    <col min="10504" max="10504" width="15.75" style="1635" customWidth="1"/>
    <col min="10505" max="10505" width="9" style="1635" customWidth="1"/>
    <col min="10506" max="10506" width="13.5" style="1635" customWidth="1"/>
    <col min="10507" max="10507" width="10.625" style="1635" customWidth="1"/>
    <col min="10508" max="10508" width="9.5" style="1635" customWidth="1"/>
    <col min="10509" max="10509" width="7.875" style="1635" customWidth="1"/>
    <col min="10510" max="10510" width="6.25" style="1635" customWidth="1"/>
    <col min="10511" max="10511" width="7.875" style="1635" customWidth="1"/>
    <col min="10512" max="10752" width="9" style="1635"/>
    <col min="10753" max="10753" width="33.625" style="1635" customWidth="1"/>
    <col min="10754" max="10756" width="0" style="1635" hidden="1" customWidth="1"/>
    <col min="10757" max="10757" width="7.875" style="1635" customWidth="1"/>
    <col min="10758" max="10759" width="13.875" style="1635" customWidth="1"/>
    <col min="10760" max="10760" width="15.75" style="1635" customWidth="1"/>
    <col min="10761" max="10761" width="9" style="1635" customWidth="1"/>
    <col min="10762" max="10762" width="13.5" style="1635" customWidth="1"/>
    <col min="10763" max="10763" width="10.625" style="1635" customWidth="1"/>
    <col min="10764" max="10764" width="9.5" style="1635" customWidth="1"/>
    <col min="10765" max="10765" width="7.875" style="1635" customWidth="1"/>
    <col min="10766" max="10766" width="6.25" style="1635" customWidth="1"/>
    <col min="10767" max="10767" width="7.875" style="1635" customWidth="1"/>
    <col min="10768" max="11008" width="9" style="1635"/>
    <col min="11009" max="11009" width="33.625" style="1635" customWidth="1"/>
    <col min="11010" max="11012" width="0" style="1635" hidden="1" customWidth="1"/>
    <col min="11013" max="11013" width="7.875" style="1635" customWidth="1"/>
    <col min="11014" max="11015" width="13.875" style="1635" customWidth="1"/>
    <col min="11016" max="11016" width="15.75" style="1635" customWidth="1"/>
    <col min="11017" max="11017" width="9" style="1635" customWidth="1"/>
    <col min="11018" max="11018" width="13.5" style="1635" customWidth="1"/>
    <col min="11019" max="11019" width="10.625" style="1635" customWidth="1"/>
    <col min="11020" max="11020" width="9.5" style="1635" customWidth="1"/>
    <col min="11021" max="11021" width="7.875" style="1635" customWidth="1"/>
    <col min="11022" max="11022" width="6.25" style="1635" customWidth="1"/>
    <col min="11023" max="11023" width="7.875" style="1635" customWidth="1"/>
    <col min="11024" max="11264" width="9" style="1635"/>
    <col min="11265" max="11265" width="33.625" style="1635" customWidth="1"/>
    <col min="11266" max="11268" width="0" style="1635" hidden="1" customWidth="1"/>
    <col min="11269" max="11269" width="7.875" style="1635" customWidth="1"/>
    <col min="11270" max="11271" width="13.875" style="1635" customWidth="1"/>
    <col min="11272" max="11272" width="15.75" style="1635" customWidth="1"/>
    <col min="11273" max="11273" width="9" style="1635" customWidth="1"/>
    <col min="11274" max="11274" width="13.5" style="1635" customWidth="1"/>
    <col min="11275" max="11275" width="10.625" style="1635" customWidth="1"/>
    <col min="11276" max="11276" width="9.5" style="1635" customWidth="1"/>
    <col min="11277" max="11277" width="7.875" style="1635" customWidth="1"/>
    <col min="11278" max="11278" width="6.25" style="1635" customWidth="1"/>
    <col min="11279" max="11279" width="7.875" style="1635" customWidth="1"/>
    <col min="11280" max="11520" width="9" style="1635"/>
    <col min="11521" max="11521" width="33.625" style="1635" customWidth="1"/>
    <col min="11522" max="11524" width="0" style="1635" hidden="1" customWidth="1"/>
    <col min="11525" max="11525" width="7.875" style="1635" customWidth="1"/>
    <col min="11526" max="11527" width="13.875" style="1635" customWidth="1"/>
    <col min="11528" max="11528" width="15.75" style="1635" customWidth="1"/>
    <col min="11529" max="11529" width="9" style="1635" customWidth="1"/>
    <col min="11530" max="11530" width="13.5" style="1635" customWidth="1"/>
    <col min="11531" max="11531" width="10.625" style="1635" customWidth="1"/>
    <col min="11532" max="11532" width="9.5" style="1635" customWidth="1"/>
    <col min="11533" max="11533" width="7.875" style="1635" customWidth="1"/>
    <col min="11534" max="11534" width="6.25" style="1635" customWidth="1"/>
    <col min="11535" max="11535" width="7.875" style="1635" customWidth="1"/>
    <col min="11536" max="11776" width="9" style="1635"/>
    <col min="11777" max="11777" width="33.625" style="1635" customWidth="1"/>
    <col min="11778" max="11780" width="0" style="1635" hidden="1" customWidth="1"/>
    <col min="11781" max="11781" width="7.875" style="1635" customWidth="1"/>
    <col min="11782" max="11783" width="13.875" style="1635" customWidth="1"/>
    <col min="11784" max="11784" width="15.75" style="1635" customWidth="1"/>
    <col min="11785" max="11785" width="9" style="1635" customWidth="1"/>
    <col min="11786" max="11786" width="13.5" style="1635" customWidth="1"/>
    <col min="11787" max="11787" width="10.625" style="1635" customWidth="1"/>
    <col min="11788" max="11788" width="9.5" style="1635" customWidth="1"/>
    <col min="11789" max="11789" width="7.875" style="1635" customWidth="1"/>
    <col min="11790" max="11790" width="6.25" style="1635" customWidth="1"/>
    <col min="11791" max="11791" width="7.875" style="1635" customWidth="1"/>
    <col min="11792" max="12032" width="9" style="1635"/>
    <col min="12033" max="12033" width="33.625" style="1635" customWidth="1"/>
    <col min="12034" max="12036" width="0" style="1635" hidden="1" customWidth="1"/>
    <col min="12037" max="12037" width="7.875" style="1635" customWidth="1"/>
    <col min="12038" max="12039" width="13.875" style="1635" customWidth="1"/>
    <col min="12040" max="12040" width="15.75" style="1635" customWidth="1"/>
    <col min="12041" max="12041" width="9" style="1635" customWidth="1"/>
    <col min="12042" max="12042" width="13.5" style="1635" customWidth="1"/>
    <col min="12043" max="12043" width="10.625" style="1635" customWidth="1"/>
    <col min="12044" max="12044" width="9.5" style="1635" customWidth="1"/>
    <col min="12045" max="12045" width="7.875" style="1635" customWidth="1"/>
    <col min="12046" max="12046" width="6.25" style="1635" customWidth="1"/>
    <col min="12047" max="12047" width="7.875" style="1635" customWidth="1"/>
    <col min="12048" max="12288" width="9" style="1635"/>
    <col min="12289" max="12289" width="33.625" style="1635" customWidth="1"/>
    <col min="12290" max="12292" width="0" style="1635" hidden="1" customWidth="1"/>
    <col min="12293" max="12293" width="7.875" style="1635" customWidth="1"/>
    <col min="12294" max="12295" width="13.875" style="1635" customWidth="1"/>
    <col min="12296" max="12296" width="15.75" style="1635" customWidth="1"/>
    <col min="12297" max="12297" width="9" style="1635" customWidth="1"/>
    <col min="12298" max="12298" width="13.5" style="1635" customWidth="1"/>
    <col min="12299" max="12299" width="10.625" style="1635" customWidth="1"/>
    <col min="12300" max="12300" width="9.5" style="1635" customWidth="1"/>
    <col min="12301" max="12301" width="7.875" style="1635" customWidth="1"/>
    <col min="12302" max="12302" width="6.25" style="1635" customWidth="1"/>
    <col min="12303" max="12303" width="7.875" style="1635" customWidth="1"/>
    <col min="12304" max="12544" width="9" style="1635"/>
    <col min="12545" max="12545" width="33.625" style="1635" customWidth="1"/>
    <col min="12546" max="12548" width="0" style="1635" hidden="1" customWidth="1"/>
    <col min="12549" max="12549" width="7.875" style="1635" customWidth="1"/>
    <col min="12550" max="12551" width="13.875" style="1635" customWidth="1"/>
    <col min="12552" max="12552" width="15.75" style="1635" customWidth="1"/>
    <col min="12553" max="12553" width="9" style="1635" customWidth="1"/>
    <col min="12554" max="12554" width="13.5" style="1635" customWidth="1"/>
    <col min="12555" max="12555" width="10.625" style="1635" customWidth="1"/>
    <col min="12556" max="12556" width="9.5" style="1635" customWidth="1"/>
    <col min="12557" max="12557" width="7.875" style="1635" customWidth="1"/>
    <col min="12558" max="12558" width="6.25" style="1635" customWidth="1"/>
    <col min="12559" max="12559" width="7.875" style="1635" customWidth="1"/>
    <col min="12560" max="12800" width="9" style="1635"/>
    <col min="12801" max="12801" width="33.625" style="1635" customWidth="1"/>
    <col min="12802" max="12804" width="0" style="1635" hidden="1" customWidth="1"/>
    <col min="12805" max="12805" width="7.875" style="1635" customWidth="1"/>
    <col min="12806" max="12807" width="13.875" style="1635" customWidth="1"/>
    <col min="12808" max="12808" width="15.75" style="1635" customWidth="1"/>
    <col min="12809" max="12809" width="9" style="1635" customWidth="1"/>
    <col min="12810" max="12810" width="13.5" style="1635" customWidth="1"/>
    <col min="12811" max="12811" width="10.625" style="1635" customWidth="1"/>
    <col min="12812" max="12812" width="9.5" style="1635" customWidth="1"/>
    <col min="12813" max="12813" width="7.875" style="1635" customWidth="1"/>
    <col min="12814" max="12814" width="6.25" style="1635" customWidth="1"/>
    <col min="12815" max="12815" width="7.875" style="1635" customWidth="1"/>
    <col min="12816" max="13056" width="9" style="1635"/>
    <col min="13057" max="13057" width="33.625" style="1635" customWidth="1"/>
    <col min="13058" max="13060" width="0" style="1635" hidden="1" customWidth="1"/>
    <col min="13061" max="13061" width="7.875" style="1635" customWidth="1"/>
    <col min="13062" max="13063" width="13.875" style="1635" customWidth="1"/>
    <col min="13064" max="13064" width="15.75" style="1635" customWidth="1"/>
    <col min="13065" max="13065" width="9" style="1635" customWidth="1"/>
    <col min="13066" max="13066" width="13.5" style="1635" customWidth="1"/>
    <col min="13067" max="13067" width="10.625" style="1635" customWidth="1"/>
    <col min="13068" max="13068" width="9.5" style="1635" customWidth="1"/>
    <col min="13069" max="13069" width="7.875" style="1635" customWidth="1"/>
    <col min="13070" max="13070" width="6.25" style="1635" customWidth="1"/>
    <col min="13071" max="13071" width="7.875" style="1635" customWidth="1"/>
    <col min="13072" max="13312" width="9" style="1635"/>
    <col min="13313" max="13313" width="33.625" style="1635" customWidth="1"/>
    <col min="13314" max="13316" width="0" style="1635" hidden="1" customWidth="1"/>
    <col min="13317" max="13317" width="7.875" style="1635" customWidth="1"/>
    <col min="13318" max="13319" width="13.875" style="1635" customWidth="1"/>
    <col min="13320" max="13320" width="15.75" style="1635" customWidth="1"/>
    <col min="13321" max="13321" width="9" style="1635" customWidth="1"/>
    <col min="13322" max="13322" width="13.5" style="1635" customWidth="1"/>
    <col min="13323" max="13323" width="10.625" style="1635" customWidth="1"/>
    <col min="13324" max="13324" width="9.5" style="1635" customWidth="1"/>
    <col min="13325" max="13325" width="7.875" style="1635" customWidth="1"/>
    <col min="13326" max="13326" width="6.25" style="1635" customWidth="1"/>
    <col min="13327" max="13327" width="7.875" style="1635" customWidth="1"/>
    <col min="13328" max="13568" width="9" style="1635"/>
    <col min="13569" max="13569" width="33.625" style="1635" customWidth="1"/>
    <col min="13570" max="13572" width="0" style="1635" hidden="1" customWidth="1"/>
    <col min="13573" max="13573" width="7.875" style="1635" customWidth="1"/>
    <col min="13574" max="13575" width="13.875" style="1635" customWidth="1"/>
    <col min="13576" max="13576" width="15.75" style="1635" customWidth="1"/>
    <col min="13577" max="13577" width="9" style="1635" customWidth="1"/>
    <col min="13578" max="13578" width="13.5" style="1635" customWidth="1"/>
    <col min="13579" max="13579" width="10.625" style="1635" customWidth="1"/>
    <col min="13580" max="13580" width="9.5" style="1635" customWidth="1"/>
    <col min="13581" max="13581" width="7.875" style="1635" customWidth="1"/>
    <col min="13582" max="13582" width="6.25" style="1635" customWidth="1"/>
    <col min="13583" max="13583" width="7.875" style="1635" customWidth="1"/>
    <col min="13584" max="13824" width="9" style="1635"/>
    <col min="13825" max="13825" width="33.625" style="1635" customWidth="1"/>
    <col min="13826" max="13828" width="0" style="1635" hidden="1" customWidth="1"/>
    <col min="13829" max="13829" width="7.875" style="1635" customWidth="1"/>
    <col min="13830" max="13831" width="13.875" style="1635" customWidth="1"/>
    <col min="13832" max="13832" width="15.75" style="1635" customWidth="1"/>
    <col min="13833" max="13833" width="9" style="1635" customWidth="1"/>
    <col min="13834" max="13834" width="13.5" style="1635" customWidth="1"/>
    <col min="13835" max="13835" width="10.625" style="1635" customWidth="1"/>
    <col min="13836" max="13836" width="9.5" style="1635" customWidth="1"/>
    <col min="13837" max="13837" width="7.875" style="1635" customWidth="1"/>
    <col min="13838" max="13838" width="6.25" style="1635" customWidth="1"/>
    <col min="13839" max="13839" width="7.875" style="1635" customWidth="1"/>
    <col min="13840" max="14080" width="9" style="1635"/>
    <col min="14081" max="14081" width="33.625" style="1635" customWidth="1"/>
    <col min="14082" max="14084" width="0" style="1635" hidden="1" customWidth="1"/>
    <col min="14085" max="14085" width="7.875" style="1635" customWidth="1"/>
    <col min="14086" max="14087" width="13.875" style="1635" customWidth="1"/>
    <col min="14088" max="14088" width="15.75" style="1635" customWidth="1"/>
    <col min="14089" max="14089" width="9" style="1635" customWidth="1"/>
    <col min="14090" max="14090" width="13.5" style="1635" customWidth="1"/>
    <col min="14091" max="14091" width="10.625" style="1635" customWidth="1"/>
    <col min="14092" max="14092" width="9.5" style="1635" customWidth="1"/>
    <col min="14093" max="14093" width="7.875" style="1635" customWidth="1"/>
    <col min="14094" max="14094" width="6.25" style="1635" customWidth="1"/>
    <col min="14095" max="14095" width="7.875" style="1635" customWidth="1"/>
    <col min="14096" max="14336" width="9" style="1635"/>
    <col min="14337" max="14337" width="33.625" style="1635" customWidth="1"/>
    <col min="14338" max="14340" width="0" style="1635" hidden="1" customWidth="1"/>
    <col min="14341" max="14341" width="7.875" style="1635" customWidth="1"/>
    <col min="14342" max="14343" width="13.875" style="1635" customWidth="1"/>
    <col min="14344" max="14344" width="15.75" style="1635" customWidth="1"/>
    <col min="14345" max="14345" width="9" style="1635" customWidth="1"/>
    <col min="14346" max="14346" width="13.5" style="1635" customWidth="1"/>
    <col min="14347" max="14347" width="10.625" style="1635" customWidth="1"/>
    <col min="14348" max="14348" width="9.5" style="1635" customWidth="1"/>
    <col min="14349" max="14349" width="7.875" style="1635" customWidth="1"/>
    <col min="14350" max="14350" width="6.25" style="1635" customWidth="1"/>
    <col min="14351" max="14351" width="7.875" style="1635" customWidth="1"/>
    <col min="14352" max="14592" width="9" style="1635"/>
    <col min="14593" max="14593" width="33.625" style="1635" customWidth="1"/>
    <col min="14594" max="14596" width="0" style="1635" hidden="1" customWidth="1"/>
    <col min="14597" max="14597" width="7.875" style="1635" customWidth="1"/>
    <col min="14598" max="14599" width="13.875" style="1635" customWidth="1"/>
    <col min="14600" max="14600" width="15.75" style="1635" customWidth="1"/>
    <col min="14601" max="14601" width="9" style="1635" customWidth="1"/>
    <col min="14602" max="14602" width="13.5" style="1635" customWidth="1"/>
    <col min="14603" max="14603" width="10.625" style="1635" customWidth="1"/>
    <col min="14604" max="14604" width="9.5" style="1635" customWidth="1"/>
    <col min="14605" max="14605" width="7.875" style="1635" customWidth="1"/>
    <col min="14606" max="14606" width="6.25" style="1635" customWidth="1"/>
    <col min="14607" max="14607" width="7.875" style="1635" customWidth="1"/>
    <col min="14608" max="14848" width="9" style="1635"/>
    <col min="14849" max="14849" width="33.625" style="1635" customWidth="1"/>
    <col min="14850" max="14852" width="0" style="1635" hidden="1" customWidth="1"/>
    <col min="14853" max="14853" width="7.875" style="1635" customWidth="1"/>
    <col min="14854" max="14855" width="13.875" style="1635" customWidth="1"/>
    <col min="14856" max="14856" width="15.75" style="1635" customWidth="1"/>
    <col min="14857" max="14857" width="9" style="1635" customWidth="1"/>
    <col min="14858" max="14858" width="13.5" style="1635" customWidth="1"/>
    <col min="14859" max="14859" width="10.625" style="1635" customWidth="1"/>
    <col min="14860" max="14860" width="9.5" style="1635" customWidth="1"/>
    <col min="14861" max="14861" width="7.875" style="1635" customWidth="1"/>
    <col min="14862" max="14862" width="6.25" style="1635" customWidth="1"/>
    <col min="14863" max="14863" width="7.875" style="1635" customWidth="1"/>
    <col min="14864" max="15104" width="9" style="1635"/>
    <col min="15105" max="15105" width="33.625" style="1635" customWidth="1"/>
    <col min="15106" max="15108" width="0" style="1635" hidden="1" customWidth="1"/>
    <col min="15109" max="15109" width="7.875" style="1635" customWidth="1"/>
    <col min="15110" max="15111" width="13.875" style="1635" customWidth="1"/>
    <col min="15112" max="15112" width="15.75" style="1635" customWidth="1"/>
    <col min="15113" max="15113" width="9" style="1635" customWidth="1"/>
    <col min="15114" max="15114" width="13.5" style="1635" customWidth="1"/>
    <col min="15115" max="15115" width="10.625" style="1635" customWidth="1"/>
    <col min="15116" max="15116" width="9.5" style="1635" customWidth="1"/>
    <col min="15117" max="15117" width="7.875" style="1635" customWidth="1"/>
    <col min="15118" max="15118" width="6.25" style="1635" customWidth="1"/>
    <col min="15119" max="15119" width="7.875" style="1635" customWidth="1"/>
    <col min="15120" max="15360" width="9" style="1635"/>
    <col min="15361" max="15361" width="33.625" style="1635" customWidth="1"/>
    <col min="15362" max="15364" width="0" style="1635" hidden="1" customWidth="1"/>
    <col min="15365" max="15365" width="7.875" style="1635" customWidth="1"/>
    <col min="15366" max="15367" width="13.875" style="1635" customWidth="1"/>
    <col min="15368" max="15368" width="15.75" style="1635" customWidth="1"/>
    <col min="15369" max="15369" width="9" style="1635" customWidth="1"/>
    <col min="15370" max="15370" width="13.5" style="1635" customWidth="1"/>
    <col min="15371" max="15371" width="10.625" style="1635" customWidth="1"/>
    <col min="15372" max="15372" width="9.5" style="1635" customWidth="1"/>
    <col min="15373" max="15373" width="7.875" style="1635" customWidth="1"/>
    <col min="15374" max="15374" width="6.25" style="1635" customWidth="1"/>
    <col min="15375" max="15375" width="7.875" style="1635" customWidth="1"/>
    <col min="15376" max="15616" width="9" style="1635"/>
    <col min="15617" max="15617" width="33.625" style="1635" customWidth="1"/>
    <col min="15618" max="15620" width="0" style="1635" hidden="1" customWidth="1"/>
    <col min="15621" max="15621" width="7.875" style="1635" customWidth="1"/>
    <col min="15622" max="15623" width="13.875" style="1635" customWidth="1"/>
    <col min="15624" max="15624" width="15.75" style="1635" customWidth="1"/>
    <col min="15625" max="15625" width="9" style="1635" customWidth="1"/>
    <col min="15626" max="15626" width="13.5" style="1635" customWidth="1"/>
    <col min="15627" max="15627" width="10.625" style="1635" customWidth="1"/>
    <col min="15628" max="15628" width="9.5" style="1635" customWidth="1"/>
    <col min="15629" max="15629" width="7.875" style="1635" customWidth="1"/>
    <col min="15630" max="15630" width="6.25" style="1635" customWidth="1"/>
    <col min="15631" max="15631" width="7.875" style="1635" customWidth="1"/>
    <col min="15632" max="15872" width="9" style="1635"/>
    <col min="15873" max="15873" width="33.625" style="1635" customWidth="1"/>
    <col min="15874" max="15876" width="0" style="1635" hidden="1" customWidth="1"/>
    <col min="15877" max="15877" width="7.875" style="1635" customWidth="1"/>
    <col min="15878" max="15879" width="13.875" style="1635" customWidth="1"/>
    <col min="15880" max="15880" width="15.75" style="1635" customWidth="1"/>
    <col min="15881" max="15881" width="9" style="1635" customWidth="1"/>
    <col min="15882" max="15882" width="13.5" style="1635" customWidth="1"/>
    <col min="15883" max="15883" width="10.625" style="1635" customWidth="1"/>
    <col min="15884" max="15884" width="9.5" style="1635" customWidth="1"/>
    <col min="15885" max="15885" width="7.875" style="1635" customWidth="1"/>
    <col min="15886" max="15886" width="6.25" style="1635" customWidth="1"/>
    <col min="15887" max="15887" width="7.875" style="1635" customWidth="1"/>
    <col min="15888" max="16128" width="9" style="1635"/>
    <col min="16129" max="16129" width="33.625" style="1635" customWidth="1"/>
    <col min="16130" max="16132" width="0" style="1635" hidden="1" customWidth="1"/>
    <col min="16133" max="16133" width="7.875" style="1635" customWidth="1"/>
    <col min="16134" max="16135" width="13.875" style="1635" customWidth="1"/>
    <col min="16136" max="16136" width="15.75" style="1635" customWidth="1"/>
    <col min="16137" max="16137" width="9" style="1635" customWidth="1"/>
    <col min="16138" max="16138" width="13.5" style="1635" customWidth="1"/>
    <col min="16139" max="16139" width="10.625" style="1635" customWidth="1"/>
    <col min="16140" max="16140" width="9.5" style="1635" customWidth="1"/>
    <col min="16141" max="16141" width="7.875" style="1635" customWidth="1"/>
    <col min="16142" max="16142" width="6.25" style="1635" customWidth="1"/>
    <col min="16143" max="16143" width="7.875" style="1635" customWidth="1"/>
    <col min="16144" max="16384" width="9" style="1635"/>
  </cols>
  <sheetData>
    <row r="1" spans="1:16">
      <c r="A1" s="1635" t="s">
        <v>3132</v>
      </c>
      <c r="B1" s="1635" t="s">
        <v>3098</v>
      </c>
      <c r="C1" s="1635" t="s">
        <v>3099</v>
      </c>
      <c r="D1" s="1635" t="s">
        <v>3100</v>
      </c>
      <c r="E1" s="1635" t="s">
        <v>3133</v>
      </c>
      <c r="F1" s="1635" t="s">
        <v>3101</v>
      </c>
      <c r="G1" s="1635" t="s">
        <v>3102</v>
      </c>
      <c r="H1" s="2962" t="s">
        <v>3103</v>
      </c>
      <c r="I1" s="1635" t="s">
        <v>3104</v>
      </c>
      <c r="J1" s="1635" t="s">
        <v>3105</v>
      </c>
      <c r="K1" s="1635" t="s">
        <v>3106</v>
      </c>
      <c r="L1" s="1635" t="s">
        <v>3107</v>
      </c>
      <c r="M1" s="1635" t="s">
        <v>3108</v>
      </c>
      <c r="N1" s="1635" t="s">
        <v>3109</v>
      </c>
      <c r="O1" s="1635" t="s">
        <v>3134</v>
      </c>
      <c r="P1" s="2963" t="s">
        <v>3196</v>
      </c>
    </row>
    <row r="2" spans="1:16" s="2964" customFormat="1" ht="12.75">
      <c r="A2" s="2964" t="s">
        <v>3135</v>
      </c>
      <c r="B2" s="2964" t="s">
        <v>3110</v>
      </c>
      <c r="C2" s="2964" t="s">
        <v>3111</v>
      </c>
      <c r="D2" s="2964" t="s">
        <v>3136</v>
      </c>
      <c r="E2" s="2964" t="s">
        <v>3111</v>
      </c>
      <c r="F2" s="2964">
        <v>13333.4</v>
      </c>
      <c r="G2" s="2964">
        <v>33333.5</v>
      </c>
      <c r="H2" s="2965" t="s">
        <v>3137</v>
      </c>
      <c r="I2" s="2964" t="s">
        <v>3138</v>
      </c>
      <c r="J2" s="2964" t="s">
        <v>3139</v>
      </c>
      <c r="K2" s="2964">
        <v>930</v>
      </c>
      <c r="L2" s="2964">
        <v>46.5</v>
      </c>
      <c r="M2" s="2964">
        <v>279</v>
      </c>
      <c r="N2" s="2964">
        <v>8.14</v>
      </c>
      <c r="O2" s="2964" t="s">
        <v>3140</v>
      </c>
      <c r="P2" s="2964">
        <f>ROUND(K2/F2*10000,0)</f>
        <v>697</v>
      </c>
    </row>
    <row r="3" spans="1:16" s="2964" customFormat="1" ht="12.75">
      <c r="A3" s="2964" t="s">
        <v>3197</v>
      </c>
      <c r="B3" s="2964" t="s">
        <v>3110</v>
      </c>
      <c r="C3" s="2964" t="s">
        <v>3111</v>
      </c>
      <c r="D3" s="2964" t="s">
        <v>3136</v>
      </c>
      <c r="E3" s="2964" t="s">
        <v>3111</v>
      </c>
      <c r="F3" s="2964">
        <v>33731.94</v>
      </c>
      <c r="G3" s="2964">
        <v>67463.88</v>
      </c>
      <c r="H3" s="2965" t="s">
        <v>3141</v>
      </c>
      <c r="I3" s="2964" t="s">
        <v>3142</v>
      </c>
      <c r="J3" s="2964" t="s">
        <v>3143</v>
      </c>
      <c r="K3" s="2964">
        <v>2630</v>
      </c>
      <c r="L3" s="2964">
        <v>51.98</v>
      </c>
      <c r="M3" s="2964">
        <v>389.83</v>
      </c>
      <c r="N3" s="2964">
        <v>3.95</v>
      </c>
      <c r="O3" s="2964" t="s">
        <v>3140</v>
      </c>
      <c r="P3" s="2964">
        <f t="shared" ref="P3:P51" si="0">ROUND(K3/F3*10000,0)</f>
        <v>780</v>
      </c>
    </row>
    <row r="4" spans="1:16" ht="14.25">
      <c r="A4" s="2966" t="s">
        <v>3198</v>
      </c>
      <c r="B4" s="1635" t="s">
        <v>3110</v>
      </c>
      <c r="C4" s="1635" t="s">
        <v>3111</v>
      </c>
      <c r="D4" s="1635" t="s">
        <v>3136</v>
      </c>
      <c r="E4" s="1635" t="s">
        <v>3144</v>
      </c>
      <c r="F4" s="1635">
        <v>24352.5</v>
      </c>
      <c r="G4" s="1635">
        <v>60881.25</v>
      </c>
      <c r="H4" s="2962" t="s">
        <v>3137</v>
      </c>
      <c r="I4" s="1635" t="s">
        <v>3145</v>
      </c>
      <c r="J4" s="1635" t="s">
        <v>3146</v>
      </c>
      <c r="K4" s="1635">
        <v>2200</v>
      </c>
      <c r="L4" s="1635">
        <v>60.23</v>
      </c>
      <c r="M4" s="1635">
        <v>361.36</v>
      </c>
      <c r="N4" s="1635">
        <v>5.26</v>
      </c>
      <c r="O4" s="1635" t="s">
        <v>3140</v>
      </c>
      <c r="P4" s="1635">
        <f t="shared" si="0"/>
        <v>903</v>
      </c>
    </row>
    <row r="5" spans="1:16" s="2967" customFormat="1" ht="15" customHeight="1">
      <c r="A5" s="2967" t="s">
        <v>3199</v>
      </c>
      <c r="B5" s="2967" t="s">
        <v>3110</v>
      </c>
      <c r="C5" s="2967" t="s">
        <v>3111</v>
      </c>
      <c r="D5" s="2967" t="s">
        <v>3136</v>
      </c>
      <c r="E5" s="2967" t="s">
        <v>3111</v>
      </c>
      <c r="F5" s="2967">
        <v>7334.02</v>
      </c>
      <c r="G5" s="2967">
        <v>8800.82</v>
      </c>
      <c r="H5" s="2968" t="s">
        <v>3147</v>
      </c>
      <c r="I5" s="2967" t="s">
        <v>3145</v>
      </c>
      <c r="J5" s="2967" t="s">
        <v>3148</v>
      </c>
      <c r="K5" s="2967">
        <v>500</v>
      </c>
      <c r="L5" s="2967">
        <v>45.45</v>
      </c>
      <c r="M5" s="2967">
        <v>568.12</v>
      </c>
      <c r="N5" s="2967">
        <v>6.38</v>
      </c>
      <c r="O5" s="2967" t="s">
        <v>3140</v>
      </c>
      <c r="P5" s="2967">
        <f t="shared" si="0"/>
        <v>682</v>
      </c>
    </row>
    <row r="6" spans="1:16" s="2967" customFormat="1" ht="12.75">
      <c r="A6" s="2967" t="s">
        <v>3200</v>
      </c>
      <c r="B6" s="2967" t="s">
        <v>3110</v>
      </c>
      <c r="C6" s="2967" t="s">
        <v>3111</v>
      </c>
      <c r="D6" s="2967" t="s">
        <v>3136</v>
      </c>
      <c r="E6" s="2967" t="s">
        <v>3111</v>
      </c>
      <c r="F6" s="2967">
        <v>87485.42</v>
      </c>
      <c r="G6" s="2967">
        <v>104982.5</v>
      </c>
      <c r="H6" s="2968" t="s">
        <v>3147</v>
      </c>
      <c r="I6" s="2967" t="s">
        <v>3149</v>
      </c>
      <c r="J6" s="2967" t="s">
        <v>3150</v>
      </c>
      <c r="K6" s="2967">
        <v>6020</v>
      </c>
      <c r="L6" s="2967">
        <v>45.87</v>
      </c>
      <c r="M6" s="2967">
        <v>573.41999999999996</v>
      </c>
      <c r="N6" s="2967">
        <v>9.06</v>
      </c>
      <c r="O6" s="2967" t="s">
        <v>3140</v>
      </c>
      <c r="P6" s="2967">
        <f t="shared" si="0"/>
        <v>688</v>
      </c>
    </row>
    <row r="7" spans="1:16" s="2967" customFormat="1" ht="12.75">
      <c r="A7" s="2967" t="s">
        <v>3201</v>
      </c>
      <c r="B7" s="2967" t="s">
        <v>3110</v>
      </c>
      <c r="C7" s="2967" t="s">
        <v>3111</v>
      </c>
      <c r="D7" s="2967" t="s">
        <v>3136</v>
      </c>
      <c r="E7" s="2967" t="s">
        <v>3111</v>
      </c>
      <c r="F7" s="2967">
        <v>288307.5</v>
      </c>
      <c r="G7" s="2967">
        <v>345969</v>
      </c>
      <c r="H7" s="2968" t="s">
        <v>3151</v>
      </c>
      <c r="I7" s="2967" t="s">
        <v>3152</v>
      </c>
      <c r="J7" s="2967" t="s">
        <v>3153</v>
      </c>
      <c r="K7" s="2967">
        <v>19240</v>
      </c>
      <c r="L7" s="2967">
        <v>44.49</v>
      </c>
      <c r="M7" s="2967">
        <v>556.12</v>
      </c>
      <c r="N7" s="2967">
        <v>8.4600000000000009</v>
      </c>
      <c r="O7" s="2967" t="s">
        <v>3140</v>
      </c>
      <c r="P7" s="2967">
        <f t="shared" si="0"/>
        <v>667</v>
      </c>
    </row>
    <row r="8" spans="1:16">
      <c r="A8" s="1635" t="s">
        <v>3154</v>
      </c>
      <c r="B8" s="1635" t="s">
        <v>3110</v>
      </c>
      <c r="C8" s="1635" t="s">
        <v>3111</v>
      </c>
      <c r="D8" s="1635" t="s">
        <v>3136</v>
      </c>
      <c r="E8" s="1635" t="s">
        <v>3155</v>
      </c>
      <c r="F8" s="1635">
        <v>23561.74</v>
      </c>
      <c r="G8" s="1635">
        <v>35342.61</v>
      </c>
      <c r="H8" s="2962" t="s">
        <v>3156</v>
      </c>
      <c r="I8" s="1635" t="s">
        <v>3152</v>
      </c>
      <c r="J8" s="1635" t="s">
        <v>3157</v>
      </c>
      <c r="K8" s="1635">
        <v>1570</v>
      </c>
      <c r="L8" s="1635">
        <v>44.42</v>
      </c>
      <c r="M8" s="1635">
        <v>444.22</v>
      </c>
      <c r="N8" s="1635">
        <v>8.2799999999999994</v>
      </c>
      <c r="O8" s="1635" t="s">
        <v>3140</v>
      </c>
      <c r="P8" s="1635">
        <f t="shared" si="0"/>
        <v>666</v>
      </c>
    </row>
    <row r="9" spans="1:16">
      <c r="A9" s="1635" t="s">
        <v>3158</v>
      </c>
      <c r="B9" s="1635" t="s">
        <v>3110</v>
      </c>
      <c r="C9" s="1635" t="s">
        <v>3111</v>
      </c>
      <c r="D9" s="1635" t="s">
        <v>3136</v>
      </c>
      <c r="E9" s="1635" t="s">
        <v>3144</v>
      </c>
      <c r="F9" s="1635">
        <v>207294</v>
      </c>
      <c r="G9" s="1635">
        <v>518234.9</v>
      </c>
      <c r="H9" s="2962" t="s">
        <v>3137</v>
      </c>
      <c r="I9" s="1635" t="s">
        <v>3159</v>
      </c>
      <c r="J9" s="1635" t="s">
        <v>3160</v>
      </c>
      <c r="K9" s="1635">
        <v>17060</v>
      </c>
      <c r="L9" s="1635">
        <v>54.87</v>
      </c>
      <c r="M9" s="1635">
        <v>329.18</v>
      </c>
      <c r="N9" s="1635">
        <v>7.57</v>
      </c>
      <c r="O9" s="1635" t="s">
        <v>3140</v>
      </c>
      <c r="P9" s="1635">
        <f t="shared" si="0"/>
        <v>823</v>
      </c>
    </row>
    <row r="10" spans="1:16">
      <c r="A10" s="1635" t="s">
        <v>3161</v>
      </c>
      <c r="B10" s="1635" t="s">
        <v>3110</v>
      </c>
      <c r="C10" s="1635" t="s">
        <v>3111</v>
      </c>
      <c r="D10" s="1635" t="s">
        <v>3136</v>
      </c>
      <c r="E10" s="1635" t="s">
        <v>3111</v>
      </c>
      <c r="F10" s="1635">
        <v>20522.28</v>
      </c>
      <c r="G10" s="1635">
        <v>20522.28</v>
      </c>
      <c r="H10" s="2962" t="s">
        <v>3112</v>
      </c>
      <c r="I10" s="1635" t="s">
        <v>3162</v>
      </c>
      <c r="J10" s="1635" t="s">
        <v>3163</v>
      </c>
      <c r="K10" s="1635">
        <v>1430</v>
      </c>
      <c r="L10" s="1635">
        <v>46.45</v>
      </c>
      <c r="M10" s="1635">
        <v>696.79</v>
      </c>
      <c r="N10" s="1635">
        <v>7.52</v>
      </c>
      <c r="O10" s="1635" t="s">
        <v>3140</v>
      </c>
      <c r="P10" s="1635">
        <f t="shared" si="0"/>
        <v>697</v>
      </c>
    </row>
    <row r="11" spans="1:16">
      <c r="A11" s="1635" t="s">
        <v>3164</v>
      </c>
      <c r="B11" s="1635" t="s">
        <v>3110</v>
      </c>
      <c r="C11" s="1635" t="s">
        <v>3111</v>
      </c>
      <c r="D11" s="1635" t="s">
        <v>3136</v>
      </c>
      <c r="E11" s="1635" t="s">
        <v>3111</v>
      </c>
      <c r="F11" s="1635">
        <v>12404.69</v>
      </c>
      <c r="G11" s="1635">
        <v>18607.04</v>
      </c>
      <c r="H11" s="2962" t="s">
        <v>3165</v>
      </c>
      <c r="I11" s="1635" t="s">
        <v>3166</v>
      </c>
      <c r="J11" s="1635" t="s">
        <v>3167</v>
      </c>
      <c r="K11" s="1635">
        <v>805</v>
      </c>
      <c r="L11" s="1635">
        <v>43.26</v>
      </c>
      <c r="M11" s="1635">
        <v>432.62</v>
      </c>
      <c r="N11" s="1635">
        <v>8.0500000000000007</v>
      </c>
      <c r="O11" s="1635" t="s">
        <v>3140</v>
      </c>
      <c r="P11" s="1635">
        <f t="shared" si="0"/>
        <v>649</v>
      </c>
    </row>
    <row r="12" spans="1:16">
      <c r="A12" s="1635" t="s">
        <v>3168</v>
      </c>
      <c r="B12" s="1635" t="s">
        <v>3110</v>
      </c>
      <c r="C12" s="1635" t="s">
        <v>3111</v>
      </c>
      <c r="D12" s="1635" t="s">
        <v>3136</v>
      </c>
      <c r="E12" s="1635" t="s">
        <v>3111</v>
      </c>
      <c r="F12" s="1635">
        <v>97921.7</v>
      </c>
      <c r="G12" s="1635">
        <v>117506</v>
      </c>
      <c r="H12" s="2962" t="s">
        <v>3151</v>
      </c>
      <c r="I12" s="1635" t="s">
        <v>3169</v>
      </c>
      <c r="J12" s="1635" t="s">
        <v>3170</v>
      </c>
      <c r="K12" s="1635">
        <v>5930</v>
      </c>
      <c r="L12" s="1635">
        <v>40.369999999999997</v>
      </c>
      <c r="M12" s="1635">
        <v>504.66</v>
      </c>
      <c r="N12" s="1635">
        <v>3.49</v>
      </c>
      <c r="O12" s="1635" t="s">
        <v>3140</v>
      </c>
      <c r="P12" s="1635">
        <f t="shared" si="0"/>
        <v>606</v>
      </c>
    </row>
    <row r="13" spans="1:16">
      <c r="A13" s="1635" t="s">
        <v>3171</v>
      </c>
      <c r="B13" s="1635" t="s">
        <v>3110</v>
      </c>
      <c r="C13" s="1635" t="s">
        <v>3111</v>
      </c>
      <c r="D13" s="1635" t="s">
        <v>3136</v>
      </c>
      <c r="E13" s="1635" t="s">
        <v>3111</v>
      </c>
      <c r="F13" s="1635">
        <v>21818.6</v>
      </c>
      <c r="G13" s="1635">
        <v>26182.32</v>
      </c>
      <c r="H13" s="2962" t="s">
        <v>3151</v>
      </c>
      <c r="I13" s="1635" t="s">
        <v>3169</v>
      </c>
      <c r="J13" s="1635" t="s">
        <v>3172</v>
      </c>
      <c r="K13" s="1635">
        <v>1320</v>
      </c>
      <c r="L13" s="1635">
        <v>40.33</v>
      </c>
      <c r="M13" s="1635">
        <v>504.16</v>
      </c>
      <c r="N13" s="1635">
        <v>3.13</v>
      </c>
      <c r="O13" s="1635" t="s">
        <v>3140</v>
      </c>
      <c r="P13" s="1635">
        <f t="shared" si="0"/>
        <v>605</v>
      </c>
    </row>
    <row r="14" spans="1:16">
      <c r="A14" s="1635" t="s">
        <v>3173</v>
      </c>
      <c r="B14" s="1635" t="s">
        <v>3110</v>
      </c>
      <c r="C14" s="1635" t="s">
        <v>3111</v>
      </c>
      <c r="D14" s="1635" t="s">
        <v>3136</v>
      </c>
      <c r="E14" s="1635" t="s">
        <v>3111</v>
      </c>
      <c r="F14" s="1635">
        <v>65065.83</v>
      </c>
      <c r="G14" s="1635">
        <v>97598.74</v>
      </c>
      <c r="H14" s="2962" t="s">
        <v>3165</v>
      </c>
      <c r="I14" s="1635" t="s">
        <v>3174</v>
      </c>
      <c r="J14" s="1635" t="s">
        <v>3175</v>
      </c>
      <c r="K14" s="1635">
        <v>4050</v>
      </c>
      <c r="L14" s="1635">
        <v>41.5</v>
      </c>
      <c r="M14" s="1635">
        <v>414.95</v>
      </c>
      <c r="N14" s="1635">
        <v>3.85</v>
      </c>
      <c r="O14" s="1635" t="s">
        <v>3140</v>
      </c>
      <c r="P14" s="1635">
        <f t="shared" si="0"/>
        <v>622</v>
      </c>
    </row>
    <row r="15" spans="1:16">
      <c r="A15" s="1635" t="s">
        <v>3176</v>
      </c>
      <c r="B15" s="1635" t="s">
        <v>3110</v>
      </c>
      <c r="C15" s="1635" t="s">
        <v>3111</v>
      </c>
      <c r="D15" s="1635" t="s">
        <v>3136</v>
      </c>
      <c r="E15" s="1635" t="s">
        <v>3111</v>
      </c>
      <c r="F15" s="1635">
        <v>19179.37</v>
      </c>
      <c r="G15" s="1635">
        <v>28769.06</v>
      </c>
      <c r="H15" s="2962" t="s">
        <v>3165</v>
      </c>
      <c r="I15" s="1635" t="s">
        <v>3174</v>
      </c>
      <c r="J15" s="1635" t="s">
        <v>3143</v>
      </c>
      <c r="K15" s="1635">
        <v>1200</v>
      </c>
      <c r="L15" s="1635">
        <v>41.71</v>
      </c>
      <c r="M15" s="1635">
        <v>417.11</v>
      </c>
      <c r="N15" s="1635">
        <v>4.3499999999999996</v>
      </c>
      <c r="O15" s="1635" t="s">
        <v>3140</v>
      </c>
      <c r="P15" s="1635">
        <f t="shared" si="0"/>
        <v>626</v>
      </c>
    </row>
    <row r="16" spans="1:16">
      <c r="A16" s="1635" t="s">
        <v>3177</v>
      </c>
      <c r="B16" s="1635" t="s">
        <v>3110</v>
      </c>
      <c r="C16" s="1635" t="s">
        <v>3111</v>
      </c>
      <c r="D16" s="1635" t="s">
        <v>3136</v>
      </c>
      <c r="E16" s="1635" t="s">
        <v>3111</v>
      </c>
      <c r="F16" s="1635">
        <v>34727.61</v>
      </c>
      <c r="G16" s="1635">
        <v>52091.42</v>
      </c>
      <c r="H16" s="2962" t="s">
        <v>3178</v>
      </c>
      <c r="I16" s="1635" t="s">
        <v>3179</v>
      </c>
      <c r="J16" s="1635" t="s">
        <v>3180</v>
      </c>
      <c r="K16" s="1635">
        <v>2040</v>
      </c>
      <c r="L16" s="1635">
        <v>39.159999999999997</v>
      </c>
      <c r="M16" s="1635">
        <v>391.62</v>
      </c>
      <c r="N16" s="1635">
        <v>3.03</v>
      </c>
      <c r="O16" s="1635" t="s">
        <v>3140</v>
      </c>
      <c r="P16" s="1635">
        <f t="shared" si="0"/>
        <v>587</v>
      </c>
    </row>
    <row r="17" spans="1:16">
      <c r="A17" s="1635" t="s">
        <v>3181</v>
      </c>
      <c r="B17" s="1635" t="s">
        <v>3110</v>
      </c>
      <c r="C17" s="1635" t="s">
        <v>3111</v>
      </c>
      <c r="D17" s="1635" t="s">
        <v>3136</v>
      </c>
      <c r="E17" s="1635" t="s">
        <v>3111</v>
      </c>
      <c r="F17" s="1635">
        <v>8646.7000000000007</v>
      </c>
      <c r="G17" s="1635">
        <v>10376.040000000001</v>
      </c>
      <c r="H17" s="2962" t="s">
        <v>3151</v>
      </c>
      <c r="I17" s="1635" t="s">
        <v>3182</v>
      </c>
      <c r="J17" s="1635" t="s">
        <v>3183</v>
      </c>
      <c r="K17" s="1635">
        <v>480</v>
      </c>
      <c r="L17" s="1635">
        <v>37.01</v>
      </c>
      <c r="M17" s="1635">
        <v>462.6</v>
      </c>
      <c r="N17" s="1635">
        <v>11.63</v>
      </c>
      <c r="O17" s="1635" t="s">
        <v>3140</v>
      </c>
      <c r="P17" s="1635">
        <f t="shared" si="0"/>
        <v>555</v>
      </c>
    </row>
    <row r="18" spans="1:16">
      <c r="A18" s="1635" t="s">
        <v>3184</v>
      </c>
      <c r="B18" s="1635" t="s">
        <v>3110</v>
      </c>
      <c r="C18" s="1635" t="s">
        <v>3111</v>
      </c>
      <c r="D18" s="1635" t="s">
        <v>3136</v>
      </c>
      <c r="E18" s="1635" t="s">
        <v>3111</v>
      </c>
      <c r="F18" s="1635">
        <v>39210.6</v>
      </c>
      <c r="G18" s="1635">
        <v>47052.72</v>
      </c>
      <c r="H18" s="2962" t="s">
        <v>3151</v>
      </c>
      <c r="I18" s="1635" t="s">
        <v>3185</v>
      </c>
      <c r="J18" s="1635" t="s">
        <v>3186</v>
      </c>
      <c r="K18" s="1635">
        <v>2260</v>
      </c>
      <c r="L18" s="1635">
        <v>38.42</v>
      </c>
      <c r="M18" s="1635">
        <v>480.31</v>
      </c>
      <c r="N18" s="1635">
        <v>16.489999999999998</v>
      </c>
      <c r="O18" s="1635" t="s">
        <v>3140</v>
      </c>
      <c r="P18" s="1635">
        <f t="shared" si="0"/>
        <v>576</v>
      </c>
    </row>
    <row r="19" spans="1:16">
      <c r="A19" s="1635" t="s">
        <v>3187</v>
      </c>
      <c r="B19" s="1635" t="s">
        <v>3110</v>
      </c>
      <c r="C19" s="1635" t="s">
        <v>3111</v>
      </c>
      <c r="D19" s="1635" t="s">
        <v>3136</v>
      </c>
      <c r="E19" s="1635" t="s">
        <v>3111</v>
      </c>
      <c r="F19" s="1635">
        <v>80242.399999999994</v>
      </c>
      <c r="G19" s="1635">
        <v>64193.919999999998</v>
      </c>
      <c r="H19" s="2962" t="s">
        <v>3188</v>
      </c>
      <c r="I19" s="1635" t="s">
        <v>3185</v>
      </c>
      <c r="J19" s="1635" t="s">
        <v>3189</v>
      </c>
      <c r="K19" s="1635">
        <v>4600</v>
      </c>
      <c r="L19" s="1635">
        <v>38.22</v>
      </c>
      <c r="M19" s="1635">
        <v>716.58</v>
      </c>
      <c r="N19" s="1635">
        <v>17.05</v>
      </c>
      <c r="O19" s="1635" t="s">
        <v>3140</v>
      </c>
      <c r="P19" s="1635">
        <f t="shared" si="0"/>
        <v>573</v>
      </c>
    </row>
    <row r="20" spans="1:16">
      <c r="A20" s="1635" t="s">
        <v>3202</v>
      </c>
      <c r="B20" s="1635" t="s">
        <v>3110</v>
      </c>
      <c r="C20" s="1635" t="s">
        <v>3111</v>
      </c>
      <c r="D20" s="1635" t="s">
        <v>3136</v>
      </c>
      <c r="E20" s="1635" t="s">
        <v>3144</v>
      </c>
      <c r="F20" s="1635">
        <v>4040.5</v>
      </c>
      <c r="G20" s="1635">
        <v>4040.5</v>
      </c>
      <c r="H20" s="2962" t="s">
        <v>3203</v>
      </c>
      <c r="I20" s="1635" t="s">
        <v>3204</v>
      </c>
      <c r="J20" s="1635" t="s">
        <v>3205</v>
      </c>
      <c r="K20" s="1635">
        <v>200</v>
      </c>
      <c r="L20" s="1635">
        <v>33</v>
      </c>
      <c r="M20" s="1635">
        <v>494.99</v>
      </c>
      <c r="N20" s="1635">
        <v>25</v>
      </c>
      <c r="O20" s="1635" t="s">
        <v>3140</v>
      </c>
      <c r="P20" s="1635">
        <f t="shared" si="0"/>
        <v>495</v>
      </c>
    </row>
    <row r="21" spans="1:16">
      <c r="A21" s="1635" t="s">
        <v>3206</v>
      </c>
      <c r="B21" s="1635" t="s">
        <v>3110</v>
      </c>
      <c r="C21" s="1635" t="s">
        <v>3111</v>
      </c>
      <c r="D21" s="1635" t="s">
        <v>3136</v>
      </c>
      <c r="E21" s="1635" t="s">
        <v>3111</v>
      </c>
      <c r="F21" s="1635">
        <v>20000</v>
      </c>
      <c r="G21" s="1635">
        <v>22000</v>
      </c>
      <c r="H21" s="2962" t="s">
        <v>3207</v>
      </c>
      <c r="I21" s="1635" t="s">
        <v>3208</v>
      </c>
      <c r="J21" s="1635" t="s">
        <v>3139</v>
      </c>
      <c r="K21" s="1635">
        <v>950</v>
      </c>
      <c r="L21" s="1635">
        <v>31.67</v>
      </c>
      <c r="M21" s="1635">
        <v>431.81</v>
      </c>
      <c r="N21" s="1635">
        <v>13.1</v>
      </c>
      <c r="O21" s="1635" t="s">
        <v>3140</v>
      </c>
      <c r="P21" s="1635">
        <f t="shared" si="0"/>
        <v>475</v>
      </c>
    </row>
    <row r="22" spans="1:16">
      <c r="A22" s="1635" t="s">
        <v>3209</v>
      </c>
      <c r="B22" s="1635" t="s">
        <v>3110</v>
      </c>
      <c r="C22" s="1635" t="s">
        <v>3111</v>
      </c>
      <c r="D22" s="1635" t="s">
        <v>3136</v>
      </c>
      <c r="E22" s="1635" t="s">
        <v>3111</v>
      </c>
      <c r="F22" s="1635">
        <v>10542.61</v>
      </c>
      <c r="G22" s="1635">
        <v>10542.61</v>
      </c>
      <c r="H22" s="2962" t="s">
        <v>3203</v>
      </c>
      <c r="I22" s="1635" t="s">
        <v>3208</v>
      </c>
      <c r="J22" s="1635" t="s">
        <v>3210</v>
      </c>
      <c r="K22" s="1635">
        <v>520</v>
      </c>
      <c r="L22" s="1635">
        <v>32.880000000000003</v>
      </c>
      <c r="M22" s="1635">
        <v>493.24</v>
      </c>
      <c r="N22" s="1635">
        <v>15.56</v>
      </c>
      <c r="O22" s="1635" t="s">
        <v>3140</v>
      </c>
      <c r="P22" s="1635">
        <f t="shared" si="0"/>
        <v>493</v>
      </c>
    </row>
    <row r="23" spans="1:16">
      <c r="A23" s="1635" t="s">
        <v>3211</v>
      </c>
      <c r="B23" s="1635" t="s">
        <v>3110</v>
      </c>
      <c r="C23" s="1635" t="s">
        <v>3111</v>
      </c>
      <c r="D23" s="1635" t="s">
        <v>3136</v>
      </c>
      <c r="E23" s="1635" t="s">
        <v>3111</v>
      </c>
      <c r="F23" s="1635">
        <v>43412.57</v>
      </c>
      <c r="G23" s="1635">
        <v>34730.06</v>
      </c>
      <c r="H23" s="2962" t="s">
        <v>3188</v>
      </c>
      <c r="I23" s="1635" t="s">
        <v>3208</v>
      </c>
      <c r="J23" s="1635" t="s">
        <v>3212</v>
      </c>
      <c r="K23" s="1635">
        <v>2060</v>
      </c>
      <c r="L23" s="1635">
        <v>31.63</v>
      </c>
      <c r="M23" s="1635">
        <v>593.14</v>
      </c>
      <c r="N23" s="1635">
        <v>13.19</v>
      </c>
      <c r="O23" s="1635" t="s">
        <v>3140</v>
      </c>
      <c r="P23" s="1635">
        <f t="shared" si="0"/>
        <v>475</v>
      </c>
    </row>
    <row r="24" spans="1:16">
      <c r="A24" s="1635" t="s">
        <v>3213</v>
      </c>
      <c r="B24" s="1635" t="s">
        <v>3110</v>
      </c>
      <c r="C24" s="1635" t="s">
        <v>3111</v>
      </c>
      <c r="D24" s="1635" t="s">
        <v>3136</v>
      </c>
      <c r="E24" s="1635" t="s">
        <v>3111</v>
      </c>
      <c r="F24" s="1635">
        <v>43284.800000000003</v>
      </c>
      <c r="G24" s="1635">
        <v>43284.800000000003</v>
      </c>
      <c r="H24" s="2962" t="s">
        <v>3203</v>
      </c>
      <c r="I24" s="1635" t="s">
        <v>3214</v>
      </c>
      <c r="J24" s="1635" t="s">
        <v>3215</v>
      </c>
      <c r="K24" s="1635">
        <v>1830</v>
      </c>
      <c r="L24" s="1635">
        <v>28.19</v>
      </c>
      <c r="M24" s="1635">
        <v>422.77</v>
      </c>
      <c r="N24" s="1635">
        <v>4.57</v>
      </c>
      <c r="O24" s="1635" t="s">
        <v>3140</v>
      </c>
      <c r="P24" s="1635">
        <f t="shared" si="0"/>
        <v>423</v>
      </c>
    </row>
    <row r="25" spans="1:16">
      <c r="A25" s="1635" t="s">
        <v>3216</v>
      </c>
      <c r="B25" s="1635" t="s">
        <v>3110</v>
      </c>
      <c r="C25" s="1635" t="s">
        <v>3111</v>
      </c>
      <c r="D25" s="1635" t="s">
        <v>3136</v>
      </c>
      <c r="E25" s="1635" t="s">
        <v>3144</v>
      </c>
      <c r="F25" s="1635">
        <v>9971.2099999999991</v>
      </c>
      <c r="G25" s="1635">
        <v>7976.97</v>
      </c>
      <c r="H25" s="2962" t="s">
        <v>3188</v>
      </c>
      <c r="I25" s="1635" t="s">
        <v>3214</v>
      </c>
      <c r="J25" s="1635" t="s">
        <v>3217</v>
      </c>
      <c r="K25" s="1635">
        <v>430</v>
      </c>
      <c r="L25" s="1635">
        <v>28.75</v>
      </c>
      <c r="M25" s="1635">
        <v>539.04</v>
      </c>
      <c r="N25" s="1635">
        <v>7.5</v>
      </c>
      <c r="O25" s="1635" t="s">
        <v>3140</v>
      </c>
      <c r="P25" s="1635">
        <f t="shared" si="0"/>
        <v>431</v>
      </c>
    </row>
    <row r="26" spans="1:16">
      <c r="A26" s="1635" t="s">
        <v>3218</v>
      </c>
      <c r="B26" s="1635" t="s">
        <v>3110</v>
      </c>
      <c r="C26" s="1635" t="s">
        <v>3111</v>
      </c>
      <c r="D26" s="1635" t="s">
        <v>3136</v>
      </c>
      <c r="E26" s="1635" t="s">
        <v>3111</v>
      </c>
      <c r="F26" s="1635">
        <v>26665.599999999999</v>
      </c>
      <c r="G26" s="1635">
        <v>26665.599999999999</v>
      </c>
      <c r="H26" s="2962" t="s">
        <v>3203</v>
      </c>
      <c r="I26" s="1635" t="s">
        <v>3214</v>
      </c>
      <c r="J26" s="1635" t="s">
        <v>3219</v>
      </c>
      <c r="K26" s="1635">
        <v>1120</v>
      </c>
      <c r="L26" s="1635">
        <v>28</v>
      </c>
      <c r="M26" s="1635">
        <v>420.01</v>
      </c>
      <c r="N26" s="1635">
        <v>7.69</v>
      </c>
      <c r="O26" s="1635" t="s">
        <v>3140</v>
      </c>
      <c r="P26" s="1635">
        <f t="shared" si="0"/>
        <v>420</v>
      </c>
    </row>
    <row r="27" spans="1:16">
      <c r="A27" s="1635" t="s">
        <v>3220</v>
      </c>
      <c r="B27" s="1635" t="s">
        <v>3110</v>
      </c>
      <c r="C27" s="1635" t="s">
        <v>3111</v>
      </c>
      <c r="D27" s="1635" t="s">
        <v>3136</v>
      </c>
      <c r="E27" s="1635" t="s">
        <v>3111</v>
      </c>
      <c r="F27" s="1635">
        <v>53473.1</v>
      </c>
      <c r="G27" s="1635">
        <v>64167.72</v>
      </c>
      <c r="H27" s="2962" t="s">
        <v>3151</v>
      </c>
      <c r="I27" s="1635" t="s">
        <v>3221</v>
      </c>
      <c r="J27" s="1635" t="s">
        <v>3222</v>
      </c>
      <c r="K27" s="1635">
        <v>2260</v>
      </c>
      <c r="L27" s="1635">
        <v>28.18</v>
      </c>
      <c r="M27" s="1635">
        <v>352.19</v>
      </c>
      <c r="N27" s="1635">
        <v>8.1300000000000008</v>
      </c>
      <c r="O27" s="1635" t="s">
        <v>3140</v>
      </c>
      <c r="P27" s="1635">
        <f t="shared" si="0"/>
        <v>423</v>
      </c>
    </row>
    <row r="28" spans="1:16">
      <c r="A28" s="1635" t="s">
        <v>3223</v>
      </c>
      <c r="B28" s="1635" t="s">
        <v>3110</v>
      </c>
      <c r="C28" s="1635" t="s">
        <v>3111</v>
      </c>
      <c r="D28" s="1635" t="s">
        <v>3136</v>
      </c>
      <c r="E28" s="1635" t="s">
        <v>3224</v>
      </c>
      <c r="F28" s="1635">
        <v>167156.70000000001</v>
      </c>
      <c r="G28" s="1635">
        <v>167156.70000000001</v>
      </c>
      <c r="H28" s="2962" t="s">
        <v>3225</v>
      </c>
      <c r="I28" s="1635" t="s">
        <v>3226</v>
      </c>
      <c r="J28" s="1635" t="s">
        <v>3227</v>
      </c>
      <c r="K28" s="1635">
        <v>6980</v>
      </c>
      <c r="L28" s="1635">
        <v>27.84</v>
      </c>
      <c r="M28" s="1635">
        <v>417.56</v>
      </c>
      <c r="N28" s="1635">
        <v>3.1</v>
      </c>
      <c r="O28" s="1635" t="s">
        <v>3140</v>
      </c>
      <c r="P28" s="1635">
        <f t="shared" si="0"/>
        <v>418</v>
      </c>
    </row>
    <row r="29" spans="1:16">
      <c r="A29" s="1635" t="s">
        <v>3228</v>
      </c>
      <c r="B29" s="1635" t="s">
        <v>3110</v>
      </c>
      <c r="C29" s="1635" t="s">
        <v>3111</v>
      </c>
      <c r="D29" s="1635" t="s">
        <v>3136</v>
      </c>
      <c r="E29" s="1635" t="s">
        <v>6</v>
      </c>
      <c r="F29" s="1635">
        <v>58847.79</v>
      </c>
      <c r="G29" s="1635">
        <v>58847.79</v>
      </c>
      <c r="H29" s="2962" t="s">
        <v>3225</v>
      </c>
      <c r="I29" s="1635" t="s">
        <v>3226</v>
      </c>
      <c r="J29" s="1635" t="s">
        <v>3229</v>
      </c>
      <c r="K29" s="1635">
        <v>2480</v>
      </c>
      <c r="L29" s="1635">
        <v>28.1</v>
      </c>
      <c r="M29" s="1635">
        <v>421.43</v>
      </c>
      <c r="N29" s="1635">
        <v>4.2</v>
      </c>
      <c r="O29" s="1635" t="s">
        <v>3140</v>
      </c>
      <c r="P29" s="1635">
        <f t="shared" si="0"/>
        <v>421</v>
      </c>
    </row>
    <row r="30" spans="1:16">
      <c r="A30" s="1635" t="s">
        <v>3230</v>
      </c>
      <c r="B30" s="1635" t="s">
        <v>3110</v>
      </c>
      <c r="C30" s="1635" t="s">
        <v>3111</v>
      </c>
      <c r="D30" s="1635" t="s">
        <v>3136</v>
      </c>
      <c r="E30" s="1635" t="s">
        <v>3111</v>
      </c>
      <c r="F30" s="1635">
        <v>37325</v>
      </c>
      <c r="G30" s="1635">
        <v>55987.5</v>
      </c>
      <c r="H30" s="2962" t="s">
        <v>3231</v>
      </c>
      <c r="I30" s="1635" t="s">
        <v>3232</v>
      </c>
      <c r="J30" s="1635" t="s">
        <v>3233</v>
      </c>
      <c r="K30" s="1635">
        <v>1790</v>
      </c>
      <c r="L30" s="1635">
        <v>31.97</v>
      </c>
      <c r="M30" s="1635">
        <v>319.7</v>
      </c>
      <c r="N30" s="1635">
        <v>2.87</v>
      </c>
      <c r="O30" s="1635" t="s">
        <v>3140</v>
      </c>
      <c r="P30" s="1635">
        <f t="shared" si="0"/>
        <v>480</v>
      </c>
    </row>
    <row r="31" spans="1:16">
      <c r="A31" s="1635" t="s">
        <v>3234</v>
      </c>
      <c r="B31" s="1635" t="s">
        <v>3110</v>
      </c>
      <c r="C31" s="1635" t="s">
        <v>3111</v>
      </c>
      <c r="D31" s="1635" t="s">
        <v>3136</v>
      </c>
      <c r="E31" s="1635" t="s">
        <v>3111</v>
      </c>
      <c r="F31" s="1635">
        <v>16668</v>
      </c>
      <c r="G31" s="1635">
        <v>25002</v>
      </c>
      <c r="H31" s="2962" t="s">
        <v>3231</v>
      </c>
      <c r="I31" s="1635" t="s">
        <v>3232</v>
      </c>
      <c r="J31" s="1635" t="s">
        <v>3235</v>
      </c>
      <c r="K31" s="1635">
        <v>780</v>
      </c>
      <c r="L31" s="1635">
        <v>31.2</v>
      </c>
      <c r="M31" s="1635">
        <v>311.98</v>
      </c>
      <c r="N31" s="1635">
        <v>4</v>
      </c>
      <c r="O31" s="1635" t="s">
        <v>3236</v>
      </c>
      <c r="P31" s="1635">
        <f t="shared" si="0"/>
        <v>468</v>
      </c>
    </row>
    <row r="32" spans="1:16">
      <c r="A32" s="1635" t="s">
        <v>3237</v>
      </c>
      <c r="B32" s="1635" t="s">
        <v>3110</v>
      </c>
      <c r="C32" s="1635" t="s">
        <v>3111</v>
      </c>
      <c r="D32" s="1635" t="s">
        <v>3136</v>
      </c>
      <c r="E32" s="1635" t="s">
        <v>3111</v>
      </c>
      <c r="F32" s="1635">
        <v>33333</v>
      </c>
      <c r="G32" s="1635">
        <v>49999.5</v>
      </c>
      <c r="H32" s="2962" t="s">
        <v>3231</v>
      </c>
      <c r="I32" s="1635" t="s">
        <v>3232</v>
      </c>
      <c r="J32" s="1635" t="s">
        <v>3238</v>
      </c>
      <c r="K32" s="1635">
        <v>1560</v>
      </c>
      <c r="L32" s="1635">
        <v>31.2</v>
      </c>
      <c r="M32" s="1635">
        <v>312</v>
      </c>
      <c r="N32" s="1635">
        <v>4</v>
      </c>
      <c r="O32" s="1635" t="s">
        <v>3140</v>
      </c>
      <c r="P32" s="1635">
        <f t="shared" si="0"/>
        <v>468</v>
      </c>
    </row>
    <row r="33" spans="1:16">
      <c r="A33" s="1635" t="s">
        <v>3239</v>
      </c>
      <c r="B33" s="1635" t="s">
        <v>3110</v>
      </c>
      <c r="C33" s="1635" t="s">
        <v>3111</v>
      </c>
      <c r="D33" s="1635" t="s">
        <v>3136</v>
      </c>
      <c r="E33" s="1635" t="s">
        <v>3111</v>
      </c>
      <c r="F33" s="1635">
        <v>9461</v>
      </c>
      <c r="G33" s="1635">
        <v>14191.5</v>
      </c>
      <c r="H33" s="2962" t="s">
        <v>3231</v>
      </c>
      <c r="I33" s="1635" t="s">
        <v>3240</v>
      </c>
      <c r="J33" s="1635" t="s">
        <v>3241</v>
      </c>
      <c r="K33" s="1635">
        <v>430</v>
      </c>
      <c r="L33" s="1635">
        <v>30.3</v>
      </c>
      <c r="M33" s="1635">
        <v>303</v>
      </c>
      <c r="N33" s="1635">
        <v>4.88</v>
      </c>
      <c r="O33" s="1635" t="s">
        <v>3140</v>
      </c>
      <c r="P33" s="1635">
        <f t="shared" si="0"/>
        <v>454</v>
      </c>
    </row>
    <row r="34" spans="1:16">
      <c r="A34" s="1635" t="s">
        <v>3242</v>
      </c>
      <c r="B34" s="1635" t="s">
        <v>3110</v>
      </c>
      <c r="C34" s="1635" t="s">
        <v>3111</v>
      </c>
      <c r="D34" s="1635" t="s">
        <v>3136</v>
      </c>
      <c r="E34" s="1635" t="s">
        <v>3111</v>
      </c>
      <c r="F34" s="1635">
        <v>33866</v>
      </c>
      <c r="G34" s="1635">
        <v>50799</v>
      </c>
      <c r="H34" s="2962" t="s">
        <v>3231</v>
      </c>
      <c r="I34" s="1635" t="s">
        <v>3240</v>
      </c>
      <c r="J34" s="1635" t="s">
        <v>3243</v>
      </c>
      <c r="K34" s="1635">
        <v>1520</v>
      </c>
      <c r="L34" s="1635">
        <v>29.92</v>
      </c>
      <c r="M34" s="1635">
        <v>299.22000000000003</v>
      </c>
      <c r="N34" s="1635">
        <v>3.4</v>
      </c>
      <c r="O34" s="1635" t="s">
        <v>3140</v>
      </c>
      <c r="P34" s="1635">
        <f t="shared" si="0"/>
        <v>449</v>
      </c>
    </row>
    <row r="35" spans="1:16">
      <c r="A35" s="1635" t="s">
        <v>3244</v>
      </c>
      <c r="B35" s="1635" t="s">
        <v>3110</v>
      </c>
      <c r="C35" s="1635" t="s">
        <v>3111</v>
      </c>
      <c r="D35" s="1635" t="s">
        <v>3136</v>
      </c>
      <c r="E35" s="1635" t="s">
        <v>3111</v>
      </c>
      <c r="F35" s="1635">
        <v>15444</v>
      </c>
      <c r="G35" s="1635">
        <v>23166</v>
      </c>
      <c r="H35" s="2962" t="s">
        <v>3231</v>
      </c>
      <c r="I35" s="1635" t="s">
        <v>3240</v>
      </c>
      <c r="J35" s="1635" t="s">
        <v>3245</v>
      </c>
      <c r="K35" s="1635">
        <v>700</v>
      </c>
      <c r="L35" s="1635">
        <v>30.22</v>
      </c>
      <c r="M35" s="1635">
        <v>302.17</v>
      </c>
      <c r="N35" s="1635">
        <v>4.4800000000000004</v>
      </c>
      <c r="O35" s="1635" t="s">
        <v>3236</v>
      </c>
      <c r="P35" s="1635">
        <f t="shared" si="0"/>
        <v>453</v>
      </c>
    </row>
    <row r="36" spans="1:16">
      <c r="A36" s="1635" t="s">
        <v>3246</v>
      </c>
      <c r="B36" s="1635" t="s">
        <v>3110</v>
      </c>
      <c r="C36" s="1635" t="s">
        <v>3111</v>
      </c>
      <c r="D36" s="1635" t="s">
        <v>3136</v>
      </c>
      <c r="E36" s="1635" t="s">
        <v>3111</v>
      </c>
      <c r="F36" s="1635">
        <v>28561</v>
      </c>
      <c r="G36" s="1635">
        <v>42841.5</v>
      </c>
      <c r="H36" s="2962" t="s">
        <v>3231</v>
      </c>
      <c r="I36" s="1635" t="s">
        <v>3240</v>
      </c>
      <c r="J36" s="1635" t="s">
        <v>3247</v>
      </c>
      <c r="K36" s="1635">
        <v>1280</v>
      </c>
      <c r="L36" s="1635">
        <v>29.88</v>
      </c>
      <c r="M36" s="1635">
        <v>298.77</v>
      </c>
      <c r="N36" s="1635">
        <v>3.23</v>
      </c>
      <c r="O36" s="1635" t="s">
        <v>3140</v>
      </c>
      <c r="P36" s="1635">
        <f t="shared" si="0"/>
        <v>448</v>
      </c>
    </row>
    <row r="37" spans="1:16">
      <c r="A37" s="1635" t="s">
        <v>3248</v>
      </c>
      <c r="B37" s="1635" t="s">
        <v>3110</v>
      </c>
      <c r="C37" s="1635" t="s">
        <v>3111</v>
      </c>
      <c r="D37" s="1635" t="s">
        <v>3136</v>
      </c>
      <c r="E37" s="1635" t="s">
        <v>3111</v>
      </c>
      <c r="F37" s="1635">
        <v>7144</v>
      </c>
      <c r="G37" s="1635">
        <v>10716</v>
      </c>
      <c r="H37" s="2962" t="s">
        <v>3231</v>
      </c>
      <c r="I37" s="1635" t="s">
        <v>3240</v>
      </c>
      <c r="J37" s="1635" t="s">
        <v>3249</v>
      </c>
      <c r="K37" s="1635">
        <v>330</v>
      </c>
      <c r="L37" s="1635">
        <v>30.8</v>
      </c>
      <c r="M37" s="1635">
        <v>307.94</v>
      </c>
      <c r="N37" s="1635">
        <v>6.45</v>
      </c>
      <c r="O37" s="1635" t="s">
        <v>3140</v>
      </c>
      <c r="P37" s="1635">
        <f t="shared" si="0"/>
        <v>462</v>
      </c>
    </row>
    <row r="38" spans="1:16">
      <c r="A38" s="1635" t="s">
        <v>3250</v>
      </c>
      <c r="B38" s="1635" t="s">
        <v>3110</v>
      </c>
      <c r="C38" s="1635" t="s">
        <v>3111</v>
      </c>
      <c r="D38" s="1635" t="s">
        <v>3136</v>
      </c>
      <c r="E38" s="1635" t="s">
        <v>6</v>
      </c>
      <c r="F38" s="1635">
        <v>25593.06</v>
      </c>
      <c r="G38" s="1635">
        <v>25593.06</v>
      </c>
      <c r="H38" s="2962" t="s">
        <v>3251</v>
      </c>
      <c r="I38" s="1635" t="s">
        <v>3252</v>
      </c>
      <c r="J38" s="1635" t="s">
        <v>3253</v>
      </c>
      <c r="K38" s="1635">
        <v>790</v>
      </c>
      <c r="L38" s="1635">
        <v>20.58</v>
      </c>
      <c r="M38" s="1635">
        <v>308.68</v>
      </c>
      <c r="N38" s="1635">
        <v>2.6</v>
      </c>
      <c r="O38" s="1635" t="s">
        <v>3140</v>
      </c>
      <c r="P38" s="1635">
        <f t="shared" si="0"/>
        <v>309</v>
      </c>
    </row>
    <row r="39" spans="1:16">
      <c r="A39" s="1635" t="s">
        <v>3254</v>
      </c>
      <c r="B39" s="1635" t="s">
        <v>3110</v>
      </c>
      <c r="C39" s="1635" t="s">
        <v>3111</v>
      </c>
      <c r="D39" s="1635" t="s">
        <v>3136</v>
      </c>
      <c r="E39" s="1635" t="s">
        <v>6</v>
      </c>
      <c r="F39" s="1635">
        <v>6666.69</v>
      </c>
      <c r="G39" s="1635">
        <v>6666.69</v>
      </c>
      <c r="H39" s="2962" t="s">
        <v>3251</v>
      </c>
      <c r="I39" s="1635" t="s">
        <v>3252</v>
      </c>
      <c r="J39" s="1635" t="s">
        <v>3255</v>
      </c>
      <c r="K39" s="1635">
        <v>205</v>
      </c>
      <c r="L39" s="1635">
        <v>20.5</v>
      </c>
      <c r="M39" s="1635">
        <v>307.5</v>
      </c>
      <c r="N39" s="1635">
        <v>2.5</v>
      </c>
      <c r="O39" s="1635" t="s">
        <v>3140</v>
      </c>
      <c r="P39" s="1635">
        <f t="shared" si="0"/>
        <v>307</v>
      </c>
    </row>
    <row r="40" spans="1:16">
      <c r="A40" s="1635" t="s">
        <v>3256</v>
      </c>
      <c r="B40" s="1635" t="s">
        <v>3110</v>
      </c>
      <c r="C40" s="1635" t="s">
        <v>3111</v>
      </c>
      <c r="D40" s="1635" t="s">
        <v>3136</v>
      </c>
      <c r="E40" s="1635" t="s">
        <v>3111</v>
      </c>
      <c r="F40" s="1635">
        <v>26662.799999999999</v>
      </c>
      <c r="G40" s="1635">
        <v>21330.240000000002</v>
      </c>
      <c r="H40" s="2962" t="s">
        <v>3257</v>
      </c>
      <c r="I40" s="1635" t="s">
        <v>3258</v>
      </c>
      <c r="J40" s="1635" t="s">
        <v>3259</v>
      </c>
      <c r="K40" s="1635">
        <v>1060</v>
      </c>
      <c r="L40" s="1635">
        <v>26.5</v>
      </c>
      <c r="M40" s="1635">
        <v>496.94</v>
      </c>
      <c r="N40" s="1635">
        <v>6</v>
      </c>
      <c r="O40" s="1635" t="s">
        <v>3140</v>
      </c>
      <c r="P40" s="1635">
        <f t="shared" si="0"/>
        <v>398</v>
      </c>
    </row>
    <row r="41" spans="1:16">
      <c r="A41" s="1635" t="s">
        <v>3260</v>
      </c>
      <c r="B41" s="1635" t="s">
        <v>3110</v>
      </c>
      <c r="C41" s="1635" t="s">
        <v>3111</v>
      </c>
      <c r="D41" s="1635" t="s">
        <v>3136</v>
      </c>
      <c r="E41" s="1635" t="s">
        <v>3111</v>
      </c>
      <c r="F41" s="1635">
        <v>9999.7999999999993</v>
      </c>
      <c r="G41" s="1635">
        <v>7999.84</v>
      </c>
      <c r="H41" s="2962" t="s">
        <v>3257</v>
      </c>
      <c r="I41" s="1635" t="s">
        <v>3261</v>
      </c>
      <c r="J41" s="1635" t="s">
        <v>3262</v>
      </c>
      <c r="K41" s="1635">
        <v>395</v>
      </c>
      <c r="L41" s="1635">
        <v>26.33</v>
      </c>
      <c r="M41" s="1635">
        <v>493.75</v>
      </c>
      <c r="N41" s="1635">
        <v>5.33</v>
      </c>
      <c r="O41" s="1635" t="s">
        <v>3140</v>
      </c>
      <c r="P41" s="1635">
        <f t="shared" si="0"/>
        <v>395</v>
      </c>
    </row>
    <row r="42" spans="1:16">
      <c r="A42" s="1635" t="s">
        <v>3263</v>
      </c>
      <c r="B42" s="1635" t="s">
        <v>3110</v>
      </c>
      <c r="C42" s="1635" t="s">
        <v>3111</v>
      </c>
      <c r="D42" s="1635" t="s">
        <v>3136</v>
      </c>
      <c r="E42" s="1635" t="s">
        <v>3144</v>
      </c>
      <c r="F42" s="1635">
        <v>26666.2</v>
      </c>
      <c r="G42" s="1635">
        <v>21332.959999999999</v>
      </c>
      <c r="H42" s="2962" t="s">
        <v>3257</v>
      </c>
      <c r="I42" s="1635" t="s">
        <v>3261</v>
      </c>
      <c r="J42" s="1635" t="s">
        <v>3264</v>
      </c>
      <c r="K42" s="1635">
        <v>1080</v>
      </c>
      <c r="L42" s="1635">
        <v>27</v>
      </c>
      <c r="M42" s="1635">
        <v>506.25</v>
      </c>
      <c r="N42" s="1635">
        <v>8</v>
      </c>
      <c r="O42" s="1635" t="s">
        <v>3265</v>
      </c>
      <c r="P42" s="1635">
        <f t="shared" si="0"/>
        <v>405</v>
      </c>
    </row>
    <row r="43" spans="1:16">
      <c r="A43" s="1635" t="s">
        <v>3266</v>
      </c>
      <c r="B43" s="1635" t="s">
        <v>3110</v>
      </c>
      <c r="C43" s="1635" t="s">
        <v>3111</v>
      </c>
      <c r="D43" s="1635" t="s">
        <v>3136</v>
      </c>
      <c r="E43" s="1635" t="s">
        <v>3111</v>
      </c>
      <c r="F43" s="1635">
        <v>6666.8</v>
      </c>
      <c r="G43" s="1635">
        <v>5333.44</v>
      </c>
      <c r="H43" s="2962" t="s">
        <v>3257</v>
      </c>
      <c r="I43" s="1635" t="s">
        <v>3261</v>
      </c>
      <c r="J43" s="1635" t="s">
        <v>3267</v>
      </c>
      <c r="K43" s="1635">
        <v>265</v>
      </c>
      <c r="L43" s="1635">
        <v>26.5</v>
      </c>
      <c r="M43" s="1635">
        <v>496.87</v>
      </c>
      <c r="N43" s="1635">
        <v>6</v>
      </c>
      <c r="O43" s="1635" t="s">
        <v>3140</v>
      </c>
      <c r="P43" s="1635">
        <f t="shared" si="0"/>
        <v>397</v>
      </c>
    </row>
    <row r="44" spans="1:16">
      <c r="A44" s="1635" t="s">
        <v>3268</v>
      </c>
      <c r="B44" s="1635" t="s">
        <v>3110</v>
      </c>
      <c r="C44" s="1635" t="s">
        <v>3111</v>
      </c>
      <c r="D44" s="1635" t="s">
        <v>3136</v>
      </c>
      <c r="E44" s="1635" t="s">
        <v>3111</v>
      </c>
      <c r="F44" s="1635">
        <v>53334</v>
      </c>
      <c r="G44" s="1635">
        <v>80001</v>
      </c>
      <c r="H44" s="2962" t="s">
        <v>3269</v>
      </c>
      <c r="I44" s="1635" t="s">
        <v>3270</v>
      </c>
      <c r="J44" s="1635" t="s">
        <v>3271</v>
      </c>
      <c r="K44" s="1635">
        <v>1570</v>
      </c>
      <c r="L44" s="1635">
        <v>19.62</v>
      </c>
      <c r="M44" s="1635">
        <v>196.25</v>
      </c>
      <c r="N44" s="1635">
        <v>3.29</v>
      </c>
      <c r="O44" s="1635" t="s">
        <v>3140</v>
      </c>
      <c r="P44" s="1635">
        <f t="shared" si="0"/>
        <v>294</v>
      </c>
    </row>
    <row r="45" spans="1:16">
      <c r="A45" s="1635" t="s">
        <v>3272</v>
      </c>
      <c r="B45" s="1635" t="s">
        <v>3110</v>
      </c>
      <c r="C45" s="1635" t="s">
        <v>3111</v>
      </c>
      <c r="D45" s="1635" t="s">
        <v>3136</v>
      </c>
      <c r="E45" s="1635" t="s">
        <v>3111</v>
      </c>
      <c r="F45" s="1635">
        <v>30937</v>
      </c>
      <c r="G45" s="1635">
        <v>24749.599999999999</v>
      </c>
      <c r="H45" s="2962" t="s">
        <v>3257</v>
      </c>
      <c r="I45" s="1635" t="s">
        <v>3270</v>
      </c>
      <c r="J45" s="1635" t="s">
        <v>3247</v>
      </c>
      <c r="K45" s="1635">
        <v>1165</v>
      </c>
      <c r="L45" s="1635">
        <v>25.1</v>
      </c>
      <c r="M45" s="1635">
        <v>470.7</v>
      </c>
      <c r="N45" s="1635">
        <v>8.8800000000000008</v>
      </c>
      <c r="O45" s="1635" t="s">
        <v>3140</v>
      </c>
      <c r="P45" s="1635">
        <f t="shared" si="0"/>
        <v>377</v>
      </c>
    </row>
    <row r="46" spans="1:16">
      <c r="A46" s="1635" t="s">
        <v>3273</v>
      </c>
      <c r="B46" s="1635" t="s">
        <v>3110</v>
      </c>
      <c r="C46" s="1635" t="s">
        <v>3111</v>
      </c>
      <c r="D46" s="1635" t="s">
        <v>3136</v>
      </c>
      <c r="E46" s="1635" t="s">
        <v>3111</v>
      </c>
      <c r="F46" s="1635">
        <v>33333</v>
      </c>
      <c r="G46" s="1635">
        <v>26666.400000000001</v>
      </c>
      <c r="H46" s="2962" t="s">
        <v>3257</v>
      </c>
      <c r="I46" s="1635" t="s">
        <v>3270</v>
      </c>
      <c r="J46" s="1635" t="s">
        <v>3243</v>
      </c>
      <c r="K46" s="1635">
        <v>1300</v>
      </c>
      <c r="L46" s="1635">
        <v>26</v>
      </c>
      <c r="M46" s="1635">
        <v>487.5</v>
      </c>
      <c r="N46" s="1635">
        <v>13.04</v>
      </c>
      <c r="O46" s="1635" t="s">
        <v>3140</v>
      </c>
      <c r="P46" s="1635">
        <f t="shared" si="0"/>
        <v>390</v>
      </c>
    </row>
    <row r="47" spans="1:16">
      <c r="A47" s="1635" t="s">
        <v>3274</v>
      </c>
      <c r="B47" s="1635" t="s">
        <v>3110</v>
      </c>
      <c r="C47" s="1635" t="s">
        <v>3111</v>
      </c>
      <c r="D47" s="1635" t="s">
        <v>3136</v>
      </c>
      <c r="E47" s="1635" t="s">
        <v>3111</v>
      </c>
      <c r="F47" s="1635">
        <v>6129</v>
      </c>
      <c r="G47" s="1635">
        <v>4903.2</v>
      </c>
      <c r="H47" s="2962" t="s">
        <v>3257</v>
      </c>
      <c r="I47" s="1635" t="s">
        <v>3270</v>
      </c>
      <c r="J47" s="1635" t="s">
        <v>3275</v>
      </c>
      <c r="K47" s="1635">
        <v>230</v>
      </c>
      <c r="L47" s="1635">
        <v>25.02</v>
      </c>
      <c r="M47" s="1635">
        <v>469.07</v>
      </c>
      <c r="N47" s="1635">
        <v>9.52</v>
      </c>
      <c r="O47" s="1635" t="s">
        <v>3140</v>
      </c>
      <c r="P47" s="1635">
        <f t="shared" si="0"/>
        <v>375</v>
      </c>
    </row>
    <row r="48" spans="1:16">
      <c r="A48" s="1635" t="s">
        <v>3276</v>
      </c>
      <c r="B48" s="1635" t="s">
        <v>3110</v>
      </c>
      <c r="C48" s="1635" t="s">
        <v>3111</v>
      </c>
      <c r="D48" s="1635" t="s">
        <v>3136</v>
      </c>
      <c r="E48" s="1635" t="s">
        <v>3111</v>
      </c>
      <c r="F48" s="1635">
        <v>18687</v>
      </c>
      <c r="G48" s="1635">
        <v>14949.6</v>
      </c>
      <c r="H48" s="2962" t="s">
        <v>3257</v>
      </c>
      <c r="I48" s="1635" t="s">
        <v>3270</v>
      </c>
      <c r="J48" s="1635" t="s">
        <v>3277</v>
      </c>
      <c r="K48" s="1635">
        <v>705</v>
      </c>
      <c r="L48" s="1635">
        <v>25.15</v>
      </c>
      <c r="M48" s="1635">
        <v>471.57</v>
      </c>
      <c r="N48" s="1635">
        <v>10.16</v>
      </c>
      <c r="O48" s="1635" t="s">
        <v>3140</v>
      </c>
      <c r="P48" s="1635">
        <f t="shared" si="0"/>
        <v>377</v>
      </c>
    </row>
    <row r="49" spans="1:16">
      <c r="A49" s="1635" t="s">
        <v>3278</v>
      </c>
      <c r="B49" s="1635" t="s">
        <v>3110</v>
      </c>
      <c r="C49" s="1635" t="s">
        <v>3111</v>
      </c>
      <c r="D49" s="1635" t="s">
        <v>3136</v>
      </c>
      <c r="E49" s="1635" t="s">
        <v>3111</v>
      </c>
      <c r="F49" s="1635">
        <v>16666.75</v>
      </c>
      <c r="G49" s="1635">
        <v>16666.75</v>
      </c>
      <c r="H49" s="2962" t="s">
        <v>3112</v>
      </c>
      <c r="I49" s="1635" t="s">
        <v>3279</v>
      </c>
      <c r="J49" s="1635" t="s">
        <v>3280</v>
      </c>
      <c r="K49" s="1635">
        <v>489</v>
      </c>
      <c r="L49" s="1635">
        <v>19.559999999999999</v>
      </c>
      <c r="M49" s="1635">
        <v>293.39</v>
      </c>
      <c r="N49" s="1635">
        <v>2.95</v>
      </c>
      <c r="O49" s="1635" t="s">
        <v>3140</v>
      </c>
      <c r="P49" s="1635">
        <f t="shared" si="0"/>
        <v>293</v>
      </c>
    </row>
    <row r="50" spans="1:16">
      <c r="A50" s="1635" t="s">
        <v>3281</v>
      </c>
      <c r="B50" s="1635" t="s">
        <v>3110</v>
      </c>
      <c r="C50" s="1635" t="s">
        <v>3111</v>
      </c>
      <c r="D50" s="1635" t="s">
        <v>3136</v>
      </c>
      <c r="E50" s="1635" t="s">
        <v>3111</v>
      </c>
      <c r="F50" s="1635">
        <v>35280</v>
      </c>
      <c r="G50" s="1635">
        <v>52920</v>
      </c>
      <c r="H50" s="2962" t="s">
        <v>3269</v>
      </c>
      <c r="I50" s="1635" t="s">
        <v>3279</v>
      </c>
      <c r="J50" s="1635" t="s">
        <v>3282</v>
      </c>
      <c r="K50" s="1635">
        <v>1040</v>
      </c>
      <c r="L50" s="1635">
        <v>19.649999999999999</v>
      </c>
      <c r="M50" s="1635">
        <v>196.52</v>
      </c>
      <c r="N50" s="1635">
        <v>4</v>
      </c>
      <c r="O50" s="1635" t="s">
        <v>3140</v>
      </c>
      <c r="P50" s="1635">
        <f t="shared" si="0"/>
        <v>295</v>
      </c>
    </row>
    <row r="51" spans="1:16">
      <c r="A51" s="1635" t="s">
        <v>3278</v>
      </c>
      <c r="B51" s="1635" t="s">
        <v>3110</v>
      </c>
      <c r="C51" s="1635" t="s">
        <v>3111</v>
      </c>
      <c r="D51" s="1635" t="s">
        <v>3136</v>
      </c>
      <c r="E51" s="1635" t="s">
        <v>3111</v>
      </c>
      <c r="F51" s="1635">
        <v>16666.849999999999</v>
      </c>
      <c r="G51" s="1635">
        <v>16666.849999999999</v>
      </c>
      <c r="H51" s="2962" t="s">
        <v>3112</v>
      </c>
      <c r="I51" s="1635" t="s">
        <v>3279</v>
      </c>
      <c r="J51" s="1635" t="s">
        <v>3283</v>
      </c>
      <c r="K51" s="1635">
        <v>489</v>
      </c>
      <c r="L51" s="1635">
        <v>19.559999999999999</v>
      </c>
      <c r="M51" s="1635">
        <v>293.39</v>
      </c>
      <c r="N51" s="1635">
        <v>2.95</v>
      </c>
      <c r="O51" s="1635" t="s">
        <v>3140</v>
      </c>
      <c r="P51" s="1635">
        <f t="shared" si="0"/>
        <v>293</v>
      </c>
    </row>
  </sheetData>
  <phoneticPr fontId="143"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O49" sqref="O49"/>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0" t="str">
        <f>IF(项目基本情况!B9="房地产市场价值","估价结果一览表","结果表-2")</f>
        <v>结果表-2</v>
      </c>
      <c r="B1" s="2980"/>
      <c r="C1" s="2980"/>
      <c r="D1" s="2980"/>
      <c r="E1" s="2980"/>
      <c r="F1" s="2980"/>
      <c r="G1" s="2980"/>
      <c r="H1" s="2980"/>
      <c r="I1" s="2980"/>
    </row>
    <row r="2" spans="1:9" ht="30" customHeight="1" thickTop="1">
      <c r="A2" s="2981" t="s">
        <v>1636</v>
      </c>
      <c r="B2" s="2981" t="s">
        <v>1637</v>
      </c>
      <c r="C2" s="2981" t="s">
        <v>1638</v>
      </c>
      <c r="D2" s="2981" t="str">
        <f>结果表!D116</f>
        <v>出让国有建设用地使用权价值</v>
      </c>
      <c r="E2" s="2981"/>
      <c r="F2" s="2981" t="str">
        <f>结果表!F116</f>
        <v>建筑物价值</v>
      </c>
      <c r="G2" s="2981"/>
      <c r="H2" s="2981" t="str">
        <f>IF(项目基本情况!B9="房地产市场价值","房地产市场价值","房地产价值")</f>
        <v>房地产价值</v>
      </c>
      <c r="I2" s="2981"/>
    </row>
    <row r="3" spans="1:9" ht="15">
      <c r="A3" s="2982"/>
      <c r="B3" s="2982"/>
      <c r="C3" s="2982"/>
      <c r="D3" s="1044" t="s">
        <v>1633</v>
      </c>
      <c r="E3" s="1044" t="s">
        <v>1639</v>
      </c>
      <c r="F3" s="1044" t="s">
        <v>1633</v>
      </c>
      <c r="G3" s="1044" t="s">
        <v>1634</v>
      </c>
      <c r="H3" s="1044" t="s">
        <v>1633</v>
      </c>
      <c r="I3" s="1044" t="s">
        <v>1634</v>
      </c>
    </row>
    <row r="4" spans="1:9" ht="30">
      <c r="A4" s="1972" t="str">
        <f>项目基本情况!S2</f>
        <v>河北省廊坊市开发区全兴路西工业用房房地产</v>
      </c>
      <c r="B4" s="1044">
        <f>项目基本情况!C17</f>
        <v>2547.4699999999998</v>
      </c>
      <c r="C4" s="1044">
        <f>项目基本情况!C18</f>
        <v>6139</v>
      </c>
      <c r="D4" s="1044">
        <f ca="1">结果表!D118</f>
        <v>434</v>
      </c>
      <c r="E4" s="1044">
        <f ca="1">结果表!E118</f>
        <v>1704</v>
      </c>
      <c r="F4" s="1044">
        <f ca="1">结果表!F118</f>
        <v>576</v>
      </c>
      <c r="G4" s="1044">
        <f ca="1">结果表!G118</f>
        <v>2261</v>
      </c>
      <c r="H4" s="1044">
        <f ca="1">结果表!H118</f>
        <v>1010</v>
      </c>
      <c r="I4" s="1044">
        <f ca="1">结果表!I118</f>
        <v>3965</v>
      </c>
    </row>
    <row r="5" spans="1:9" ht="30" customHeight="1">
      <c r="A5" s="2982" t="s">
        <v>1635</v>
      </c>
      <c r="B5" s="2982"/>
      <c r="C5" s="2982"/>
      <c r="D5" s="2983" t="str">
        <f ca="1">结果表!D119</f>
        <v>肆佰叁拾肆万元整</v>
      </c>
      <c r="E5" s="2983"/>
      <c r="F5" s="2983" t="str">
        <f ca="1">结果表!F119</f>
        <v>伍佰柒拾陆万元整</v>
      </c>
      <c r="G5" s="2983"/>
      <c r="H5" s="2983" t="str">
        <f ca="1">结果表!H119</f>
        <v>壹仟零壹拾万元整</v>
      </c>
      <c r="I5" s="2983"/>
    </row>
    <row r="6" spans="1:9" ht="15.75">
      <c r="A6" s="2984" t="str">
        <f>结果表!A120</f>
        <v>估价师知悉的法定优先受偿款</v>
      </c>
      <c r="B6" s="2984"/>
      <c r="C6" s="2984"/>
      <c r="D6" s="2984">
        <f>结果表!D120</f>
        <v>0</v>
      </c>
      <c r="E6" s="2984"/>
      <c r="F6" s="2984"/>
      <c r="G6" s="2984"/>
      <c r="H6" s="2984"/>
      <c r="I6" s="2984"/>
    </row>
    <row r="7" spans="1:9" ht="15">
      <c r="A7" s="2982" t="s">
        <v>1635</v>
      </c>
      <c r="B7" s="2982"/>
      <c r="C7" s="2982"/>
      <c r="D7" s="2985" t="str">
        <f>结果表!D121</f>
        <v>零元整</v>
      </c>
      <c r="E7" s="2986"/>
      <c r="F7" s="2986"/>
      <c r="G7" s="2986"/>
      <c r="H7" s="2986"/>
      <c r="I7" s="2987"/>
    </row>
    <row r="8" spans="1:9" ht="15.75">
      <c r="A8" s="2984" t="str">
        <f>结果表!A122</f>
        <v>房地产抵押价值</v>
      </c>
      <c r="B8" s="2984"/>
      <c r="C8" s="2984"/>
      <c r="D8" s="2984">
        <f ca="1">结果表!D122</f>
        <v>1010</v>
      </c>
      <c r="E8" s="2984"/>
      <c r="F8" s="2984"/>
      <c r="G8" s="2984"/>
      <c r="H8" s="2984"/>
      <c r="I8" s="2984"/>
    </row>
    <row r="9" spans="1:9" ht="15">
      <c r="A9" s="2982" t="s">
        <v>1635</v>
      </c>
      <c r="B9" s="2982"/>
      <c r="C9" s="2982"/>
      <c r="D9" s="2983" t="str">
        <f ca="1">结果表!D123</f>
        <v>壹仟零壹拾万元整</v>
      </c>
      <c r="E9" s="2983"/>
      <c r="F9" s="2983"/>
      <c r="G9" s="2983"/>
      <c r="H9" s="2983"/>
      <c r="I9" s="2983"/>
    </row>
    <row r="10" spans="1:9" ht="15.75">
      <c r="A10" s="2984" t="str">
        <f>结果表!A124</f>
        <v/>
      </c>
      <c r="B10" s="2984"/>
      <c r="C10" s="2984"/>
      <c r="D10" s="2984" t="str">
        <f>结果表!D124</f>
        <v>——</v>
      </c>
      <c r="E10" s="2984"/>
      <c r="F10" s="2984"/>
      <c r="G10" s="2984"/>
      <c r="H10" s="2984"/>
      <c r="I10" s="2984"/>
    </row>
    <row r="11" spans="1:9" ht="15">
      <c r="A11" s="2982" t="s">
        <v>1635</v>
      </c>
      <c r="B11" s="2982"/>
      <c r="C11" s="2982"/>
      <c r="D11" s="2983" t="e">
        <f>结果表!D125</f>
        <v>#VALUE!</v>
      </c>
      <c r="E11" s="2983"/>
      <c r="F11" s="2983"/>
      <c r="G11" s="2983"/>
      <c r="H11" s="2983"/>
      <c r="I11" s="2983"/>
    </row>
    <row r="12" spans="1:9" ht="15.75">
      <c r="A12" s="2984" t="str">
        <f>结果表!A126</f>
        <v/>
      </c>
      <c r="B12" s="2984"/>
      <c r="C12" s="2984"/>
      <c r="D12" s="2984" t="str">
        <f>结果表!D126</f>
        <v>——</v>
      </c>
      <c r="E12" s="2984"/>
      <c r="F12" s="2984"/>
      <c r="G12" s="2984"/>
      <c r="H12" s="2984"/>
      <c r="I12" s="2984"/>
    </row>
    <row r="13" spans="1:9" ht="15.75" thickBot="1">
      <c r="A13" s="2988" t="s">
        <v>1635</v>
      </c>
      <c r="B13" s="2988"/>
      <c r="C13" s="2988"/>
      <c r="D13" s="2989" t="e">
        <f>结果表!D127</f>
        <v>#VALUE!</v>
      </c>
      <c r="E13" s="2989"/>
      <c r="F13" s="2989"/>
      <c r="G13" s="2989"/>
      <c r="H13" s="2989"/>
      <c r="I13" s="2989"/>
    </row>
    <row r="14" spans="1:9" ht="15" thickTop="1">
      <c r="A14" s="2990" t="s">
        <v>1640</v>
      </c>
      <c r="B14" s="2990"/>
      <c r="C14" s="2990"/>
      <c r="D14" s="2990"/>
      <c r="E14" s="2990"/>
      <c r="F14" s="2990"/>
      <c r="G14" s="2990"/>
      <c r="H14" s="2990"/>
      <c r="I14" s="2990"/>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1" t="s">
        <v>1657</v>
      </c>
      <c r="B1" s="2991"/>
      <c r="C1" s="2991"/>
      <c r="D1" s="2991"/>
    </row>
    <row r="2" spans="1:4" ht="18">
      <c r="A2" s="2992" t="s">
        <v>1641</v>
      </c>
      <c r="B2" s="2992"/>
      <c r="C2" s="2992"/>
      <c r="D2" s="2992"/>
    </row>
    <row r="3" spans="1:4" ht="18.75">
      <c r="A3" s="1976" t="s">
        <v>1642</v>
      </c>
      <c r="B3" s="1976" t="s">
        <v>1643</v>
      </c>
      <c r="C3" s="1976" t="s">
        <v>1644</v>
      </c>
      <c r="D3" s="1976" t="s">
        <v>1645</v>
      </c>
    </row>
    <row r="4" spans="1:4" ht="56.25" customHeight="1">
      <c r="A4" s="1977" t="str">
        <f>项目基本情况!B4</f>
        <v>崔锴</v>
      </c>
      <c r="B4" s="1978">
        <f ca="1">项目基本情况!C4</f>
        <v>1120100036</v>
      </c>
      <c r="C4" s="1979"/>
      <c r="D4" s="1980" t="s">
        <v>1646</v>
      </c>
    </row>
    <row r="5" spans="1:4" ht="56.25" customHeight="1">
      <c r="A5" s="1977" t="str">
        <f>项目基本情况!D4</f>
        <v>郑燚</v>
      </c>
      <c r="B5" s="1978">
        <f ca="1">项目基本情况!E4</f>
        <v>1120070131</v>
      </c>
      <c r="C5" s="1981"/>
      <c r="D5" s="1980" t="s">
        <v>1646</v>
      </c>
    </row>
    <row r="6" spans="1:4" ht="18">
      <c r="A6" s="2992" t="s">
        <v>1647</v>
      </c>
      <c r="B6" s="2992"/>
      <c r="C6" s="2992"/>
      <c r="D6" s="2992"/>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93" t="s">
        <v>1650</v>
      </c>
      <c r="B11" s="2994"/>
      <c r="C11" s="2994"/>
      <c r="D11" s="2994"/>
    </row>
    <row r="12" spans="1:4" ht="15.75">
      <c r="A12" s="29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5"/>
      <c r="C12" s="2995"/>
      <c r="D12" s="2995"/>
    </row>
    <row r="13" spans="1:4" ht="30" customHeight="1">
      <c r="A13" s="29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5"/>
      <c r="C13" s="2995"/>
      <c r="D13" s="2995"/>
    </row>
    <row r="14" spans="1:4" ht="15.75" customHeight="1">
      <c r="A14" s="2994" t="str">
        <f>IF(项目基本情况!B8="抵押","4.本次评估估价师所知悉的法定优先受偿款情况说明如下：","——")</f>
        <v>4.本次评估估价师所知悉的法定优先受偿款情况说明如下：</v>
      </c>
      <c r="B14" s="2995"/>
      <c r="C14" s="2995"/>
      <c r="D14" s="2995"/>
    </row>
    <row r="15" spans="1:4" ht="42" customHeight="1">
      <c r="A15" s="2994" t="str">
        <f>IF(项目基本情况!B8="抵押","（1）"&amp;CONCATENATE(项目基本情况!L20,项目基本情况!L21,项目基本情况!L22),"——")</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4"/>
      <c r="C15" s="2994"/>
      <c r="D15" s="2994"/>
    </row>
    <row r="16" spans="1:4" ht="30" customHeight="1">
      <c r="A16" s="2997" t="s">
        <v>1651</v>
      </c>
      <c r="B16" s="2997"/>
      <c r="C16" s="2997"/>
      <c r="D16" s="2997"/>
    </row>
    <row r="17" spans="1:4" ht="144" customHeight="1">
      <c r="A17" s="2997" t="s">
        <v>1652</v>
      </c>
      <c r="B17" s="2997"/>
      <c r="C17" s="2997"/>
      <c r="D17" s="2997"/>
    </row>
    <row r="18" spans="1:4" ht="15.75" customHeight="1">
      <c r="A18" s="2994" t="str">
        <f>IF(项目基本情况!B8="抵押",结果表!K120,"——")</f>
        <v>故，本次评估不存在估价师知悉的法定优先受偿款</v>
      </c>
      <c r="B18" s="2994"/>
      <c r="C18" s="2994"/>
      <c r="D18" s="2994"/>
    </row>
    <row r="19" spans="1:4" ht="46.5" customHeight="1">
      <c r="A19" s="29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4"/>
      <c r="C19" s="2994"/>
      <c r="D19" s="2994"/>
    </row>
    <row r="20" spans="1:4" ht="57.75" customHeight="1">
      <c r="A20" s="29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4"/>
      <c r="C20" s="2994"/>
      <c r="D20" s="2994"/>
    </row>
    <row r="21" spans="1:4" ht="57.75" customHeight="1">
      <c r="A21" s="29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8"/>
      <c r="C21" s="2998"/>
      <c r="D21" s="2998"/>
    </row>
    <row r="22" spans="1:4" ht="18.75" customHeight="1">
      <c r="A22" s="2999" t="s">
        <v>1653</v>
      </c>
      <c r="B22" s="2999"/>
      <c r="C22" s="2999"/>
      <c r="D22" s="2999"/>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96">
        <v>42551</v>
      </c>
      <c r="D31" s="299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3005" t="s">
        <v>1664</v>
      </c>
      <c r="B15" s="3000" t="s">
        <v>136</v>
      </c>
      <c r="C15" s="3001"/>
    </row>
    <row r="16" spans="1:7" ht="13.5">
      <c r="A16" s="3006"/>
      <c r="B16" s="3000" t="s">
        <v>69</v>
      </c>
      <c r="C16" s="3001"/>
    </row>
    <row r="17" spans="1:3" ht="13.5">
      <c r="A17" s="3006"/>
      <c r="B17" s="3003" t="s">
        <v>1665</v>
      </c>
      <c r="C17" s="1999" t="s">
        <v>1664</v>
      </c>
    </row>
    <row r="18" spans="1:3" ht="13.5">
      <c r="A18" s="3006"/>
      <c r="B18" s="3003"/>
      <c r="C18" s="1999" t="s">
        <v>1666</v>
      </c>
    </row>
    <row r="19" spans="1:3" ht="13.5">
      <c r="A19" s="3006"/>
      <c r="B19" s="3003"/>
      <c r="C19" s="1999" t="s">
        <v>1667</v>
      </c>
    </row>
    <row r="20" spans="1:3" ht="13.5">
      <c r="A20" s="3007"/>
      <c r="B20" s="3002" t="s">
        <v>1668</v>
      </c>
      <c r="C20" s="3001"/>
    </row>
    <row r="21" spans="1:3" ht="13.5">
      <c r="A21" s="2000" t="s">
        <v>1669</v>
      </c>
      <c r="B21" s="2001"/>
      <c r="C21" s="2002"/>
    </row>
    <row r="22" spans="1:3" ht="13.5">
      <c r="A22" s="3004" t="s">
        <v>1670</v>
      </c>
      <c r="B22" s="3002" t="s">
        <v>1671</v>
      </c>
      <c r="C22" s="3001"/>
    </row>
    <row r="23" spans="1:3" ht="13.5">
      <c r="A23" s="3004"/>
      <c r="B23" s="3002" t="s">
        <v>1672</v>
      </c>
      <c r="C23" s="3001"/>
    </row>
    <row r="24" spans="1:3" ht="13.5">
      <c r="A24" s="3004"/>
      <c r="B24" s="3002" t="s">
        <v>1673</v>
      </c>
      <c r="C24" s="3001"/>
    </row>
    <row r="25" spans="1:3" ht="13.5">
      <c r="A25" s="3004"/>
      <c r="B25" s="3003" t="s">
        <v>1674</v>
      </c>
      <c r="C25" s="1999" t="s">
        <v>1675</v>
      </c>
    </row>
    <row r="26" spans="1:3" ht="13.5">
      <c r="A26" s="3004"/>
      <c r="B26" s="3003"/>
      <c r="C26" s="1999" t="s">
        <v>1676</v>
      </c>
    </row>
    <row r="27" spans="1:3" ht="13.5">
      <c r="A27" s="3004"/>
      <c r="B27" s="3003"/>
      <c r="C27" s="1999" t="s">
        <v>1677</v>
      </c>
    </row>
    <row r="28" spans="1:3" ht="13.5">
      <c r="A28" s="3004"/>
      <c r="B28" s="3003"/>
      <c r="C28" s="1999" t="s">
        <v>1678</v>
      </c>
    </row>
    <row r="29" spans="1:3" ht="13.5">
      <c r="A29" s="3004"/>
      <c r="B29" s="3003"/>
      <c r="C29" s="1999" t="s">
        <v>1679</v>
      </c>
    </row>
    <row r="30" spans="1:3" ht="13.5">
      <c r="A30" s="3004"/>
      <c r="B30" s="3003"/>
      <c r="C30" s="1999" t="s">
        <v>1680</v>
      </c>
    </row>
    <row r="31" spans="1:3" ht="13.5">
      <c r="A31" s="3004"/>
      <c r="B31" s="3003"/>
      <c r="C31" s="1999" t="s">
        <v>1681</v>
      </c>
    </row>
    <row r="32" spans="1:3" ht="13.5">
      <c r="A32" s="3004"/>
      <c r="B32" s="3003"/>
      <c r="C32" s="1999" t="s">
        <v>1682</v>
      </c>
    </row>
    <row r="33" spans="1:3" ht="13.5">
      <c r="A33" s="3004"/>
      <c r="B33" s="3003"/>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G30"/>
  <sheetViews>
    <sheetView view="pageBreakPreview" zoomScale="70" zoomScaleNormal="100" zoomScaleSheetLayoutView="70" workbookViewId="0">
      <selection activeCell="C14" sqref="C14"/>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44020</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t="str">
        <f ca="1">IF(C4&lt;B2,"已过期",1119970066)</f>
        <v>已过期</v>
      </c>
      <c r="C4" s="2345">
        <v>43849</v>
      </c>
      <c r="D4" s="2348" t="s">
        <v>832</v>
      </c>
      <c r="E4" s="1022">
        <f ca="1">IF(F4&lt;B2,"已过期",96010014)</f>
        <v>96010014</v>
      </c>
      <c r="F4" s="1030">
        <v>47118</v>
      </c>
    </row>
    <row r="5" spans="1:6" ht="24" customHeight="1">
      <c r="A5" s="1702" t="s">
        <v>833</v>
      </c>
      <c r="B5" s="1022" t="str">
        <f ca="1">IF(C5&lt;B2,"已过期",1119970074)</f>
        <v>已过期</v>
      </c>
      <c r="C5" s="2345">
        <v>43849</v>
      </c>
      <c r="D5" s="2348" t="s">
        <v>833</v>
      </c>
      <c r="E5" s="1022">
        <f ca="1">IF(F5&lt;B2,"已过期",2002110027)</f>
        <v>2002110027</v>
      </c>
      <c r="F5" s="1030">
        <v>46752</v>
      </c>
    </row>
    <row r="6" spans="1:6" ht="24" customHeight="1">
      <c r="A6" s="1702" t="s">
        <v>834</v>
      </c>
      <c r="B6" s="1022" t="str">
        <f ca="1">IF(C6&lt;B2,"已过期",1119970111)</f>
        <v>已过期</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t="str">
        <f ca="1">IF(C8&lt;B2,"已过期",1120000080)</f>
        <v>已过期</v>
      </c>
      <c r="C8" s="2345">
        <v>43849</v>
      </c>
      <c r="D8" s="2348" t="s">
        <v>836</v>
      </c>
      <c r="E8" s="1022">
        <f ca="1">IF(F8&lt;B2,"已过期",2000110082)</f>
        <v>2000110082</v>
      </c>
      <c r="F8" s="1030">
        <v>46387</v>
      </c>
    </row>
    <row r="9" spans="1:6" ht="24" customHeight="1">
      <c r="A9" s="1702" t="s">
        <v>837</v>
      </c>
      <c r="B9" s="1022" t="str">
        <f ca="1">IF(C9&lt;B2,"已过期",1419970001)</f>
        <v>已过期</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7"/>
      <c r="D12" s="1702"/>
      <c r="E12" s="1022"/>
      <c r="F12" s="1030"/>
    </row>
    <row r="13" spans="1:6" ht="24" customHeight="1">
      <c r="A13" s="1702" t="s">
        <v>840</v>
      </c>
      <c r="B13" s="1022">
        <f ca="1">IF(C13&lt;B2,"已过期",1120070131)</f>
        <v>1120070131</v>
      </c>
      <c r="C13" s="2345">
        <v>44849</v>
      </c>
      <c r="D13" s="2348" t="s">
        <v>840</v>
      </c>
      <c r="E13" s="1022">
        <f ca="1">IF(F13&lt;B2,"已过期",2014110011)</f>
        <v>2014110011</v>
      </c>
      <c r="F13" s="1030">
        <v>49302</v>
      </c>
    </row>
    <row r="14" spans="1:6" ht="24" customHeight="1">
      <c r="A14" s="1702" t="s">
        <v>3036</v>
      </c>
      <c r="B14" s="1022" t="str">
        <f ca="1">IF(C14&lt;B2,"已过期",1120040230)</f>
        <v>已过期</v>
      </c>
      <c r="C14" s="2345">
        <v>43835</v>
      </c>
      <c r="D14" s="2348" t="s">
        <v>3036</v>
      </c>
      <c r="E14" s="1022">
        <f ca="1">IF(F14&lt;B2,"已过期",98030020)</f>
        <v>98030020</v>
      </c>
      <c r="F14" s="1030">
        <v>47118</v>
      </c>
    </row>
    <row r="15" spans="1:6" ht="24" customHeight="1">
      <c r="A15" s="1703" t="s">
        <v>3037</v>
      </c>
      <c r="B15" s="1022" t="str">
        <f ca="1">IF(C15&lt;B2,"已过期",1120070085)</f>
        <v>已过期</v>
      </c>
      <c r="C15" s="2345">
        <v>43814</v>
      </c>
      <c r="D15" s="2349" t="s">
        <v>3037</v>
      </c>
      <c r="E15" s="1022">
        <f ca="1">IF(F15&lt;B2,"已过期",2004110128)</f>
        <v>2004110128</v>
      </c>
      <c r="F15" s="1023">
        <v>47118</v>
      </c>
    </row>
    <row r="16" spans="1:6" ht="24" customHeight="1">
      <c r="A16" s="1702" t="s">
        <v>3038</v>
      </c>
      <c r="B16" s="1022">
        <f ca="1">IF(C16&lt;B2,"已过期",1120140022)</f>
        <v>1120140022</v>
      </c>
      <c r="C16" s="2927">
        <v>44029</v>
      </c>
      <c r="D16" s="2348" t="s">
        <v>3038</v>
      </c>
      <c r="E16" s="1022">
        <f ca="1">IF(F16&lt;B2,"已过期",2008110059)</f>
        <v>2008110059</v>
      </c>
      <c r="F16" s="1030">
        <v>47177</v>
      </c>
    </row>
    <row r="17" spans="1:7" ht="24" customHeight="1">
      <c r="A17" s="1702"/>
      <c r="B17" s="1022"/>
      <c r="C17" s="2345"/>
      <c r="D17" s="2348" t="s">
        <v>3039</v>
      </c>
      <c r="E17" s="1022">
        <f ca="1">IF(F17&lt;B2,"已过期",2014110076)</f>
        <v>2014110076</v>
      </c>
      <c r="F17" s="1030">
        <v>49302</v>
      </c>
    </row>
    <row r="18" spans="1:7" ht="24" customHeight="1">
      <c r="A18" s="1702" t="s">
        <v>3047</v>
      </c>
      <c r="B18" s="1022">
        <v>1120190079</v>
      </c>
      <c r="C18" s="2927">
        <v>44826</v>
      </c>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7">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8" t="s">
        <v>843</v>
      </c>
      <c r="B25" s="3008"/>
      <c r="C25" s="3008"/>
      <c r="D25" s="3008"/>
      <c r="E25" s="3008"/>
      <c r="F25" s="3008"/>
      <c r="G25" s="3008"/>
    </row>
    <row r="26" spans="1:7" s="1025" customFormat="1" ht="24" customHeight="1">
      <c r="A26" s="3009" t="s">
        <v>844</v>
      </c>
      <c r="B26" s="3009"/>
      <c r="C26" s="3010"/>
      <c r="D26" s="3011" t="s">
        <v>845</v>
      </c>
      <c r="E26" s="3009"/>
      <c r="F26" s="3009"/>
    </row>
    <row r="27" spans="1:7" s="1027" customFormat="1" ht="24" customHeight="1">
      <c r="A27" s="1026" t="s">
        <v>846</v>
      </c>
      <c r="B27" s="1021" t="s">
        <v>847</v>
      </c>
      <c r="C27" s="2344" t="s">
        <v>848</v>
      </c>
      <c r="D27" s="2351" t="s">
        <v>846</v>
      </c>
      <c r="E27" s="1021" t="s">
        <v>847</v>
      </c>
      <c r="F27" s="1021" t="s">
        <v>848</v>
      </c>
    </row>
    <row r="28" spans="1:7" s="1027" customFormat="1" ht="24" customHeight="1">
      <c r="A28" s="1028" t="s">
        <v>849</v>
      </c>
      <c r="B28" s="1029" t="s">
        <v>850</v>
      </c>
      <c r="C28" s="1030">
        <v>44820</v>
      </c>
      <c r="D28" s="2352" t="s">
        <v>851</v>
      </c>
      <c r="E28" s="1028" t="s">
        <v>852</v>
      </c>
      <c r="F28" s="1058">
        <v>44377</v>
      </c>
    </row>
    <row r="29" spans="1:7" s="1027" customFormat="1" ht="24" customHeight="1">
      <c r="A29" s="1028"/>
      <c r="B29" s="1028"/>
      <c r="C29" s="2350"/>
      <c r="D29" s="2352" t="s">
        <v>853</v>
      </c>
      <c r="E29" s="1202" t="s">
        <v>3048</v>
      </c>
      <c r="F29" s="1203">
        <v>44012</v>
      </c>
    </row>
    <row r="30" spans="1:7" ht="24" customHeight="1">
      <c r="C30" s="1031"/>
      <c r="D30" s="1031"/>
    </row>
  </sheetData>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2020-07-08T01:45:34Z</dcterms:modified>
</cp:coreProperties>
</file>