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2024-1-1052-P01天畅园-陈宁北京银行-要分套价值查不动产\"/>
    </mc:Choice>
  </mc:AlternateContent>
  <xr:revisionPtr revIDLastSave="0" documentId="13_ncr:1_{B45905D4-AE40-4DE2-8048-1A05C7D08919}" xr6:coauthVersionLast="47" xr6:coauthVersionMax="47" xr10:uidLastSave="{00000000-0000-0000-0000-000000000000}"/>
  <bookViews>
    <workbookView xWindow="-108" yWindow="-108" windowWidth="20376" windowHeight="12216" tabRatio="899" firstSheet="13"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面积及租赁合同" sheetId="80" r:id="rId35"/>
    <sheet name="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 i="31" l="1"/>
  <c r="E4" i="31"/>
  <c r="F4" i="31"/>
  <c r="G4" i="31"/>
  <c r="H4" i="31"/>
  <c r="I4" i="31"/>
  <c r="D3" i="31"/>
  <c r="E3" i="31"/>
  <c r="F3" i="31"/>
  <c r="G3" i="31"/>
  <c r="H3" i="31"/>
  <c r="I3" i="31"/>
  <c r="C4" i="31"/>
  <c r="C3" i="31"/>
  <c r="E104" i="33"/>
  <c r="F104" i="33" s="1"/>
  <c r="G104" i="33" s="1"/>
  <c r="H104" i="33" s="1"/>
  <c r="I104" i="33" s="1"/>
  <c r="D104" i="33"/>
  <c r="T5" i="31"/>
  <c r="N38" i="33"/>
  <c r="N39" i="33"/>
  <c r="N37" i="33"/>
  <c r="B14" i="74"/>
  <c r="I47" i="33"/>
  <c r="G47" i="33"/>
  <c r="M38" i="33"/>
  <c r="M39" i="33"/>
  <c r="M37" i="33"/>
  <c r="I36" i="33"/>
  <c r="G36" i="33"/>
  <c r="E36" i="33"/>
  <c r="C36" i="33"/>
  <c r="I33" i="33"/>
  <c r="G33" i="33"/>
  <c r="E33" i="33"/>
  <c r="D92" i="33"/>
  <c r="C92" i="33"/>
  <c r="D93" i="33"/>
  <c r="C93" i="33"/>
  <c r="D89" i="33"/>
  <c r="E89" i="33" s="1"/>
  <c r="F89" i="33" s="1"/>
  <c r="G89" i="33" s="1"/>
  <c r="D66" i="33"/>
  <c r="E66" i="33" s="1"/>
  <c r="F66" i="33" s="1"/>
  <c r="G66" i="33" s="1"/>
  <c r="H66" i="33" s="1"/>
  <c r="I66" i="33" s="1"/>
  <c r="J66" i="33" s="1"/>
  <c r="E47" i="33" l="1"/>
  <c r="I7" i="33"/>
  <c r="G7" i="33"/>
  <c r="E7" i="33"/>
  <c r="I5" i="33"/>
  <c r="G5" i="33"/>
  <c r="E5" i="33"/>
  <c r="D16" i="80"/>
  <c r="J49" i="67"/>
  <c r="J49" i="15"/>
  <c r="Y6" i="1"/>
  <c r="B58" i="1" l="1"/>
  <c r="B21" i="1"/>
  <c r="N6" i="1"/>
  <c r="N21" i="1"/>
  <c r="N19" i="1"/>
  <c r="I14" i="3"/>
  <c r="I15" i="3"/>
  <c r="I16" i="3"/>
  <c r="I17" i="3"/>
  <c r="I18" i="3"/>
  <c r="I19" i="3"/>
  <c r="I20" i="3"/>
  <c r="C14" i="3"/>
  <c r="C15" i="3"/>
  <c r="A26" i="31" s="1"/>
  <c r="C16" i="3"/>
  <c r="A27" i="31" s="1"/>
  <c r="C17" i="3"/>
  <c r="A28" i="31" s="1"/>
  <c r="C18" i="3"/>
  <c r="A29" i="31" s="1"/>
  <c r="C19" i="3"/>
  <c r="A30" i="31" s="1"/>
  <c r="C20" i="3"/>
  <c r="A31" i="31" s="1"/>
  <c r="I13" i="3"/>
  <c r="C13" i="3"/>
  <c r="A25" i="31" s="1"/>
  <c r="D13" i="4"/>
  <c r="D3" i="4"/>
  <c r="I11" i="80"/>
  <c r="G14" i="73"/>
  <c r="F14" i="73"/>
  <c r="E14" i="73"/>
  <c r="C19" i="6" l="1"/>
  <c r="A24" i="3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F68" i="35"/>
  <c r="G68" i="35" s="1"/>
  <c r="H18" i="35"/>
  <c r="AB18" i="35" s="1"/>
  <c r="J18" i="35"/>
  <c r="H21" i="37"/>
  <c r="AB21" i="37" s="1"/>
  <c r="F21" i="37"/>
  <c r="AA21" i="37" s="1"/>
  <c r="H21" i="34"/>
  <c r="H21" i="33"/>
  <c r="F21" i="33"/>
  <c r="AA21" i="33" s="1"/>
  <c r="E83" i="21"/>
  <c r="F83" i="21" s="1"/>
  <c r="H1" i="69"/>
  <c r="U29" i="39"/>
  <c r="W29" i="39"/>
  <c r="U21" i="37"/>
  <c r="S21" i="37"/>
  <c r="S21" i="33"/>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B12" i="1" s="1"/>
  <c r="E12" i="1" s="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31" i="31" s="1"/>
  <c r="BT19" i="3"/>
  <c r="BS19" i="3"/>
  <c r="BR19" i="3"/>
  <c r="BQ19" i="3"/>
  <c r="BP19" i="3"/>
  <c r="BO19" i="3"/>
  <c r="BN19" i="3"/>
  <c r="BM19" i="3"/>
  <c r="BK19" i="3"/>
  <c r="BJ19" i="3"/>
  <c r="BI19" i="3"/>
  <c r="BH19" i="3"/>
  <c r="BG19" i="3"/>
  <c r="BF19" i="3"/>
  <c r="BE19" i="3"/>
  <c r="BD19" i="3"/>
  <c r="BC19" i="3"/>
  <c r="BB19" i="3"/>
  <c r="AX19" i="3"/>
  <c r="AW19" i="3"/>
  <c r="AV19" i="3"/>
  <c r="AC19" i="3"/>
  <c r="H19" i="3"/>
  <c r="G19" i="3" s="1"/>
  <c r="B30" i="31"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R102" i="31"/>
  <c r="S102" i="31" s="1"/>
  <c r="R103" i="31"/>
  <c r="S103" i="31" s="1"/>
  <c r="R104" i="31"/>
  <c r="S104" i="31" s="1"/>
  <c r="R105" i="31"/>
  <c r="R106" i="31"/>
  <c r="S106" i="31" s="1"/>
  <c r="R107" i="31"/>
  <c r="S107" i="31" s="1"/>
  <c r="R108" i="31"/>
  <c r="S108" i="31" s="1"/>
  <c r="R109" i="31"/>
  <c r="R110" i="3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R438" i="3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S456" i="31" s="1"/>
  <c r="R457" i="3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R502" i="3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R519" i="31"/>
  <c r="S519" i="31" s="1"/>
  <c r="R520" i="31"/>
  <c r="S520" i="31" s="1"/>
  <c r="R521" i="31"/>
  <c r="S521" i="31" s="1"/>
  <c r="R522" i="31"/>
  <c r="S522" i="31" s="1"/>
  <c r="R523" i="31"/>
  <c r="S523" i="31" s="1"/>
  <c r="R524" i="31"/>
  <c r="S524"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16" i="3"/>
  <c r="BO17" i="3"/>
  <c r="BN13" i="3"/>
  <c r="BN14" i="3"/>
  <c r="BN15" i="3"/>
  <c r="BN16" i="3"/>
  <c r="BN17" i="3"/>
  <c r="BP13" i="3"/>
  <c r="BL13" i="3" s="1"/>
  <c r="BP14" i="3"/>
  <c r="BP15" i="3"/>
  <c r="BP16" i="3"/>
  <c r="BP17" i="3"/>
  <c r="E20" i="6"/>
  <c r="U3" i="43"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F5" i="3" s="1"/>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4" i="31"/>
  <c r="S406" i="31"/>
  <c r="S402" i="31"/>
  <c r="S394" i="31"/>
  <c r="S382" i="31"/>
  <c r="S374" i="31"/>
  <c r="S370" i="31"/>
  <c r="S354" i="31"/>
  <c r="S334" i="31"/>
  <c r="S302" i="31"/>
  <c r="S282" i="31"/>
  <c r="S258" i="31"/>
  <c r="S253" i="31"/>
  <c r="S249" i="31"/>
  <c r="S245" i="31"/>
  <c r="S241" i="31"/>
  <c r="S237" i="31"/>
  <c r="S233" i="31"/>
  <c r="S229"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89" i="31"/>
  <c r="S486" i="31"/>
  <c r="S478" i="31"/>
  <c r="S473" i="31"/>
  <c r="S442" i="31"/>
  <c r="S438" i="31"/>
  <c r="S437" i="31"/>
  <c r="S430" i="31"/>
  <c r="S122" i="31"/>
  <c r="S114" i="31"/>
  <c r="S502" i="31"/>
  <c r="S466" i="31"/>
  <c r="S458" i="31"/>
  <c r="S457" i="31"/>
  <c r="S450" i="31"/>
  <c r="S53" i="31"/>
  <c r="S49" i="31"/>
  <c r="S45" i="31"/>
  <c r="S41" i="31"/>
  <c r="S37" i="31"/>
  <c r="S33" i="31"/>
  <c r="S70" i="31"/>
  <c r="S62" i="31"/>
  <c r="S90" i="31"/>
  <c r="S82" i="31"/>
  <c r="S98" i="31"/>
  <c r="S101" i="31"/>
  <c r="S105" i="31"/>
  <c r="S109" i="31"/>
  <c r="S110"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H111" i="33" s="1"/>
  <c r="I111" i="33" s="1"/>
  <c r="J111" i="33" s="1"/>
  <c r="K111" i="33" s="1"/>
  <c r="L111" i="33" s="1"/>
  <c r="M111" i="33" s="1"/>
  <c r="S517" i="31"/>
  <c r="S518"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B88" i="33"/>
  <c r="J26" i="33" s="1"/>
  <c r="AC26" i="33" s="1"/>
  <c r="C23" i="33"/>
  <c r="C19" i="33"/>
  <c r="C17" i="33"/>
  <c r="C15" i="33"/>
  <c r="C15" i="21"/>
  <c r="D125" i="33"/>
  <c r="D123" i="33"/>
  <c r="E123" i="33" s="1"/>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5" i="39"/>
  <c r="W45" i="39" s="1"/>
  <c r="J44" i="39"/>
  <c r="AC44" i="39" s="1"/>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H39" i="33"/>
  <c r="AB39" i="33" s="1"/>
  <c r="F26" i="33"/>
  <c r="AA26" i="33" s="1"/>
  <c r="S40" i="33"/>
  <c r="H39" i="37"/>
  <c r="AB39" i="37"/>
  <c r="S27" i="35"/>
  <c r="F11" i="40"/>
  <c r="AA11" i="40" s="1"/>
  <c r="H11" i="40"/>
  <c r="AB11" i="40" s="1"/>
  <c r="W8" i="40"/>
  <c r="AB39" i="40"/>
  <c r="AA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113" i="33" s="1"/>
  <c r="G113" i="33" s="1"/>
  <c r="H113" i="33" s="1"/>
  <c r="I113" i="33" s="1"/>
  <c r="J113" i="33" s="1"/>
  <c r="K113" i="33" s="1"/>
  <c r="L113" i="33" s="1"/>
  <c r="M113" i="33" s="1"/>
  <c r="F32" i="33"/>
  <c r="S32" i="33" s="1"/>
  <c r="J19" i="33"/>
  <c r="AC19" i="33" s="1"/>
  <c r="J15" i="33"/>
  <c r="AC15" i="33" s="1"/>
  <c r="F11" i="33"/>
  <c r="AA11" i="33" s="1"/>
  <c r="U40"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H15" i="33"/>
  <c r="AB15" i="33" s="1"/>
  <c r="H11" i="33"/>
  <c r="AB11" i="33" s="1"/>
  <c r="F28" i="40"/>
  <c r="AA28" i="40" s="1"/>
  <c r="AA29" i="35"/>
  <c r="AA42" i="34"/>
  <c r="S42" i="34"/>
  <c r="AC38" i="34"/>
  <c r="AA38" i="34"/>
  <c r="J37" i="34"/>
  <c r="AC37" i="34" s="1"/>
  <c r="J11" i="33"/>
  <c r="W11" i="33" s="1"/>
  <c r="S28" i="34"/>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H28" i="33"/>
  <c r="AB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44" i="33"/>
  <c r="AA14" i="33"/>
  <c r="J36" i="37"/>
  <c r="AC36" i="37" s="1"/>
  <c r="J10" i="36"/>
  <c r="AC10" i="36" s="1"/>
  <c r="AB30" i="21"/>
  <c r="AA14" i="37"/>
  <c r="W31" i="34"/>
  <c r="AB46" i="34"/>
  <c r="AA14" i="34"/>
  <c r="S45" i="33"/>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s="1"/>
  <c r="J36" i="40"/>
  <c r="W36" i="40" s="1"/>
  <c r="H19" i="37"/>
  <c r="AB19" i="37" s="1"/>
  <c r="J43" i="33"/>
  <c r="AC43" i="33" s="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67" i="3"/>
  <c r="AZ168" i="3"/>
  <c r="AZ120" i="3"/>
  <c r="G534" i="3"/>
  <c r="G530" i="3"/>
  <c r="G522" i="3"/>
  <c r="G516" i="3"/>
  <c r="G512" i="3"/>
  <c r="G506" i="3"/>
  <c r="G498" i="3"/>
  <c r="G494" i="3"/>
  <c r="G16" i="3"/>
  <c r="B27" i="31" s="1"/>
  <c r="G15" i="3"/>
  <c r="B26" i="31" s="1"/>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Z341" i="3"/>
  <c r="AC5" i="3"/>
  <c r="AZ506" i="3"/>
  <c r="AZ496" i="3"/>
  <c r="G548" i="3"/>
  <c r="G538" i="3"/>
  <c r="G520" i="3"/>
  <c r="G502" i="3"/>
  <c r="BI5" i="3"/>
  <c r="BE5" i="3"/>
  <c r="G17" i="3"/>
  <c r="B28" i="31" s="1"/>
  <c r="BA17" i="3"/>
  <c r="AZ356" i="3"/>
  <c r="BR5" i="3"/>
  <c r="AZ380" i="3"/>
  <c r="AZ392" i="3"/>
  <c r="AZ499" i="3"/>
  <c r="G509" i="3"/>
  <c r="BL493" i="3"/>
  <c r="AZ493" i="3" s="1"/>
  <c r="U36" i="40"/>
  <c r="F83" i="43"/>
  <c r="H85" i="43" s="1"/>
  <c r="F50" i="43"/>
  <c r="H54" i="43" s="1"/>
  <c r="F72" i="43"/>
  <c r="H75" i="43" s="1"/>
  <c r="U17" i="39"/>
  <c r="S14" i="35"/>
  <c r="U43" i="21"/>
  <c r="U35" i="21"/>
  <c r="AC35" i="21"/>
  <c r="G10" i="1"/>
  <c r="AC11" i="39"/>
  <c r="AZ563" i="3"/>
  <c r="W37" i="37"/>
  <c r="W44" i="34"/>
  <c r="AC44" i="34"/>
  <c r="S15" i="37"/>
  <c r="U13" i="37"/>
  <c r="U12" i="40"/>
  <c r="AA12" i="40"/>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50"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AZ465" i="3"/>
  <c r="W12" i="33"/>
  <c r="AC12" i="33"/>
  <c r="AA32" i="36"/>
  <c r="S32" i="36"/>
  <c r="U30" i="33"/>
  <c r="AC13" i="34"/>
  <c r="AA47" i="34"/>
  <c r="W28" i="37"/>
  <c r="S19" i="39"/>
  <c r="F12" i="33"/>
  <c r="H12" i="39"/>
  <c r="AB12" i="39"/>
  <c r="F39" i="40"/>
  <c r="AZ224" i="3"/>
  <c r="B10" i="1"/>
  <c r="E10" i="1" s="1"/>
  <c r="K12" i="1"/>
  <c r="M12" i="1" s="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W35" i="33" s="1"/>
  <c r="J32" i="33"/>
  <c r="AC32" i="33" s="1"/>
  <c r="S46" i="33"/>
  <c r="F87" i="33"/>
  <c r="H25" i="33"/>
  <c r="AB25" i="33" s="1"/>
  <c r="F25" i="33"/>
  <c r="S25" i="33" s="1"/>
  <c r="J23" i="33"/>
  <c r="AC23" i="33" s="1"/>
  <c r="F85" i="33"/>
  <c r="H23" i="33"/>
  <c r="U23" i="33" s="1"/>
  <c r="F81" i="33"/>
  <c r="G81" i="33" s="1"/>
  <c r="F19" i="33"/>
  <c r="S19" i="33" s="1"/>
  <c r="J17" i="33"/>
  <c r="W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S36" i="33"/>
  <c r="G87" i="33"/>
  <c r="H87" i="33" s="1"/>
  <c r="I87" i="33" s="1"/>
  <c r="J87" i="33" s="1"/>
  <c r="K87" i="33" s="1"/>
  <c r="L87" i="33" s="1"/>
  <c r="M87" i="33" s="1"/>
  <c r="J25" i="33"/>
  <c r="AC25" i="33" s="1"/>
  <c r="F23" i="33"/>
  <c r="G85" i="33"/>
  <c r="H19" i="33"/>
  <c r="U19" i="33" s="1"/>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U23" i="21"/>
  <c r="W23" i="2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F4" i="73"/>
  <c r="F3" i="73"/>
  <c r="E2" i="69"/>
  <c r="B13" i="76"/>
  <c r="F6" i="73"/>
  <c r="F5" i="73"/>
  <c r="E13" i="76"/>
  <c r="B11" i="76"/>
  <c r="E12" i="76"/>
  <c r="E10" i="76"/>
  <c r="B7" i="76"/>
  <c r="E7" i="76"/>
  <c r="B9" i="76"/>
  <c r="B12" i="76"/>
  <c r="B10" i="76"/>
  <c r="E2" i="68"/>
  <c r="F7" i="73"/>
  <c r="E11" i="76"/>
  <c r="F20" i="31"/>
  <c r="E9" i="76"/>
  <c r="E8" i="76"/>
  <c r="AO13" i="1"/>
  <c r="B8" i="76"/>
  <c r="H42" i="33" l="1"/>
  <c r="AB42" i="33" s="1"/>
  <c r="F6" i="1"/>
  <c r="AZ17" i="3"/>
  <c r="F7" i="1"/>
  <c r="G7" i="1" s="1"/>
  <c r="F16" i="4"/>
  <c r="A18" i="51" s="1"/>
  <c r="B13" i="72" s="1"/>
  <c r="H37" i="33"/>
  <c r="AB37" i="33" s="1"/>
  <c r="J37" i="33"/>
  <c r="W37" i="33" s="1"/>
  <c r="W15" i="33"/>
  <c r="U15" i="33"/>
  <c r="S15" i="33"/>
  <c r="AB23" i="33"/>
  <c r="S26" i="33"/>
  <c r="G91" i="33"/>
  <c r="H91" i="33" s="1"/>
  <c r="I91" i="33" s="1"/>
  <c r="J91" i="33" s="1"/>
  <c r="K91" i="33" s="1"/>
  <c r="L91" i="33" s="1"/>
  <c r="M91" i="33" s="1"/>
  <c r="J27" i="33"/>
  <c r="W27" i="33" s="1"/>
  <c r="F27" i="33"/>
  <c r="AA27" i="33" s="1"/>
  <c r="H27" i="33"/>
  <c r="U27" i="33" s="1"/>
  <c r="AA34" i="33"/>
  <c r="U39" i="33"/>
  <c r="AA39" i="33"/>
  <c r="W39" i="33"/>
  <c r="S37" i="33"/>
  <c r="AB36" i="33"/>
  <c r="W43" i="33"/>
  <c r="S43" i="33"/>
  <c r="F123" i="33"/>
  <c r="G123" i="33" s="1"/>
  <c r="H123" i="33" s="1"/>
  <c r="I123" i="33" s="1"/>
  <c r="J123" i="33" s="1"/>
  <c r="K123" i="33" s="1"/>
  <c r="L123" i="33" s="1"/>
  <c r="M123" i="33" s="1"/>
  <c r="J42" i="33"/>
  <c r="AC42" i="33" s="1"/>
  <c r="S42" i="33"/>
  <c r="W41" i="33"/>
  <c r="W32" i="33"/>
  <c r="AA32" i="33"/>
  <c r="W26" i="33"/>
  <c r="U25" i="33"/>
  <c r="W25" i="33"/>
  <c r="AC21" i="33"/>
  <c r="W19" i="33"/>
  <c r="AB19" i="33"/>
  <c r="AA19" i="33"/>
  <c r="AA17" i="33"/>
  <c r="AC17" i="33"/>
  <c r="AB38" i="33"/>
  <c r="W38" i="33"/>
  <c r="S38" i="33"/>
  <c r="U37" i="33"/>
  <c r="AC37" i="33"/>
  <c r="U35" i="33"/>
  <c r="AC35" i="33"/>
  <c r="AA35" i="33"/>
  <c r="AB34" i="33"/>
  <c r="AC34" i="33"/>
  <c r="U32" i="33"/>
  <c r="S28" i="33"/>
  <c r="W28" i="33"/>
  <c r="U28" i="33"/>
  <c r="W8" i="33"/>
  <c r="BA14" i="3"/>
  <c r="AZ14" i="3" s="1"/>
  <c r="BD5" i="3"/>
  <c r="BH5" i="3"/>
  <c r="BJ5" i="3"/>
  <c r="BN5" i="3"/>
  <c r="BL14" i="3"/>
  <c r="F19" i="6"/>
  <c r="E19" i="6" s="1"/>
  <c r="B24" i="31"/>
  <c r="K10" i="1"/>
  <c r="M10" i="1" s="1"/>
  <c r="O10" i="1" s="1"/>
  <c r="P10" i="1" s="1"/>
  <c r="K11" i="1"/>
  <c r="M11" i="1" s="1"/>
  <c r="O11" i="1" s="1"/>
  <c r="D51" i="43"/>
  <c r="D55" i="43"/>
  <c r="D54" i="43"/>
  <c r="D58" i="43"/>
  <c r="C40" i="68"/>
  <c r="C21" i="68"/>
  <c r="G1" i="69"/>
  <c r="G1" i="15"/>
  <c r="K7" i="1"/>
  <c r="M7" i="1" s="1"/>
  <c r="O7" i="1" s="1"/>
  <c r="P7" i="1" s="1"/>
  <c r="G1" i="67"/>
  <c r="K1" i="12"/>
  <c r="F3" i="35"/>
  <c r="BK5" i="3"/>
  <c r="BG5" i="3"/>
  <c r="BC5" i="3"/>
  <c r="BS5" i="3"/>
  <c r="H5" i="3"/>
  <c r="G18" i="3"/>
  <c r="B29" i="31" s="1"/>
  <c r="BB5" i="3"/>
  <c r="E8" i="6" s="1"/>
  <c r="F27" i="6" s="1"/>
  <c r="BA13" i="3"/>
  <c r="AZ13" i="3" s="1"/>
  <c r="BP5" i="3"/>
  <c r="G29" i="6" s="1"/>
  <c r="G13" i="3"/>
  <c r="B25" i="31" s="1"/>
  <c r="F29" i="6"/>
  <c r="B13" i="53"/>
  <c r="B29" i="72" s="1"/>
  <c r="AA25" i="33"/>
  <c r="AC17" i="21"/>
  <c r="AZ313" i="3"/>
  <c r="AZ394" i="3"/>
  <c r="AZ531" i="3"/>
  <c r="AZ583" i="3"/>
  <c r="AZ576" i="3"/>
  <c r="AA11" i="36"/>
  <c r="S11" i="36"/>
  <c r="S38" i="40"/>
  <c r="AA38" i="40"/>
  <c r="AZ334" i="3"/>
  <c r="AZ515" i="3"/>
  <c r="AZ523" i="3"/>
  <c r="AZ533" i="3"/>
  <c r="AZ547" i="3"/>
  <c r="AZ561" i="3"/>
  <c r="AZ569" i="3"/>
  <c r="AZ571" i="3"/>
  <c r="AZ579" i="3"/>
  <c r="AZ524" i="3"/>
  <c r="AC28" i="21"/>
  <c r="AB26" i="33"/>
  <c r="U26" i="33"/>
  <c r="AB34" i="35"/>
  <c r="U34" i="35"/>
  <c r="AC31" i="40"/>
  <c r="W31" i="40"/>
  <c r="AC27" i="33"/>
  <c r="AC23" i="37"/>
  <c r="AC9" i="21"/>
  <c r="U9" i="21"/>
  <c r="AZ387" i="3"/>
  <c r="AZ362" i="3"/>
  <c r="AZ338" i="3"/>
  <c r="AZ390" i="3"/>
  <c r="AZ371" i="3"/>
  <c r="AZ351" i="3"/>
  <c r="AZ336" i="3"/>
  <c r="AZ305" i="3"/>
  <c r="AZ360" i="3"/>
  <c r="AZ539" i="3"/>
  <c r="AZ529" i="3"/>
  <c r="AZ537" i="3"/>
  <c r="AZ518" i="3"/>
  <c r="AZ526" i="3"/>
  <c r="AZ546" i="3"/>
  <c r="AZ564" i="3"/>
  <c r="AZ580" i="3"/>
  <c r="AB46" i="33"/>
  <c r="U46" i="33"/>
  <c r="AC25" i="37"/>
  <c r="W25" i="37"/>
  <c r="S13" i="21"/>
  <c r="AZ306" i="3"/>
  <c r="AZ513" i="3"/>
  <c r="AZ502" i="3"/>
  <c r="AC11" i="40"/>
  <c r="C25" i="39"/>
  <c r="U9" i="40"/>
  <c r="U34" i="34"/>
  <c r="W28" i="35"/>
  <c r="J33" i="36"/>
  <c r="AC33" i="36" s="1"/>
  <c r="F45" i="39"/>
  <c r="G585" i="3"/>
  <c r="BL587" i="3"/>
  <c r="AZ587" i="3" s="1"/>
  <c r="BL586" i="3"/>
  <c r="AZ586" i="3" s="1"/>
  <c r="B79" i="43"/>
  <c r="F12" i="34"/>
  <c r="S12" i="34" s="1"/>
  <c r="F12" i="35"/>
  <c r="J12" i="35"/>
  <c r="H38" i="40"/>
  <c r="H25" i="37"/>
  <c r="F25" i="37"/>
  <c r="BL585" i="3"/>
  <c r="AZ585" i="3" s="1"/>
  <c r="J9" i="33"/>
  <c r="J9" i="34"/>
  <c r="J12" i="36"/>
  <c r="J38" i="40"/>
  <c r="AZ448" i="3"/>
  <c r="AZ466" i="3"/>
  <c r="BL550" i="3"/>
  <c r="AZ458" i="3"/>
  <c r="AZ462" i="3"/>
  <c r="AZ483" i="3"/>
  <c r="P65" i="71"/>
  <c r="P66" i="71"/>
  <c r="B27" i="71"/>
  <c r="B26" i="71" s="1"/>
  <c r="S28" i="71"/>
  <c r="Y29" i="71"/>
  <c r="Z29" i="71" s="1"/>
  <c r="C30" i="71"/>
  <c r="X28" i="71"/>
  <c r="X31" i="71"/>
  <c r="C55" i="71"/>
  <c r="D54" i="71"/>
  <c r="B66" i="71"/>
  <c r="N67" i="71"/>
  <c r="C67" i="71"/>
  <c r="T68" i="71"/>
  <c r="O68" i="71"/>
  <c r="D68" i="71"/>
  <c r="F79" i="71"/>
  <c r="F78" i="71" s="1"/>
  <c r="V80" i="71"/>
  <c r="Y27" i="71"/>
  <c r="Z27" i="71" s="1"/>
  <c r="Y26" i="71"/>
  <c r="Z26" i="71" s="1"/>
  <c r="Y25" i="71"/>
  <c r="Z25" i="71"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82" i="3"/>
  <c r="BA484" i="3"/>
  <c r="AZ484" i="3" s="1"/>
  <c r="BA367" i="3"/>
  <c r="AZ367" i="3" s="1"/>
  <c r="BA370" i="3"/>
  <c r="AZ370" i="3" s="1"/>
  <c r="BA386" i="3"/>
  <c r="AZ386" i="3" s="1"/>
  <c r="BA218" i="3"/>
  <c r="BL218" i="3"/>
  <c r="BA227" i="3"/>
  <c r="AZ227" i="3" s="1"/>
  <c r="BL231"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G468" i="3"/>
  <c r="G469" i="3"/>
  <c r="BL473" i="3"/>
  <c r="AZ473" i="3" s="1"/>
  <c r="BL474" i="3"/>
  <c r="G485" i="3"/>
  <c r="BA487" i="3"/>
  <c r="AZ487" i="3" s="1"/>
  <c r="BA315" i="3"/>
  <c r="AZ315" i="3" s="1"/>
  <c r="BL340" i="3"/>
  <c r="AZ340" i="3" s="1"/>
  <c r="BL346" i="3"/>
  <c r="AZ346" i="3" s="1"/>
  <c r="G349" i="3"/>
  <c r="G380" i="3"/>
  <c r="G387" i="3"/>
  <c r="BA233" i="3"/>
  <c r="AZ233" i="3" s="1"/>
  <c r="G128" i="3"/>
  <c r="BL146" i="3"/>
  <c r="AZ146" i="3" s="1"/>
  <c r="BL154" i="3"/>
  <c r="Y28" i="71"/>
  <c r="Z28" i="71" s="1"/>
  <c r="C47" i="71"/>
  <c r="D47" i="71" s="1"/>
  <c r="D46" i="71"/>
  <c r="BA551" i="3"/>
  <c r="AZ551" i="3" s="1"/>
  <c r="BA550" i="3"/>
  <c r="AZ550" i="3" s="1"/>
  <c r="BL548" i="3"/>
  <c r="AZ548" i="3" s="1"/>
  <c r="BL16" i="3"/>
  <c r="AZ16" i="3" s="1"/>
  <c r="BA401" i="3"/>
  <c r="AZ401" i="3" s="1"/>
  <c r="BA403" i="3"/>
  <c r="AZ403" i="3" s="1"/>
  <c r="BA404" i="3"/>
  <c r="AZ404" i="3" s="1"/>
  <c r="BA405" i="3"/>
  <c r="BL410" i="3"/>
  <c r="G412" i="3"/>
  <c r="G418" i="3"/>
  <c r="BA422" i="3"/>
  <c r="G429" i="3"/>
  <c r="BL431" i="3"/>
  <c r="G433" i="3"/>
  <c r="BL434" i="3"/>
  <c r="G436" i="3"/>
  <c r="BL438" i="3"/>
  <c r="BL439" i="3"/>
  <c r="BA441" i="3"/>
  <c r="BL445" i="3"/>
  <c r="BL446" i="3"/>
  <c r="BL449" i="3"/>
  <c r="BL450" i="3"/>
  <c r="BL452" i="3"/>
  <c r="G454" i="3"/>
  <c r="BL456" i="3"/>
  <c r="BA464" i="3"/>
  <c r="AZ464" i="3" s="1"/>
  <c r="BL467" i="3"/>
  <c r="BL468" i="3"/>
  <c r="BL470" i="3"/>
  <c r="BA486" i="3"/>
  <c r="BL488" i="3"/>
  <c r="G489" i="3"/>
  <c r="BL489" i="3"/>
  <c r="BL491" i="3"/>
  <c r="BL492" i="3"/>
  <c r="G307" i="3"/>
  <c r="G323" i="3"/>
  <c r="BA333" i="3"/>
  <c r="G213" i="3"/>
  <c r="BA214" i="3"/>
  <c r="BA216" i="3"/>
  <c r="AZ216" i="3" s="1"/>
  <c r="BL219" i="3"/>
  <c r="BL220" i="3"/>
  <c r="BL221" i="3"/>
  <c r="BL223" i="3"/>
  <c r="G226" i="3"/>
  <c r="BA229" i="3"/>
  <c r="BL229" i="3"/>
  <c r="BA231" i="3"/>
  <c r="BL235" i="3"/>
  <c r="AZ235" i="3" s="1"/>
  <c r="BL236" i="3"/>
  <c r="BL238" i="3"/>
  <c r="BL252" i="3"/>
  <c r="G295" i="3"/>
  <c r="G150" i="3"/>
  <c r="BL163" i="3"/>
  <c r="AZ163" i="3" s="1"/>
  <c r="BA189" i="3"/>
  <c r="E34" i="71"/>
  <c r="E35" i="71" s="1"/>
  <c r="E36" i="71" s="1"/>
  <c r="U36" i="71" s="1"/>
  <c r="AA30" i="71"/>
  <c r="AA28" i="71"/>
  <c r="BL243" i="3"/>
  <c r="BA247" i="3"/>
  <c r="AZ247" i="3" s="1"/>
  <c r="BL247" i="3"/>
  <c r="BA249" i="3"/>
  <c r="AZ249" i="3" s="1"/>
  <c r="BL249" i="3"/>
  <c r="BA251" i="3"/>
  <c r="AZ251" i="3" s="1"/>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L20" i="3"/>
  <c r="BA21" i="3"/>
  <c r="AZ21" i="3" s="1"/>
  <c r="BA53" i="3"/>
  <c r="AZ53" i="3" s="1"/>
  <c r="BA54" i="3"/>
  <c r="BL65" i="3"/>
  <c r="AZ65" i="3" s="1"/>
  <c r="BA87" i="3"/>
  <c r="BA89" i="3"/>
  <c r="S18" i="35"/>
  <c r="AA18" i="35"/>
  <c r="D75" i="71"/>
  <c r="C74" i="71"/>
  <c r="D74" i="71" s="1"/>
  <c r="D60" i="71"/>
  <c r="T60" i="71"/>
  <c r="C44" i="71"/>
  <c r="D43" i="71"/>
  <c r="B71" i="71"/>
  <c r="B70" i="71" s="1"/>
  <c r="S72" i="71"/>
  <c r="X25" i="71"/>
  <c r="X26" i="71"/>
  <c r="C23" i="71"/>
  <c r="B22" i="71"/>
  <c r="B21" i="71" s="1"/>
  <c r="B20" i="71" s="1"/>
  <c r="AA3" i="71"/>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L24" i="3"/>
  <c r="BA26" i="3"/>
  <c r="BL28" i="3"/>
  <c r="BA29" i="3"/>
  <c r="AZ29" i="3" s="1"/>
  <c r="BL34" i="3"/>
  <c r="BA36" i="3"/>
  <c r="BL38" i="3"/>
  <c r="BA39" i="3"/>
  <c r="AZ39" i="3" s="1"/>
  <c r="BL44" i="3"/>
  <c r="BA45" i="3"/>
  <c r="BA46" i="3"/>
  <c r="BL47" i="3"/>
  <c r="AZ47" i="3" s="1"/>
  <c r="G50" i="3"/>
  <c r="G52" i="3"/>
  <c r="BA52" i="3"/>
  <c r="AZ52" i="3" s="1"/>
  <c r="BA56" i="3"/>
  <c r="BA57" i="3"/>
  <c r="AZ57" i="3" s="1"/>
  <c r="BL58" i="3"/>
  <c r="BA60" i="3"/>
  <c r="BL62" i="3"/>
  <c r="AZ62" i="3" s="1"/>
  <c r="BL63" i="3"/>
  <c r="AZ63" i="3" s="1"/>
  <c r="BA77" i="3"/>
  <c r="AB21" i="34"/>
  <c r="U21" i="34"/>
  <c r="C40" i="71"/>
  <c r="D39" i="71"/>
  <c r="C35" i="71"/>
  <c r="T76" i="71"/>
  <c r="D76" i="71"/>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L23" i="3"/>
  <c r="AZ25" i="3"/>
  <c r="G32" i="3"/>
  <c r="G42" i="3"/>
  <c r="BA55" i="3"/>
  <c r="BL69" i="3"/>
  <c r="G70" i="3"/>
  <c r="BL70" i="3"/>
  <c r="AZ70" i="3" s="1"/>
  <c r="BL71" i="3"/>
  <c r="BL72" i="3"/>
  <c r="AZ72" i="3" s="1"/>
  <c r="G74" i="3"/>
  <c r="BA75" i="3"/>
  <c r="G106" i="3"/>
  <c r="BL106" i="3"/>
  <c r="BA108" i="3"/>
  <c r="AZ108" i="3" s="1"/>
  <c r="W21" i="21"/>
  <c r="W21" i="37"/>
  <c r="AC21" i="37"/>
  <c r="W25" i="40"/>
  <c r="AC25" i="40"/>
  <c r="B32" i="71"/>
  <c r="S32" i="71" s="1"/>
  <c r="AB26" i="71"/>
  <c r="AB27" i="71"/>
  <c r="BA202" i="3"/>
  <c r="BL207" i="3"/>
  <c r="BL18" i="3"/>
  <c r="BL19" i="3"/>
  <c r="BA20" i="3"/>
  <c r="BL25" i="3"/>
  <c r="BL27" i="3"/>
  <c r="AZ27" i="3" s="1"/>
  <c r="BA28" i="3"/>
  <c r="AZ28" i="3" s="1"/>
  <c r="BA31" i="3"/>
  <c r="BA32" i="3"/>
  <c r="G38" i="3"/>
  <c r="BA38" i="3"/>
  <c r="BA41" i="3"/>
  <c r="BA42" i="3"/>
  <c r="G47" i="3"/>
  <c r="BL48" i="3"/>
  <c r="BL54" i="3"/>
  <c r="BL55" i="3"/>
  <c r="G58" i="3"/>
  <c r="BA59" i="3"/>
  <c r="BL61" i="3"/>
  <c r="G64" i="3"/>
  <c r="BA64" i="3"/>
  <c r="AZ64" i="3" s="1"/>
  <c r="G67" i="3"/>
  <c r="BL68" i="3"/>
  <c r="BA69" i="3"/>
  <c r="BA73" i="3"/>
  <c r="G81" i="3"/>
  <c r="BL85" i="3"/>
  <c r="BA86" i="3"/>
  <c r="AZ86" i="3" s="1"/>
  <c r="BA104" i="3"/>
  <c r="BA109" i="3"/>
  <c r="AC18" i="36"/>
  <c r="W18" i="36"/>
  <c r="AB25" i="40"/>
  <c r="U25" i="40"/>
  <c r="C86" i="71"/>
  <c r="D86" i="71" s="1"/>
  <c r="D87" i="71"/>
  <c r="C52" i="71"/>
  <c r="D51" i="71"/>
  <c r="AB34" i="71"/>
  <c r="C63" i="71"/>
  <c r="D62" i="71"/>
  <c r="F66" i="71"/>
  <c r="Q67" i="71"/>
  <c r="P68" i="71"/>
  <c r="U68" i="71"/>
  <c r="BA198" i="3"/>
  <c r="AZ198" i="3" s="1"/>
  <c r="G199" i="3"/>
  <c r="G204" i="3"/>
  <c r="G205" i="3"/>
  <c r="BL206" i="3"/>
  <c r="BA19" i="3"/>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A68" i="3"/>
  <c r="BL74" i="3"/>
  <c r="AZ74" i="3" s="1"/>
  <c r="G75" i="3"/>
  <c r="BL75" i="3"/>
  <c r="BA80" i="3"/>
  <c r="BL84" i="3"/>
  <c r="G89" i="3"/>
  <c r="BA90" i="3"/>
  <c r="BA92" i="3"/>
  <c r="BL96" i="3"/>
  <c r="BL97" i="3"/>
  <c r="AZ97" i="3" s="1"/>
  <c r="G103" i="3"/>
  <c r="BA103" i="3"/>
  <c r="AZ103" i="3" s="1"/>
  <c r="BA110" i="3"/>
  <c r="AZ110" i="3" s="1"/>
  <c r="B13" i="1"/>
  <c r="E13" i="1" s="1"/>
  <c r="K13" i="1"/>
  <c r="F40" i="69"/>
  <c r="C40" i="69"/>
  <c r="U21" i="33"/>
  <c r="AB21" i="33"/>
  <c r="AC18" i="35"/>
  <c r="W18" i="35"/>
  <c r="B100" i="43"/>
  <c r="B57" i="43"/>
  <c r="B68" i="43"/>
  <c r="AB25" i="71"/>
  <c r="AB28" i="71"/>
  <c r="T28" i="71"/>
  <c r="D28" i="71"/>
  <c r="U28" i="71" s="1"/>
  <c r="C27" i="71"/>
  <c r="X33" i="71"/>
  <c r="X34" i="71"/>
  <c r="X36" i="71"/>
  <c r="AB37" i="71"/>
  <c r="AB35" i="71"/>
  <c r="V72" i="71"/>
  <c r="F71" i="71"/>
  <c r="F70" i="71" s="1"/>
  <c r="V24" i="71"/>
  <c r="E23" i="71"/>
  <c r="E22" i="71" s="1"/>
  <c r="E21" i="71" s="1"/>
  <c r="E20" i="71" s="1"/>
  <c r="BA66" i="3"/>
  <c r="AZ66" i="3" s="1"/>
  <c r="BA71" i="3"/>
  <c r="AZ71" i="3" s="1"/>
  <c r="G76" i="3"/>
  <c r="BL77" i="3"/>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M6" i="67"/>
  <c r="F26" i="67"/>
  <c r="F37" i="15"/>
  <c r="F8" i="67"/>
  <c r="F40" i="67"/>
  <c r="F42" i="15"/>
  <c r="L47" i="15"/>
  <c r="M9" i="67"/>
  <c r="F36" i="15"/>
  <c r="M8" i="15"/>
  <c r="F6" i="15"/>
  <c r="M24" i="67"/>
  <c r="D7" i="73"/>
  <c r="M26" i="15"/>
  <c r="C36" i="68"/>
  <c r="M8" i="67"/>
  <c r="M23" i="67"/>
  <c r="M22" i="15"/>
  <c r="M23" i="15"/>
  <c r="L47" i="67"/>
  <c r="F26" i="15"/>
  <c r="D9" i="69"/>
  <c r="J15" i="67"/>
  <c r="M28" i="67"/>
  <c r="F13" i="15"/>
  <c r="M6" i="15"/>
  <c r="D5" i="73"/>
  <c r="M24" i="15"/>
  <c r="M26" i="67"/>
  <c r="J15" i="15"/>
  <c r="C36" i="69"/>
  <c r="F37" i="67"/>
  <c r="F6" i="67"/>
  <c r="C76" i="15"/>
  <c r="F36" i="67"/>
  <c r="F40" i="15"/>
  <c r="M22" i="67"/>
  <c r="D3" i="73"/>
  <c r="F9" i="67"/>
  <c r="F38" i="15"/>
  <c r="F13" i="67"/>
  <c r="F9" i="15"/>
  <c r="C76" i="67"/>
  <c r="F8" i="15"/>
  <c r="L48" i="67"/>
  <c r="M9" i="15"/>
  <c r="F42" i="67"/>
  <c r="F38" i="67"/>
  <c r="L48" i="15"/>
  <c r="M28" i="15"/>
  <c r="F16" i="67"/>
  <c r="F16" i="15"/>
  <c r="D4" i="73"/>
  <c r="U42" i="33" l="1"/>
  <c r="C29" i="31"/>
  <c r="N370" i="46"/>
  <c r="E15" i="6"/>
  <c r="E64" i="39" s="1"/>
  <c r="K6" i="1"/>
  <c r="C33" i="33"/>
  <c r="A19" i="51"/>
  <c r="B14" i="72" s="1"/>
  <c r="C26" i="31"/>
  <c r="S27" i="33"/>
  <c r="AB27" i="33"/>
  <c r="W42" i="33"/>
  <c r="C30" i="31"/>
  <c r="C28" i="31"/>
  <c r="E13" i="6"/>
  <c r="E12" i="6"/>
  <c r="E57" i="40" s="1"/>
  <c r="E10" i="6"/>
  <c r="M6" i="1"/>
  <c r="O6" i="1" s="1"/>
  <c r="E14" i="6"/>
  <c r="E63" i="39" s="1"/>
  <c r="E11" i="6"/>
  <c r="E60" i="39" s="1"/>
  <c r="N94" i="46"/>
  <c r="E28" i="6"/>
  <c r="K14" i="1" s="1"/>
  <c r="G26" i="43"/>
  <c r="C25" i="31"/>
  <c r="C27" i="31"/>
  <c r="C31" i="31"/>
  <c r="J26" i="43"/>
  <c r="B22" i="31"/>
  <c r="F26" i="43"/>
  <c r="D26" i="43" s="1"/>
  <c r="C25" i="43" s="1"/>
  <c r="E26" i="43"/>
  <c r="J57" i="15"/>
  <c r="J55" i="15" s="1"/>
  <c r="J58" i="15" s="1"/>
  <c r="Q50" i="15" s="1"/>
  <c r="I54" i="15"/>
  <c r="J53" i="15"/>
  <c r="L56" i="15" s="1"/>
  <c r="M59" i="15"/>
  <c r="L59" i="15"/>
  <c r="Q61" i="15" s="1"/>
  <c r="N59" i="15"/>
  <c r="L58" i="15"/>
  <c r="Q60" i="15" s="1"/>
  <c r="F51" i="15"/>
  <c r="F66" i="15"/>
  <c r="C27" i="67"/>
  <c r="F68" i="67"/>
  <c r="F66" i="67"/>
  <c r="N59" i="67"/>
  <c r="L59" i="67"/>
  <c r="Q61" i="67" s="1"/>
  <c r="L58" i="67"/>
  <c r="Q73" i="67" s="1"/>
  <c r="M59" i="67"/>
  <c r="Q71" i="67"/>
  <c r="J53" i="67"/>
  <c r="F1" i="67" s="1"/>
  <c r="J57" i="67"/>
  <c r="J55" i="67" s="1"/>
  <c r="J58" i="67" s="1"/>
  <c r="Q50" i="67" s="1"/>
  <c r="I54" i="67"/>
  <c r="L56" i="67"/>
  <c r="F64" i="67"/>
  <c r="F65" i="67"/>
  <c r="F51" i="67"/>
  <c r="M13" i="1"/>
  <c r="AZ20" i="3"/>
  <c r="AZ19" i="3"/>
  <c r="P6" i="1"/>
  <c r="C13" i="12" s="1"/>
  <c r="Q16" i="1"/>
  <c r="F27" i="11" s="1"/>
  <c r="C29" i="11" s="1"/>
  <c r="D27" i="11" s="1"/>
  <c r="H16" i="1"/>
  <c r="E29" i="6"/>
  <c r="K15" i="1" s="1"/>
  <c r="K16" i="1" s="1"/>
  <c r="G30" i="6"/>
  <c r="G31" i="6" s="1"/>
  <c r="E59" i="40"/>
  <c r="G16" i="1"/>
  <c r="F10" i="39" s="1"/>
  <c r="S10" i="39" s="1"/>
  <c r="D20" i="53"/>
  <c r="B40" i="72" s="1"/>
  <c r="F68" i="15"/>
  <c r="F65" i="15"/>
  <c r="C27" i="15"/>
  <c r="F64" i="15"/>
  <c r="F31" i="15"/>
  <c r="Q71" i="15"/>
  <c r="C64" i="71"/>
  <c r="D63" i="71"/>
  <c r="AZ69" i="3"/>
  <c r="AZ55" i="3"/>
  <c r="AZ271" i="3"/>
  <c r="T40" i="71"/>
  <c r="D40" i="71"/>
  <c r="AZ297" i="3"/>
  <c r="AZ241" i="3"/>
  <c r="B19" i="71"/>
  <c r="B18" i="71" s="1"/>
  <c r="B17" i="71" s="1"/>
  <c r="B16" i="71" s="1"/>
  <c r="S20" i="71"/>
  <c r="AZ229" i="3"/>
  <c r="AZ421" i="3"/>
  <c r="AZ414" i="3"/>
  <c r="N65" i="71"/>
  <c r="N66" i="71"/>
  <c r="AC38" i="40"/>
  <c r="W38" i="40"/>
  <c r="J7" i="36"/>
  <c r="AC7" i="36" s="1"/>
  <c r="V36" i="36" s="1"/>
  <c r="I36" i="36" s="1"/>
  <c r="C26" i="71"/>
  <c r="D26" i="71" s="1"/>
  <c r="D27" i="71"/>
  <c r="AZ41" i="3"/>
  <c r="AZ31" i="3"/>
  <c r="AZ75" i="3"/>
  <c r="AZ256" i="3"/>
  <c r="D23" i="71"/>
  <c r="C22" i="71"/>
  <c r="AZ441" i="3"/>
  <c r="AZ422" i="3"/>
  <c r="AZ405" i="3"/>
  <c r="AZ457" i="3"/>
  <c r="AZ218" i="3"/>
  <c r="C31" i="71"/>
  <c r="D30" i="71"/>
  <c r="W12" i="36"/>
  <c r="AC12" i="36"/>
  <c r="AA25" i="37"/>
  <c r="S25" i="37"/>
  <c r="AB38" i="40"/>
  <c r="U38" i="40"/>
  <c r="S45" i="39"/>
  <c r="AA45" i="39"/>
  <c r="J7" i="37"/>
  <c r="AC7" i="37" s="1"/>
  <c r="G5" i="3"/>
  <c r="B3" i="3" s="1"/>
  <c r="E536" i="3" s="1"/>
  <c r="AZ59" i="3"/>
  <c r="C36" i="71"/>
  <c r="D35" i="71"/>
  <c r="AZ38" i="3"/>
  <c r="AZ189" i="3"/>
  <c r="D67" i="71"/>
  <c r="C66" i="71"/>
  <c r="O67" i="71"/>
  <c r="C56" i="71"/>
  <c r="D55" i="71"/>
  <c r="AC9" i="34"/>
  <c r="W9" i="34"/>
  <c r="U25" i="37"/>
  <c r="AB25" i="37"/>
  <c r="W12" i="35"/>
  <c r="AC12" i="35"/>
  <c r="T52" i="71"/>
  <c r="D52" i="71"/>
  <c r="AZ77" i="3"/>
  <c r="AZ45" i="3"/>
  <c r="D44" i="71"/>
  <c r="T44" i="71"/>
  <c r="AZ214" i="3"/>
  <c r="AC9" i="33"/>
  <c r="W9" i="33"/>
  <c r="K1" i="73"/>
  <c r="AA26" i="37"/>
  <c r="S26" i="37"/>
  <c r="BA5" i="3"/>
  <c r="E27" i="6" s="1"/>
  <c r="K26" i="6"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F7" i="33"/>
  <c r="E58" i="21"/>
  <c r="F7" i="37"/>
  <c r="M17" i="67"/>
  <c r="M17" i="15"/>
  <c r="P28" i="43"/>
  <c r="B66" i="40" s="1"/>
  <c r="P25" i="43"/>
  <c r="P29" i="43"/>
  <c r="P27" i="43"/>
  <c r="B70" i="39" s="1"/>
  <c r="M11" i="67"/>
  <c r="J10" i="67" s="1"/>
  <c r="F11" i="15"/>
  <c r="M11" i="15"/>
  <c r="J10" i="15" s="1"/>
  <c r="F11" i="67"/>
  <c r="AE11" i="1"/>
  <c r="AE9" i="1"/>
  <c r="AE7" i="1"/>
  <c r="AE8" i="1"/>
  <c r="AE12" i="1"/>
  <c r="AE10" i="1"/>
  <c r="F7" i="67"/>
  <c r="F43" i="15"/>
  <c r="F27" i="69"/>
  <c r="M29" i="15"/>
  <c r="C16" i="15"/>
  <c r="M29" i="67"/>
  <c r="F7" i="15"/>
  <c r="G1" i="73"/>
  <c r="F43" i="67"/>
  <c r="E56" i="40" l="1"/>
  <c r="F71" i="67"/>
  <c r="F71" i="15"/>
  <c r="M7" i="15"/>
  <c r="J6" i="15" s="1"/>
  <c r="J18" i="15" s="1"/>
  <c r="F50" i="15"/>
  <c r="C6" i="15"/>
  <c r="C32" i="15" s="1"/>
  <c r="C6" i="67"/>
  <c r="C32" i="67" s="1"/>
  <c r="F50" i="67"/>
  <c r="C49" i="67" s="1"/>
  <c r="M7" i="67"/>
  <c r="J6" i="67" s="1"/>
  <c r="J18" i="67" s="1"/>
  <c r="J33" i="33"/>
  <c r="H33" i="33"/>
  <c r="F33" i="33"/>
  <c r="AP6" i="1"/>
  <c r="E161" i="3"/>
  <c r="E277" i="3"/>
  <c r="E201" i="3"/>
  <c r="E231" i="3"/>
  <c r="E70" i="3"/>
  <c r="E450" i="3"/>
  <c r="E242" i="3"/>
  <c r="E362" i="3"/>
  <c r="E558" i="3"/>
  <c r="E369" i="3"/>
  <c r="X6" i="3"/>
  <c r="E215" i="3"/>
  <c r="E526" i="3"/>
  <c r="AO6" i="3"/>
  <c r="E577" i="3"/>
  <c r="E586" i="3"/>
  <c r="E331" i="3"/>
  <c r="E260" i="3"/>
  <c r="E169" i="3"/>
  <c r="E139" i="3"/>
  <c r="E94" i="3"/>
  <c r="E219" i="3"/>
  <c r="E423" i="3"/>
  <c r="M6" i="3"/>
  <c r="E377" i="3"/>
  <c r="E89" i="3"/>
  <c r="E472" i="3"/>
  <c r="E180" i="3"/>
  <c r="E271" i="3"/>
  <c r="E569" i="3"/>
  <c r="E475" i="3"/>
  <c r="E119" i="3"/>
  <c r="E563" i="3"/>
  <c r="E509" i="3"/>
  <c r="E557" i="3"/>
  <c r="E146" i="3"/>
  <c r="E77" i="3"/>
  <c r="E337" i="3"/>
  <c r="E511" i="3"/>
  <c r="E344" i="3"/>
  <c r="Q74" i="15"/>
  <c r="C47" i="69"/>
  <c r="D45" i="69" s="1"/>
  <c r="Q74" i="67"/>
  <c r="Q52" i="15"/>
  <c r="Q73" i="15"/>
  <c r="Q52" i="67"/>
  <c r="J5" i="67"/>
  <c r="J24" i="67" s="1"/>
  <c r="F1" i="15"/>
  <c r="Q60" i="67"/>
  <c r="J10" i="39"/>
  <c r="W10" i="39" s="1"/>
  <c r="M26" i="6"/>
  <c r="I26" i="6" s="1"/>
  <c r="S26" i="6" s="1"/>
  <c r="S13" i="1"/>
  <c r="C49" i="15"/>
  <c r="O13" i="1"/>
  <c r="P13" i="1" s="1"/>
  <c r="F45" i="69"/>
  <c r="E118" i="3"/>
  <c r="E487" i="3"/>
  <c r="E148" i="3"/>
  <c r="E246" i="3"/>
  <c r="E263" i="3"/>
  <c r="E278" i="3"/>
  <c r="E335" i="3"/>
  <c r="E570" i="3"/>
  <c r="E247" i="3"/>
  <c r="AJ6" i="3"/>
  <c r="E217" i="3"/>
  <c r="E273" i="3"/>
  <c r="E28" i="3"/>
  <c r="E345" i="3"/>
  <c r="Z6" i="3"/>
  <c r="E368" i="3"/>
  <c r="E315" i="3"/>
  <c r="E106" i="3"/>
  <c r="E587" i="3"/>
  <c r="E560" i="3"/>
  <c r="AK6" i="3"/>
  <c r="E347" i="3"/>
  <c r="E350" i="3"/>
  <c r="E361" i="3"/>
  <c r="E380" i="3"/>
  <c r="E508" i="3"/>
  <c r="E476" i="3"/>
  <c r="E269" i="3"/>
  <c r="E457" i="3"/>
  <c r="E583" i="3"/>
  <c r="E294" i="3"/>
  <c r="E282" i="3"/>
  <c r="E448" i="3"/>
  <c r="E481" i="3"/>
  <c r="E390" i="3"/>
  <c r="E98" i="3"/>
  <c r="C29" i="69"/>
  <c r="D27" i="69" s="1"/>
  <c r="E142" i="3"/>
  <c r="E240" i="3"/>
  <c r="E296" i="3"/>
  <c r="E200" i="3"/>
  <c r="E385" i="3"/>
  <c r="E191" i="3"/>
  <c r="E445" i="3"/>
  <c r="E69" i="3"/>
  <c r="E387" i="3"/>
  <c r="E514" i="3"/>
  <c r="E431" i="3"/>
  <c r="E322" i="3"/>
  <c r="E109" i="3"/>
  <c r="E211" i="3"/>
  <c r="E489" i="3"/>
  <c r="E400" i="3"/>
  <c r="E327" i="3"/>
  <c r="E227" i="3"/>
  <c r="E214" i="3"/>
  <c r="E454" i="3"/>
  <c r="E465" i="3"/>
  <c r="K6" i="3"/>
  <c r="E545" i="3"/>
  <c r="E399" i="3"/>
  <c r="E134" i="3"/>
  <c r="E528" i="3"/>
  <c r="E538" i="3"/>
  <c r="E530" i="3"/>
  <c r="E505" i="3"/>
  <c r="E318" i="3"/>
  <c r="E193" i="3"/>
  <c r="E518" i="3"/>
  <c r="E407" i="3"/>
  <c r="E316" i="3"/>
  <c r="E236" i="3"/>
  <c r="E128" i="3"/>
  <c r="AM6" i="3"/>
  <c r="E391" i="3"/>
  <c r="E275" i="3"/>
  <c r="E535" i="3"/>
  <c r="F28" i="12"/>
  <c r="C29" i="12" s="1"/>
  <c r="D28" i="12" s="1"/>
  <c r="E378" i="3"/>
  <c r="E248" i="3"/>
  <c r="E131" i="3"/>
  <c r="AY6" i="3"/>
  <c r="E483" i="3"/>
  <c r="E132" i="3"/>
  <c r="E100" i="3"/>
  <c r="AI6" i="3"/>
  <c r="E135" i="3"/>
  <c r="E172" i="3"/>
  <c r="E189" i="3"/>
  <c r="AB6" i="3"/>
  <c r="E311" i="3"/>
  <c r="E579" i="3"/>
  <c r="E268" i="3"/>
  <c r="E572" i="3"/>
  <c r="E182" i="3"/>
  <c r="E531" i="3"/>
  <c r="E485" i="3"/>
  <c r="E204" i="3"/>
  <c r="E74" i="3"/>
  <c r="E171" i="3"/>
  <c r="E468" i="3"/>
  <c r="E406" i="3"/>
  <c r="E133" i="3"/>
  <c r="E181" i="3"/>
  <c r="E495" i="3"/>
  <c r="E91" i="3"/>
  <c r="E261" i="3"/>
  <c r="E143" i="3"/>
  <c r="E384" i="3"/>
  <c r="E414" i="3"/>
  <c r="E111" i="3"/>
  <c r="E45" i="3"/>
  <c r="E245" i="3"/>
  <c r="E396" i="3"/>
  <c r="E121" i="3"/>
  <c r="E580" i="3"/>
  <c r="E302" i="3"/>
  <c r="E432" i="3"/>
  <c r="H10" i="39"/>
  <c r="U10" i="39" s="1"/>
  <c r="E228" i="3"/>
  <c r="E568" i="3"/>
  <c r="E124" i="3"/>
  <c r="E301" i="3"/>
  <c r="E503" i="3"/>
  <c r="E185" i="3"/>
  <c r="AR6" i="3"/>
  <c r="E343" i="3"/>
  <c r="E162" i="3"/>
  <c r="E107" i="3"/>
  <c r="E279" i="3"/>
  <c r="E527" i="3"/>
  <c r="E253" i="3"/>
  <c r="E550" i="3"/>
  <c r="E551" i="3"/>
  <c r="E480" i="3"/>
  <c r="E443" i="3"/>
  <c r="E274" i="3"/>
  <c r="AA6" i="3"/>
  <c r="E285" i="3"/>
  <c r="E145" i="3"/>
  <c r="E195" i="3"/>
  <c r="AA10" i="39"/>
  <c r="J10" i="40"/>
  <c r="AC10" i="40" s="1"/>
  <c r="E317" i="3"/>
  <c r="E438" i="3"/>
  <c r="E491" i="3"/>
  <c r="E183" i="3"/>
  <c r="E216" i="3"/>
  <c r="E561" i="3"/>
  <c r="E555" i="3"/>
  <c r="E44" i="3"/>
  <c r="E27" i="3"/>
  <c r="E478" i="3"/>
  <c r="E31" i="3"/>
  <c r="E433" i="3"/>
  <c r="E458" i="3"/>
  <c r="E85" i="3"/>
  <c r="E382" i="3"/>
  <c r="E114" i="3"/>
  <c r="E229" i="3"/>
  <c r="E366" i="3"/>
  <c r="E88" i="3"/>
  <c r="E252" i="3"/>
  <c r="E73" i="3"/>
  <c r="E437" i="3"/>
  <c r="E402" i="3"/>
  <c r="E298" i="3"/>
  <c r="O6" i="3"/>
  <c r="E546" i="3"/>
  <c r="E207" i="3"/>
  <c r="E474" i="3"/>
  <c r="E386" i="3"/>
  <c r="E55" i="3"/>
  <c r="E262" i="3"/>
  <c r="E254" i="3"/>
  <c r="E321" i="3"/>
  <c r="E501" i="3"/>
  <c r="E403" i="3"/>
  <c r="E14" i="3"/>
  <c r="E307" i="3"/>
  <c r="E20" i="3"/>
  <c r="E439" i="3"/>
  <c r="E270" i="3"/>
  <c r="E388" i="3"/>
  <c r="E175" i="3"/>
  <c r="E186" i="3"/>
  <c r="AS6" i="3"/>
  <c r="E515" i="3"/>
  <c r="E567" i="3"/>
  <c r="E150" i="3"/>
  <c r="E571" i="3"/>
  <c r="E519" i="3"/>
  <c r="E314" i="3"/>
  <c r="E336" i="3"/>
  <c r="E117" i="3"/>
  <c r="E130" i="3"/>
  <c r="E559" i="3"/>
  <c r="N6" i="3"/>
  <c r="E334" i="3"/>
  <c r="E404" i="3"/>
  <c r="E576" i="3"/>
  <c r="E394" i="3"/>
  <c r="E429" i="3"/>
  <c r="E177" i="3"/>
  <c r="E280" i="3"/>
  <c r="E213" i="3"/>
  <c r="E523" i="3"/>
  <c r="E153" i="3"/>
  <c r="E272" i="3"/>
  <c r="E411" i="3"/>
  <c r="E257" i="3"/>
  <c r="E157" i="3"/>
  <c r="E436" i="3"/>
  <c r="E289" i="3"/>
  <c r="E354" i="3"/>
  <c r="E455" i="3"/>
  <c r="E3" i="6"/>
  <c r="D37" i="11" s="1"/>
  <c r="H10" i="40"/>
  <c r="AB10" i="40" s="1"/>
  <c r="E533" i="3"/>
  <c r="E410" i="3"/>
  <c r="E305" i="3"/>
  <c r="E441" i="3"/>
  <c r="E210" i="3"/>
  <c r="E447" i="3"/>
  <c r="E477" i="3"/>
  <c r="E585" i="3"/>
  <c r="E549" i="3"/>
  <c r="E351" i="3"/>
  <c r="E72" i="3"/>
  <c r="E562" i="3"/>
  <c r="E573" i="3"/>
  <c r="E99" i="3"/>
  <c r="E453" i="3"/>
  <c r="E293" i="3"/>
  <c r="E61" i="3"/>
  <c r="E415" i="3"/>
  <c r="E320" i="3"/>
  <c r="E358" i="3"/>
  <c r="E239" i="3"/>
  <c r="E125" i="3"/>
  <c r="E295" i="3"/>
  <c r="E581" i="3"/>
  <c r="AG6" i="3"/>
  <c r="I6" i="3"/>
  <c r="E203" i="3"/>
  <c r="AE6" i="3"/>
  <c r="Q6" i="3"/>
  <c r="E156" i="3"/>
  <c r="E303" i="3"/>
  <c r="E565" i="3"/>
  <c r="E506" i="3"/>
  <c r="E574" i="3"/>
  <c r="E319" i="3"/>
  <c r="E92" i="3"/>
  <c r="E548" i="3"/>
  <c r="E397" i="3"/>
  <c r="E471" i="3"/>
  <c r="E352" i="3"/>
  <c r="E179" i="3"/>
  <c r="E348" i="3"/>
  <c r="E401" i="3"/>
  <c r="E208" i="3"/>
  <c r="E537" i="3"/>
  <c r="E532" i="3"/>
  <c r="E461" i="3"/>
  <c r="E504" i="3"/>
  <c r="E542" i="3"/>
  <c r="E110" i="3"/>
  <c r="E566" i="3"/>
  <c r="E325" i="3"/>
  <c r="E105" i="3"/>
  <c r="E578" i="3"/>
  <c r="E290" i="3"/>
  <c r="E395" i="3"/>
  <c r="E230" i="3"/>
  <c r="V6" i="3"/>
  <c r="E151" i="3"/>
  <c r="E516" i="3"/>
  <c r="E553" i="3"/>
  <c r="E30" i="3"/>
  <c r="E166" i="3"/>
  <c r="E444" i="3"/>
  <c r="P6" i="3"/>
  <c r="E164" i="3"/>
  <c r="E32" i="3"/>
  <c r="E256" i="3"/>
  <c r="E496" i="3"/>
  <c r="E424" i="3"/>
  <c r="E330" i="3"/>
  <c r="E434" i="3"/>
  <c r="AN6" i="3"/>
  <c r="E221" i="3"/>
  <c r="E304" i="3"/>
  <c r="E418" i="3"/>
  <c r="E97" i="3"/>
  <c r="E328" i="3"/>
  <c r="E29" i="3"/>
  <c r="E126" i="3"/>
  <c r="E547" i="3"/>
  <c r="E379" i="3"/>
  <c r="E93" i="3"/>
  <c r="E168" i="3"/>
  <c r="E288" i="3"/>
  <c r="E313" i="3"/>
  <c r="E122" i="3"/>
  <c r="E154" i="3"/>
  <c r="E266" i="3"/>
  <c r="E416" i="3"/>
  <c r="E265" i="3"/>
  <c r="E194" i="3"/>
  <c r="E220" i="3"/>
  <c r="F10" i="40"/>
  <c r="S10" i="40" s="1"/>
  <c r="E120" i="3"/>
  <c r="E238" i="3"/>
  <c r="E353" i="3"/>
  <c r="E159" i="3"/>
  <c r="E17" i="3"/>
  <c r="E237" i="3"/>
  <c r="E338" i="3"/>
  <c r="S6" i="3"/>
  <c r="E359" i="3"/>
  <c r="E426" i="3"/>
  <c r="E53" i="3"/>
  <c r="E291" i="3"/>
  <c r="E71" i="3"/>
  <c r="E367" i="3"/>
  <c r="U6" i="3"/>
  <c r="E196" i="3"/>
  <c r="E357" i="3"/>
  <c r="E54" i="3"/>
  <c r="W6" i="3"/>
  <c r="E529" i="3"/>
  <c r="E306" i="3"/>
  <c r="E82" i="3"/>
  <c r="E413" i="3"/>
  <c r="E462" i="3"/>
  <c r="E323" i="3"/>
  <c r="E222" i="3"/>
  <c r="E165" i="3"/>
  <c r="E36" i="3"/>
  <c r="L6" i="3"/>
  <c r="E451" i="3"/>
  <c r="E30" i="6"/>
  <c r="E31" i="6" s="1"/>
  <c r="E167" i="3"/>
  <c r="E488" i="3"/>
  <c r="Y6" i="3"/>
  <c r="E259" i="3"/>
  <c r="E373" i="3"/>
  <c r="E47" i="3"/>
  <c r="E582" i="3"/>
  <c r="E19" i="3"/>
  <c r="E209" i="3"/>
  <c r="E57" i="3"/>
  <c r="E421" i="3"/>
  <c r="E51" i="3"/>
  <c r="E65" i="3"/>
  <c r="E155" i="3"/>
  <c r="E398" i="3"/>
  <c r="E101" i="3"/>
  <c r="E218" i="3"/>
  <c r="E50" i="3"/>
  <c r="E147" i="3"/>
  <c r="E52" i="3"/>
  <c r="E339" i="3"/>
  <c r="E137" i="3"/>
  <c r="E473" i="3"/>
  <c r="E333" i="3"/>
  <c r="AH6" i="3"/>
  <c r="E16" i="3"/>
  <c r="E428" i="3"/>
  <c r="T6" i="3"/>
  <c r="E81" i="3"/>
  <c r="E286" i="3"/>
  <c r="E459" i="3"/>
  <c r="E66" i="3"/>
  <c r="E39" i="3"/>
  <c r="E341" i="3"/>
  <c r="E375" i="3"/>
  <c r="E464" i="3"/>
  <c r="E284" i="3"/>
  <c r="E138" i="3"/>
  <c r="E520" i="3"/>
  <c r="E312" i="3"/>
  <c r="E250" i="3"/>
  <c r="E521" i="3"/>
  <c r="E90" i="3"/>
  <c r="E552" i="3"/>
  <c r="E524" i="3"/>
  <c r="E176" i="3"/>
  <c r="E364" i="3"/>
  <c r="E123" i="3"/>
  <c r="AQ6" i="3"/>
  <c r="E299" i="3"/>
  <c r="E38" i="3"/>
  <c r="E540" i="3"/>
  <c r="E276" i="3"/>
  <c r="E422" i="3"/>
  <c r="E158" i="3"/>
  <c r="E41" i="3"/>
  <c r="E308" i="3"/>
  <c r="E23" i="3"/>
  <c r="E224" i="3"/>
  <c r="E136" i="3"/>
  <c r="E127" i="3"/>
  <c r="E187" i="3"/>
  <c r="E87" i="3"/>
  <c r="AD6" i="3"/>
  <c r="E163" i="3"/>
  <c r="E374" i="3"/>
  <c r="E584" i="3"/>
  <c r="E297" i="3"/>
  <c r="E149" i="3"/>
  <c r="E48" i="3"/>
  <c r="E446" i="3"/>
  <c r="E500" i="3"/>
  <c r="E244" i="3"/>
  <c r="E24" i="3"/>
  <c r="E58" i="3"/>
  <c r="E460" i="3"/>
  <c r="E141" i="3"/>
  <c r="E365" i="3"/>
  <c r="E62" i="3"/>
  <c r="E340" i="3"/>
  <c r="E112" i="3"/>
  <c r="E392" i="3"/>
  <c r="E234" i="3"/>
  <c r="E79" i="3"/>
  <c r="E43" i="3"/>
  <c r="E108" i="3"/>
  <c r="E543" i="3"/>
  <c r="E49" i="3"/>
  <c r="E452" i="3"/>
  <c r="E522" i="3"/>
  <c r="E59" i="3"/>
  <c r="E202" i="3"/>
  <c r="E40" i="3"/>
  <c r="E498" i="3"/>
  <c r="E490" i="3"/>
  <c r="E486" i="3"/>
  <c r="E493" i="3"/>
  <c r="E223" i="3"/>
  <c r="E83" i="3"/>
  <c r="E370" i="3"/>
  <c r="E342" i="3"/>
  <c r="E78" i="3"/>
  <c r="E243" i="3"/>
  <c r="E26" i="3"/>
  <c r="E556" i="3"/>
  <c r="E469" i="3"/>
  <c r="E197" i="3"/>
  <c r="AF6" i="3"/>
  <c r="E96" i="3"/>
  <c r="E21" i="3"/>
  <c r="E184" i="3"/>
  <c r="E160" i="3"/>
  <c r="E258" i="3"/>
  <c r="E430" i="3"/>
  <c r="E170" i="3"/>
  <c r="E15" i="3"/>
  <c r="E60" i="3"/>
  <c r="E346" i="3"/>
  <c r="E178" i="3"/>
  <c r="E463" i="3"/>
  <c r="J6" i="3"/>
  <c r="E440" i="3"/>
  <c r="E427" i="3"/>
  <c r="E393" i="3"/>
  <c r="E188" i="3"/>
  <c r="E326" i="3"/>
  <c r="E232" i="3"/>
  <c r="E324" i="3"/>
  <c r="E412" i="3"/>
  <c r="E225" i="3"/>
  <c r="E470" i="3"/>
  <c r="E360" i="3"/>
  <c r="E456" i="3"/>
  <c r="E205" i="3"/>
  <c r="E206" i="3"/>
  <c r="E75" i="3"/>
  <c r="E283" i="3"/>
  <c r="E33" i="3"/>
  <c r="E467" i="3"/>
  <c r="E37" i="3"/>
  <c r="E502" i="3"/>
  <c r="E372" i="3"/>
  <c r="E226" i="3"/>
  <c r="E25" i="3"/>
  <c r="E419" i="3"/>
  <c r="E376" i="3"/>
  <c r="E507" i="3"/>
  <c r="E564" i="3"/>
  <c r="E116" i="3"/>
  <c r="E329" i="3"/>
  <c r="E80" i="3"/>
  <c r="E35" i="3"/>
  <c r="E190" i="3"/>
  <c r="E356" i="3"/>
  <c r="E104" i="3"/>
  <c r="E13" i="3"/>
  <c r="E512" i="3"/>
  <c r="E525" i="3"/>
  <c r="E113" i="3"/>
  <c r="E174" i="3"/>
  <c r="E281" i="3"/>
  <c r="E381" i="3"/>
  <c r="E371" i="3"/>
  <c r="E349" i="3"/>
  <c r="AP6" i="3"/>
  <c r="E539" i="3"/>
  <c r="E534" i="3"/>
  <c r="E140" i="3"/>
  <c r="E287" i="3"/>
  <c r="E251" i="3"/>
  <c r="E383" i="3"/>
  <c r="E482" i="3"/>
  <c r="E332" i="3"/>
  <c r="E513" i="3"/>
  <c r="E68" i="3"/>
  <c r="E144" i="3"/>
  <c r="E492" i="3"/>
  <c r="E103" i="3"/>
  <c r="E76" i="3"/>
  <c r="E192" i="3"/>
  <c r="E435" i="3"/>
  <c r="E541" i="3"/>
  <c r="E199" i="3"/>
  <c r="E115" i="3"/>
  <c r="E420" i="3"/>
  <c r="E497" i="3"/>
  <c r="E408" i="3"/>
  <c r="E405" i="3"/>
  <c r="E173" i="3"/>
  <c r="E22" i="3"/>
  <c r="E102" i="3"/>
  <c r="E86" i="3"/>
  <c r="E129" i="3"/>
  <c r="E42" i="3"/>
  <c r="E494" i="3"/>
  <c r="E264" i="3"/>
  <c r="E355" i="3"/>
  <c r="E84" i="3"/>
  <c r="E300" i="3"/>
  <c r="E425" i="3"/>
  <c r="E363" i="3"/>
  <c r="E56" i="3"/>
  <c r="I3" i="6"/>
  <c r="R6" i="3"/>
  <c r="E510" i="3"/>
  <c r="F59" i="15"/>
  <c r="W7" i="36"/>
  <c r="W7" i="37"/>
  <c r="AB7" i="36"/>
  <c r="T36" i="36" s="1"/>
  <c r="G36" i="36" s="1"/>
  <c r="O65" i="71"/>
  <c r="D66" i="71"/>
  <c r="O66" i="71"/>
  <c r="C21" i="71"/>
  <c r="D22" i="71"/>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D31" i="71"/>
  <c r="C32"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K25" i="6"/>
  <c r="K20" i="6"/>
  <c r="K23" i="6"/>
  <c r="K22"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C17" i="4"/>
  <c r="B4" i="52" s="1"/>
  <c r="B43" i="72" s="1"/>
  <c r="D3" i="33"/>
  <c r="C39" i="43"/>
  <c r="C42" i="43"/>
  <c r="E42" i="43" s="1"/>
  <c r="C38" i="43"/>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53" i="15"/>
  <c r="C48" i="15" s="1"/>
  <c r="C66" i="15" s="1"/>
  <c r="C10" i="15"/>
  <c r="C5" i="15" s="1"/>
  <c r="C38" i="15" s="1"/>
  <c r="C16" i="67"/>
  <c r="AE6" i="1"/>
  <c r="M27" i="15"/>
  <c r="M27" i="67"/>
  <c r="F27" i="68"/>
  <c r="F41" i="15"/>
  <c r="C10" i="67" l="1"/>
  <c r="C5" i="67" s="1"/>
  <c r="C38" i="67" s="1"/>
  <c r="J5" i="15"/>
  <c r="J24" i="15" s="1"/>
  <c r="AA33" i="33"/>
  <c r="R48" i="33" s="1"/>
  <c r="S33" i="33"/>
  <c r="AB33" i="33"/>
  <c r="T48" i="33" s="1"/>
  <c r="G48" i="33" s="1"/>
  <c r="U33" i="33"/>
  <c r="AC33" i="33"/>
  <c r="V48" i="33" s="1"/>
  <c r="I48" i="33" s="1"/>
  <c r="I52" i="33" s="1"/>
  <c r="J52" i="33" s="1"/>
  <c r="W33" i="33"/>
  <c r="W10" i="40"/>
  <c r="AB10" i="39"/>
  <c r="V3" i="43"/>
  <c r="C34" i="43" s="1"/>
  <c r="E34" i="43" s="1"/>
  <c r="C6" i="69"/>
  <c r="C7" i="69" s="1"/>
  <c r="F45" i="68"/>
  <c r="C29" i="68"/>
  <c r="D27" i="68" s="1"/>
  <c r="C47" i="68"/>
  <c r="D45" i="68" s="1"/>
  <c r="C48" i="67"/>
  <c r="C60" i="67" s="1"/>
  <c r="U10" i="40"/>
  <c r="AR13" i="1"/>
  <c r="T13" i="1"/>
  <c r="AQ13" i="1"/>
  <c r="O16" i="1"/>
  <c r="AA10" i="40"/>
  <c r="D3" i="37"/>
  <c r="D19" i="11"/>
  <c r="C19" i="11" s="1"/>
  <c r="C20" i="11" s="1"/>
  <c r="C28" i="11" s="1"/>
  <c r="C27" i="11" s="1"/>
  <c r="F25" i="12"/>
  <c r="C26" i="12" s="1"/>
  <c r="D25" i="12" s="1"/>
  <c r="H6" i="3"/>
  <c r="AC6" i="3"/>
  <c r="F22" i="68"/>
  <c r="C44" i="68" s="1"/>
  <c r="D41" i="68" s="1"/>
  <c r="F22" i="11"/>
  <c r="C44" i="11" s="1"/>
  <c r="D41" i="11" s="1"/>
  <c r="F24" i="15"/>
  <c r="C24" i="15" s="1"/>
  <c r="F22" i="69"/>
  <c r="F41" i="69" s="1"/>
  <c r="F24" i="67"/>
  <c r="C24" i="67" s="1"/>
  <c r="T32" i="71"/>
  <c r="D32" i="71"/>
  <c r="D21" i="71"/>
  <c r="C20" i="71"/>
  <c r="D116" i="43"/>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F41" i="67"/>
  <c r="D10" i="68"/>
  <c r="C34" i="69"/>
  <c r="C17" i="67"/>
  <c r="C14" i="67"/>
  <c r="D10" i="69"/>
  <c r="C17" i="15"/>
  <c r="B29" i="1" l="1"/>
  <c r="C18" i="12"/>
  <c r="G53" i="33"/>
  <c r="H53" i="33" s="1"/>
  <c r="G52" i="33"/>
  <c r="H52" i="33" s="1"/>
  <c r="R49" i="33"/>
  <c r="C49" i="33" s="1"/>
  <c r="E48" i="33"/>
  <c r="I53" i="33" s="1"/>
  <c r="J53" i="33" s="1"/>
  <c r="F69" i="67"/>
  <c r="H22" i="6"/>
  <c r="C66" i="67"/>
  <c r="C26" i="69"/>
  <c r="D22" i="69" s="1"/>
  <c r="C26" i="68"/>
  <c r="D22" i="68" s="1"/>
  <c r="F41" i="68"/>
  <c r="C26" i="11"/>
  <c r="D22" i="11" s="1"/>
  <c r="H24" i="6"/>
  <c r="H21" i="6"/>
  <c r="R21" i="6" s="1"/>
  <c r="E6" i="3"/>
  <c r="D30" i="6"/>
  <c r="H25" i="6"/>
  <c r="R25" i="6" s="1"/>
  <c r="C25" i="11"/>
  <c r="C44" i="69"/>
  <c r="D41" i="69" s="1"/>
  <c r="C24" i="11"/>
  <c r="C23" i="11"/>
  <c r="T20" i="71"/>
  <c r="D20" i="71"/>
  <c r="U20" i="71" s="1"/>
  <c r="C19" i="71"/>
  <c r="C18" i="67"/>
  <c r="C15" i="67"/>
  <c r="H23" i="6"/>
  <c r="R23" i="6" s="1"/>
  <c r="C30" i="43"/>
  <c r="B2"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13" i="1" s="1"/>
  <c r="R24" i="6"/>
  <c r="R22" i="6"/>
  <c r="C15" i="12"/>
  <c r="C12" i="12"/>
  <c r="D27" i="6"/>
  <c r="D31" i="6" s="1"/>
  <c r="D8" i="74"/>
  <c r="D7" i="74"/>
  <c r="C10" i="69"/>
  <c r="C8" i="69" s="1"/>
  <c r="C5" i="69" s="1"/>
  <c r="D19" i="69"/>
  <c r="F50" i="69"/>
  <c r="F50" i="11"/>
  <c r="F50" i="68"/>
  <c r="C4" i="52"/>
  <c r="B45" i="72" s="1"/>
  <c r="A10" i="51"/>
  <c r="B9" i="72" s="1"/>
  <c r="A7" i="51"/>
  <c r="B7" i="72" s="1"/>
  <c r="C10" i="68"/>
  <c r="H9" i="68" s="1"/>
  <c r="C8" i="68" s="1"/>
  <c r="D19" i="68"/>
  <c r="H69" i="39"/>
  <c r="I67" i="39"/>
  <c r="G65" i="40"/>
  <c r="H63" i="40"/>
  <c r="C43" i="37"/>
  <c r="C42" i="37"/>
  <c r="I48" i="35"/>
  <c r="C48" i="33"/>
  <c r="H58" i="21"/>
  <c r="E47" i="37"/>
  <c r="F47" i="37" s="1"/>
  <c r="E46" i="37"/>
  <c r="F46" i="37" s="1"/>
  <c r="I47" i="37"/>
  <c r="J47" i="37" s="1"/>
  <c r="C33" i="15"/>
  <c r="C33" i="67"/>
  <c r="J19" i="67"/>
  <c r="B6" i="76"/>
  <c r="C34" i="68"/>
  <c r="E6" i="76"/>
  <c r="C14" i="15"/>
  <c r="E52" i="33" l="1"/>
  <c r="F52" i="33" s="1"/>
  <c r="E53" i="33"/>
  <c r="F53" i="33" s="1"/>
  <c r="B3" i="43"/>
  <c r="C6" i="68"/>
  <c r="C7" i="68" s="1"/>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R9" i="1"/>
  <c r="R8" i="1"/>
  <c r="R7" i="1"/>
  <c r="R10" i="1"/>
  <c r="R11" i="1"/>
  <c r="R12" i="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8"/>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7"/>
  <c r="L51" i="15"/>
  <c r="D2" i="36"/>
  <c r="D2" i="34"/>
  <c r="C102" i="9" l="1"/>
  <c r="C21"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8" i="1"/>
  <c r="AO9" i="1"/>
  <c r="C20" i="9"/>
  <c r="C103" i="9" l="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2" i="9" l="1"/>
  <c r="G19" i="9"/>
  <c r="G21" i="9" s="1"/>
  <c r="D102" i="9"/>
  <c r="D21" i="9"/>
  <c r="B3" i="70"/>
  <c r="D9" i="71"/>
  <c r="C8" i="71"/>
  <c r="C42" i="40"/>
  <c r="C43" i="40"/>
  <c r="E47" i="40"/>
  <c r="F47" i="40" s="1"/>
  <c r="E46" i="40"/>
  <c r="F46" i="40" s="1"/>
  <c r="I47" i="40"/>
  <c r="J47" i="40" s="1"/>
  <c r="D20" i="9"/>
  <c r="D103" i="9" l="1"/>
  <c r="G20" i="9"/>
  <c r="C32"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7" i="71"/>
  <c r="C6" i="71"/>
  <c r="D35" i="9"/>
  <c r="C34" i="9" l="1"/>
  <c r="C5" i="71"/>
  <c r="D5" i="71" s="1"/>
  <c r="M24" i="43" s="1"/>
  <c r="D6" i="71"/>
  <c r="B6" i="74"/>
  <c r="D6" i="74" s="1"/>
  <c r="G118" i="9"/>
  <c r="G4" i="52" s="1"/>
  <c r="B52" i="72" s="1"/>
  <c r="I118" i="9"/>
  <c r="I4" i="52" s="1"/>
  <c r="D34" i="9"/>
  <c r="H102" i="9" l="1"/>
  <c r="H118" i="9"/>
  <c r="C104" i="9" s="1"/>
  <c r="F118" i="9"/>
  <c r="E118" i="9"/>
  <c r="R24" i="31"/>
  <c r="C105" i="9"/>
  <c r="H101" i="9" l="1"/>
  <c r="H4" i="52"/>
  <c r="H119" i="9"/>
  <c r="H5" i="52" s="1"/>
  <c r="D7" i="53"/>
  <c r="B21" i="72" s="1"/>
  <c r="D118" i="9"/>
  <c r="E4" i="52"/>
  <c r="B48" i="72" s="1"/>
  <c r="M48" i="9"/>
  <c r="D45" i="9"/>
  <c r="H107" i="9"/>
  <c r="D5" i="53"/>
  <c r="R30" i="31"/>
  <c r="S30" i="31" s="1"/>
  <c r="R31" i="31"/>
  <c r="S31" i="31" s="1"/>
  <c r="S24" i="31"/>
  <c r="R26" i="31"/>
  <c r="S26" i="31" s="1"/>
  <c r="R27" i="31"/>
  <c r="S27" i="31" s="1"/>
  <c r="R28" i="31"/>
  <c r="S28" i="31" s="1"/>
  <c r="R29" i="31"/>
  <c r="S29" i="31" s="1"/>
  <c r="R25" i="31"/>
  <c r="S25" i="31" s="1"/>
  <c r="F4" i="52"/>
  <c r="B51" i="72" s="1"/>
  <c r="F119" i="9"/>
  <c r="F5" i="52" s="1"/>
  <c r="B53" i="72" s="1"/>
  <c r="C93" i="9" l="1"/>
  <c r="C86" i="9" s="1"/>
  <c r="D52" i="9"/>
  <c r="C78" i="9"/>
  <c r="C73" i="9" s="1"/>
  <c r="C72" i="9"/>
  <c r="C85" i="9"/>
  <c r="C95" i="9" s="1"/>
  <c r="D55" i="9"/>
  <c r="M53" i="9" s="1"/>
  <c r="C64" i="9"/>
  <c r="C63" i="9" s="1"/>
  <c r="C67" i="9" s="1"/>
  <c r="D53" i="9"/>
  <c r="B20" i="72"/>
  <c r="D6" i="53"/>
  <c r="B22" i="72" s="1"/>
  <c r="S22" i="31"/>
  <c r="D14" i="74" s="1"/>
  <c r="H108" i="9"/>
  <c r="M49" i="9"/>
  <c r="D13" i="53"/>
  <c r="D122" i="9"/>
  <c r="D119" i="9"/>
  <c r="D5" i="52" s="1"/>
  <c r="B49" i="72" s="1"/>
  <c r="D4" i="52"/>
  <c r="B47" i="72" s="1"/>
  <c r="F14" i="74" l="1"/>
  <c r="B5" i="74"/>
  <c r="E14" i="74"/>
  <c r="C79" i="9"/>
  <c r="C80" i="9" s="1"/>
  <c r="E80" i="9" s="1"/>
  <c r="E81" i="9" s="1"/>
  <c r="D15" i="53"/>
  <c r="B31" i="72" s="1"/>
  <c r="C6" i="74"/>
  <c r="R22" i="31"/>
  <c r="B20" i="31"/>
  <c r="B21" i="31" s="1"/>
  <c r="C68" i="9"/>
  <c r="D54" i="9" s="1"/>
  <c r="D59" i="9"/>
  <c r="M55" i="9" s="1"/>
  <c r="D123" i="9"/>
  <c r="D9" i="52" s="1"/>
  <c r="D8" i="52"/>
  <c r="D14" i="53"/>
  <c r="B32" i="72" s="1"/>
  <c r="B30" i="72"/>
  <c r="L63" i="9"/>
  <c r="M63" i="9" s="1"/>
  <c r="L67" i="9"/>
  <c r="M67" i="9" s="1"/>
  <c r="L65" i="9"/>
  <c r="M65" i="9" s="1"/>
  <c r="L66" i="9"/>
  <c r="M66" i="9" s="1"/>
  <c r="L68" i="9"/>
  <c r="M68" i="9" s="1"/>
  <c r="L64" i="9"/>
  <c r="M64" i="9" s="1"/>
  <c r="C96" i="9"/>
  <c r="E96" i="9" s="1"/>
  <c r="E97" i="9" s="1"/>
  <c r="D5" i="74" l="1"/>
  <c r="C5" i="74"/>
  <c r="C81" i="9"/>
  <c r="C97" i="9"/>
  <c r="D58" i="9" s="1"/>
  <c r="D56" i="9" s="1"/>
  <c r="M54" i="9" s="1"/>
  <c r="N57" i="9" s="1"/>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<sst xmlns="http://schemas.openxmlformats.org/spreadsheetml/2006/main" count="8096" uniqueCount="3569">
  <si>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</si>
  <si>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</si>
  <si>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</si>
  <si>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</si>
  <si>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</si>
  <si>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</si>
  <si>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</si>
  <si>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</si>
  <si>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</si>
  <si>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</si>
  <si>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</si>
  <si>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</si>
  <si>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</si>
  <si>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</si>
  <si>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</si>
  <si>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</si>
  <si>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</si>
  <si>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</si>
  <si>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</si>
  <si>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</si>
  <si>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</si>
  <si>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</si>
  <si>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</si>
  <si>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</si>
  <si>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</si>
  <si>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</si>
  <si>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</si>
  <si>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</si>
  <si>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</si>
  <si>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</si>
  <si>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</si>
  <si>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</si>
  <si>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</si>
  <si>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</si>
  <si>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</si>
  <si>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</si>
  <si>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</si>
  <si>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</si>
  <si>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</si>
  <si>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</si>
  <si>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</si>
  <si>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</si>
  <si>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</si>
  <si>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</si>
  <si>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</si>
  <si>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</si>
  <si>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</si>
  <si>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</si>
  <si>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</si>
  <si>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</si>
  <si>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</si>
  <si>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</si>
  <si>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</si>
  <si>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</si>
  <si>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</si>
  <si>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</si>
  <si>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</si>
  <si>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</si>
  <si>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</si>
  <si>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</si>
  <si>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</si>
  <si>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</si>
  <si>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</si>
  <si>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</si>
  <si>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</si>
  <si>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</si>
  <si>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</si>
  <si>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</si>
  <si>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</si>
  <si>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</si>
  <si>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</si>
  <si>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</si>
  <si>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</si>
  <si>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</si>
  <si>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</si>
  <si>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</si>
  <si>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</si>
  <si>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</si>
  <si>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</si>
  <si>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</si>
  <si>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</si>
  <si>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</si>
  <si>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</si>
  <si>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</si>
  <si>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</si>
  <si>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</si>
  <si>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</si>
  <si>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</si>
  <si>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</si>
  <si>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</si>
  <si>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</si>
  <si>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</si>
  <si>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</si>
  <si>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</si>
  <si>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</si>
  <si>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</si>
  <si>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</si>
  <si>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</si>
  <si>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</si>
  <si>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</si>
  <si>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</si>
  <si>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</si>
  <si>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</si>
  <si>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</si>
  <si>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</si>
  <si>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</si>
  <si>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</si>
  <si>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</si>
  <si>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</si>
  <si>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</si>
  <si>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</si>
  <si>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</si>
  <si>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</si>
  <si>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</si>
  <si>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</si>
  <si>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</si>
  <si>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</si>
  <si>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</si>
  <si>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</si>
  <si>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</si>
  <si>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</si>
  <si>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</si>
  <si>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</si>
  <si>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</si>
  <si>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</si>
  <si>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</si>
  <si>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</si>
  <si>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</si>
  <si>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</si>
  <si>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</si>
  <si>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</si>
  <si>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</si>
  <si>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</si>
  <si>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</si>
  <si>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</si>
  <si>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</si>
  <si>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</si>
  <si>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</si>
  <si>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</si>
  <si>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</si>
  <si>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</si>
  <si>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</si>
  <si>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</si>
  <si>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</si>
  <si>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</si>
  <si>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</si>
  <si>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</si>
  <si>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</si>
  <si>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</si>
  <si>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</si>
  <si>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</si>
  <si>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</si>
  <si>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</si>
  <si>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</si>
  <si>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</si>
  <si>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</si>
  <si>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</si>
  <si>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</si>
  <si>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</si>
  <si>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</si>
  <si>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</si>
  <si>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</si>
  <si>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</si>
  <si>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</si>
  <si>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</si>
  <si>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</si>
  <si>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</si>
  <si>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</si>
  <si>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</si>
  <si>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</si>
  <si>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</si>
  <si>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</si>
  <si>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</si>
  <si>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</si>
  <si>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</si>
  <si>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</si>
  <si>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</si>
  <si>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</si>
  <si>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</si>
  <si>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</si>
  <si>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</si>
  <si>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</si>
  <si>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</si>
  <si>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</si>
  <si>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</si>
  <si>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</si>
  <si>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</si>
  <si>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</si>
  <si>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</si>
  <si>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</si>
  <si>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</si>
  <si>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</si>
  <si>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</si>
  <si>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</si>
  <si>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</si>
  <si>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</si>
  <si>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</si>
  <si>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</si>
  <si>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</si>
  <si>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</si>
  <si>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</si>
  <si>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</si>
  <si>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</si>
  <si>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</si>
  <si>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</si>
  <si>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</si>
  <si>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</si>
  <si>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</si>
  <si>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</si>
  <si>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</si>
  <si>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</si>
  <si>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</si>
  <si>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</si>
  <si>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</si>
  <si>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</si>
  <si>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</si>
  <si>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</si>
  <si>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</si>
  <si>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</si>
  <si>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</si>
  <si>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</si>
  <si>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</si>
  <si>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</si>
  <si>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</si>
  <si>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</si>
  <si>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</si>
  <si>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</si>
  <si>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</si>
  <si>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</si>
  <si>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</si>
  <si>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</si>
  <si>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</si>
  <si>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</si>
  <si>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</si>
  <si>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</si>
  <si>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</si>
  <si>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</si>
  <si>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</si>
  <si>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</si>
  <si>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</si>
  <si>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</si>
  <si>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</si>
  <si>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</si>
  <si>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</si>
  <si>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</si>
  <si>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</si>
  <si>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</si>
  <si>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</si>
  <si>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</si>
  <si>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</si>
  <si>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</si>
  <si>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</si>
  <si>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</si>
  <si>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</si>
  <si>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</si>
  <si>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</si>
  <si>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</si>
  <si>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</si>
  <si>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</si>
  <si>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</si>
  <si>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</si>
  <si>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</si>
  <si>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</si>
  <si>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</si>
  <si>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</si>
  <si>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</si>
  <si>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</si>
  <si>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</si>
  <si>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</si>
  <si>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</si>
  <si>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</si>
  <si>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</si>
  <si>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</si>
  <si>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</si>
  <si>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</si>
  <si>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</si>
  <si>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</si>
  <si>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</si>
  <si>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</si>
  <si>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</si>
  <si>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</si>
  <si>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</si>
  <si>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</si>
  <si>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</si>
  <si>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</si>
  <si>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</si>
  <si>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</si>
  <si>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</si>
  <si>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</si>
  <si>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</si>
  <si>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</si>
  <si>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</si>
  <si>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</si>
  <si>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</si>
  <si>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</si>
  <si>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</si>
  <si>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</si>
  <si>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</si>
  <si>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</si>
  <si>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</si>
  <si>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</si>
  <si>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</si>
  <si>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</si>
  <si>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</si>
  <si>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</si>
  <si>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</si>
  <si>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</si>
  <si>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</si>
  <si>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</si>
  <si>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</si>
  <si>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</si>
  <si>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</si>
  <si>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</si>
  <si>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</si>
  <si>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</si>
  <si>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</si>
  <si>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</si>
  <si>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</si>
  <si>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</si>
  <si>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</si>
  <si>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</si>
  <si>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</si>
  <si>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</si>
  <si>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</si>
  <si>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</si>
  <si>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</si>
  <si>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</si>
  <si>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</si>
  <si>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</si>
  <si>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</si>
  <si>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</si>
  <si>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</si>
  <si>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</si>
  <si>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</si>
  <si>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</si>
  <si>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</si>
  <si>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</si>
  <si>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</si>
  <si>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</si>
  <si>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</si>
  <si>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</si>
  <si>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</si>
  <si>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</si>
  <si>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</si>
  <si>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</si>
  <si>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</si>
  <si>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</si>
  <si>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</si>
  <si>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</si>
  <si>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</si>
  <si>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</si>
  <si>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</si>
  <si>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</si>
  <si>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</si>
  <si>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</si>
  <si>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</si>
  <si>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</si>
  <si>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</si>
  <si>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</si>
  <si>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</si>
  <si>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</si>
  <si>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</si>
  <si>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</si>
  <si>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</si>
  <si>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</si>
  <si>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</si>
  <si>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</si>
  <si>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</si>
  <si>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</si>
  <si>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</si>
  <si>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</si>
  <si>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</si>
  <si>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</si>
  <si>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</si>
  <si>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</si>
  <si>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</si>
  <si>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</si>
  <si>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</si>
  <si>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</si>
  <si>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</si>
  <si>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</si>
  <si>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</si>
  <si>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</si>
  <si>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</si>
  <si>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</si>
  <si>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</si>
  <si>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</si>
  <si>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</si>
  <si>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</si>
  <si>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</si>
  <si>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</si>
  <si>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</si>
  <si>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</si>
  <si>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</si>
  <si>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</si>
  <si>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</si>
  <si>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</si>
  <si>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</si>
  <si>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</si>
  <si>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</si>
  <si>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</si>
  <si>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</si>
  <si>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</si>
  <si>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</si>
  <si>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</si>
  <si>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</si>
  <si>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</si>
  <si>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</si>
  <si>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</si>
  <si>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</si>
  <si>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</si>
  <si>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</si>
  <si>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</si>
  <si>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</si>
  <si>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</si>
  <si>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</si>
  <si>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</si>
  <si>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</si>
  <si>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</si>
  <si>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</si>
  <si>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</si>
  <si>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</si>
  <si>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</si>
  <si>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</si>
  <si>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</si>
  <si>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</si>
  <si>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</si>
  <si>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</si>
  <si>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</si>
  <si>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</si>
  <si>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</si>
  <si>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</si>
  <si>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</si>
  <si>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</si>
  <si>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</si>
  <si>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</si>
  <si>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</si>
  <si>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</si>
  <si>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</si>
  <si>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</si>
  <si>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</si>
  <si>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</si>
  <si>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</si>
  <si>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</si>
  <si>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</si>
  <si>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</si>
  <si>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</si>
  <si>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</si>
  <si>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</si>
  <si>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</si>
  <si>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</si>
  <si>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</si>
  <si>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</si>
  <si>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</si>
  <si>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</si>
  <si>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</si>
  <si>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</si>
  <si>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</si>
  <si>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</si>
  <si>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</si>
  <si>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</si>
  <si>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</si>
  <si>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</si>
  <si>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</si>
  <si>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</si>
  <si>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</si>
  <si>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</si>
  <si>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</si>
  <si>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</si>
  <si>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</si>
  <si>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</si>
  <si>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</si>
  <si>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</si>
  <si>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</si>
  <si>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</si>
  <si>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</si>
  <si>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</si>
  <si>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</si>
  <si>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</si>
  <si>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</si>
  <si>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</si>
  <si>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</si>
  <si>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</si>
  <si>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</si>
  <si>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</si>
  <si>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</si>
  <si>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</si>
  <si>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</si>
  <si>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</si>
  <si>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</si>
  <si>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</si>
  <si>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</si>
  <si>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</si>
  <si>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</si>
  <si>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</si>
  <si>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</si>
  <si>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</si>
  <si>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</si>
  <si>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</si>
  <si>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</si>
  <si>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</si>
  <si>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</si>
  <si>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</si>
  <si>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</si>
  <si>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</si>
  <si>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</si>
  <si>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</si>
  <si>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</si>
  <si>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</si>
  <si>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</si>
  <si>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</si>
  <si>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</si>
  <si>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</si>
  <si>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</si>
  <si>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</si>
  <si>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</si>
  <si>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</si>
  <si>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</si>
  <si>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</si>
  <si>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</si>
  <si>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</si>
  <si>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</si>
  <si>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</si>
  <si>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</si>
  <si>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</si>
  <si>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</si>
  <si>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</si>
  <si>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</si>
  <si>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</si>
  <si>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</si>
  <si>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</si>
  <si>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</si>
  <si>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</si>
  <si>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</si>
  <si>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</si>
  <si>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</si>
  <si>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</si>
  <si>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</si>
  <si>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</si>
  <si>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</si>
  <si>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</si>
  <si>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</si>
  <si>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</si>
  <si>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</si>
  <si>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</si>
  <si>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</si>
  <si>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</si>
  <si>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</si>
  <si>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</si>
  <si>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</si>
  <si>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</si>
  <si>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</si>
  <si>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</si>
  <si>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</si>
  <si>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</si>
  <si>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</si>
  <si>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</si>
  <si>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</si>
  <si>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</si>
  <si>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</si>
  <si>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</si>
  <si>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</si>
  <si>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</si>
  <si>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</si>
  <si>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</si>
  <si>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</si>
  <si>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</si>
  <si>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</si>
  <si>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</si>
  <si>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</si>
  <si>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</si>
  <si>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</si>
  <si>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</si>
  <si>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</si>
  <si>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</si>
  <si>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</si>
  <si>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</si>
  <si>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</si>
  <si>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</si>
  <si>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</si>
  <si>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</si>
  <si>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</si>
  <si>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</si>
  <si>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</si>
  <si>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</si>
  <si>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</si>
  <si>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</si>
  <si>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</si>
  <si>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</si>
  <si>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</si>
  <si>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</si>
  <si>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</si>
  <si>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</si>
  <si>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</si>
  <si>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</si>
  <si>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</si>
  <si>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</si>
  <si>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</si>
  <si>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</si>
  <si>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</si>
  <si>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</si>
  <si>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</si>
  <si>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</si>
  <si>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</si>
  <si>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</si>
  <si>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</si>
  <si>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</si>
  <si>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</si>
  <si>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</si>
  <si>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</si>
  <si>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</si>
  <si>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</si>
  <si>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</si>
  <si>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</si>
  <si>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</si>
  <si>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</si>
  <si>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</si>
  <si>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</si>
  <si>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</si>
  <si>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</si>
  <si>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</si>
  <si>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</si>
  <si>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</si>
  <si>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</si>
  <si>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</si>
  <si>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</si>
  <si>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</si>
  <si>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</si>
  <si>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</si>
  <si>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</si>
  <si>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</si>
  <si>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</si>
  <si>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</si>
  <si>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</si>
  <si>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</si>
  <si>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</si>
  <si>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</si>
  <si>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</si>
  <si>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</si>
  <si>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</si>
  <si>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</si>
  <si>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</si>
  <si>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</si>
  <si>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</si>
  <si>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</si>
  <si>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</si>
  <si>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</si>
  <si>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</si>
  <si>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</si>
  <si>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</si>
  <si>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</si>
  <si>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</si>
  <si>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</si>
  <si>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</si>
  <si>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</si>
  <si>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</si>
  <si>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</si>
  <si>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</si>
  <si>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</si>
  <si>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</si>
  <si>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</si>
  <si>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</si>
  <si>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</si>
  <si>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</si>
  <si>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</si>
  <si>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</si>
  <si>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</si>
  <si>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</si>
  <si>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</si>
  <si>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</si>
  <si>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</si>
  <si>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</si>
  <si>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</si>
  <si>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</si>
  <si>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</si>
  <si>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</si>
  <si>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</si>
  <si>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</si>
  <si>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</si>
  <si>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</si>
  <si>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</si>
  <si>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</si>
  <si>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</si>
  <si>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</si>
  <si>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</si>
  <si>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</si>
  <si>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</si>
  <si>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</si>
  <si>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</si>
  <si>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</si>
  <si>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</si>
  <si>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</si>
  <si>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</si>
  <si>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</si>
  <si>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</si>
  <si>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</si>
  <si>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</si>
  <si>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</si>
  <si>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</si>
  <si>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</si>
  <si>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</si>
  <si>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</si>
  <si>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</si>
  <si>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</si>
  <si>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</si>
  <si>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</si>
  <si>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</si>
  <si>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</si>
  <si>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</si>
  <si>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</si>
  <si>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</si>
  <si>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</si>
  <si>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</si>
  <si>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</si>
  <si>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</si>
  <si>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</si>
  <si>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</si>
  <si>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</si>
  <si>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</si>
  <si>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</si>
  <si>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</si>
  <si>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</si>
  <si>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</si>
  <si>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</si>
  <si>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</si>
  <si>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</si>
  <si>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</si>
  <si>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</si>
  <si>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</si>
  <si>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</si>
  <si>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</si>
  <si>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</si>
  <si>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</si>
  <si>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</si>
  <si>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</si>
  <si>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</si>
  <si>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</si>
  <si>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</si>
  <si>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</si>
  <si>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</si>
  <si>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</si>
  <si>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</si>
  <si>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</si>
  <si>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</si>
  <si>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</si>
  <si>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</si>
  <si>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</si>
  <si>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</si>
  <si>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</si>
  <si>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</si>
  <si>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</si>
  <si>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</si>
  <si>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</si>
  <si>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</si>
  <si>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</si>
  <si>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</si>
  <si>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</si>
  <si>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</si>
  <si>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</si>
  <si>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</si>
  <si>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</si>
  <si>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</si>
  <si>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</si>
  <si>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</si>
  <si>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</si>
  <si>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</si>
  <si>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</si>
  <si>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</si>
  <si>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</si>
  <si>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</si>
  <si>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</si>
  <si>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</si>
  <si>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</si>
  <si>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</si>
  <si>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</si>
  <si>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</si>
  <si>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</si>
  <si>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</si>
  <si>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</si>
  <si>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</si>
  <si>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</si>
  <si>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</si>
  <si>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</si>
  <si>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</si>
  <si>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</si>
  <si>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</si>
  <si>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</si>
  <si>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</si>
  <si>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</si>
  <si>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</si>
  <si>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</si>
  <si>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</si>
  <si>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</si>
  <si>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</si>
  <si>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</si>
  <si>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</si>
  <si>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</si>
  <si>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</si>
  <si>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</si>
  <si>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</si>
  <si>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</si>
  <si>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</si>
  <si>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</si>
  <si>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</si>
  <si>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</si>
  <si>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</si>
  <si>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</si>
  <si>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</si>
  <si>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</si>
  <si>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</si>
  <si>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</si>
  <si>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</si>
  <si>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</si>
  <si>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</si>
  <si>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</si>
  <si>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</si>
  <si>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</si>
  <si>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</si>
  <si>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</si>
  <si>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</si>
  <si>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</si>
  <si>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</si>
  <si>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</si>
  <si>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</si>
  <si>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</si>
  <si>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</si>
  <si>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</si>
  <si>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</si>
  <si>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</si>
  <si>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</si>
  <si>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</si>
  <si>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</si>
  <si>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</si>
  <si>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</si>
  <si>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</si>
  <si>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</si>
  <si>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</si>
  <si>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</si>
  <si>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</si>
  <si>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</si>
  <si>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</si>
  <si>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</si>
  <si>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</si>
  <si>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</si>
  <si>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</si>
  <si>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</si>
  <si>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</si>
  <si>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</si>
  <si>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</si>
  <si>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</si>
  <si>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</si>
  <si>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</si>
  <si>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</si>
  <si>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</si>
  <si>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</si>
  <si>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</si>
  <si>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</si>
  <si>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</si>
  <si>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</si>
  <si>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</si>
  <si>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</si>
  <si>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</si>
  <si>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</si>
  <si>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</si>
  <si>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</si>
  <si>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</si>
  <si>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</si>
  <si>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</si>
  <si>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</si>
  <si>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</si>
  <si>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</si>
  <si>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</si>
  <si>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</si>
  <si>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</si>
  <si>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</si>
  <si>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</si>
  <si>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</si>
  <si>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</si>
  <si>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</si>
  <si>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</si>
  <si>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</si>
  <si>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</si>
  <si>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</si>
  <si>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</si>
  <si>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</si>
  <si>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</si>
  <si>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</si>
  <si>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</si>
  <si>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</si>
  <si>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</si>
  <si>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</si>
  <si>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</si>
  <si>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</si>
  <si>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</si>
  <si>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</si>
  <si>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</si>
  <si>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</si>
  <si>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</si>
  <si>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</si>
  <si>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</si>
  <si>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</si>
  <si>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</si>
  <si>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</si>
  <si>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</si>
  <si>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</si>
  <si>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</si>
  <si>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</si>
  <si>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</si>
  <si>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</si>
  <si>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</si>
  <si>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</si>
  <si>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</si>
  <si>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</si>
  <si>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</si>
  <si>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</si>
  <si>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</si>
  <si>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</si>
  <si>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</si>
  <si>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</si>
  <si>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</si>
  <si>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</si>
  <si>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</si>
  <si>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</si>
  <si>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</si>
  <si>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</si>
  <si>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</si>
  <si>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</si>
  <si>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</si>
  <si>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</si>
  <si>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</si>
  <si>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</si>
  <si>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</si>
  <si>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</si>
  <si>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</si>
  <si>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</si>
  <si>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</si>
  <si>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</si>
  <si>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</si>
  <si>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</si>
  <si>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</si>
  <si>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</si>
  <si>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</si>
  <si>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</si>
  <si>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</si>
  <si>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</si>
  <si>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</si>
  <si>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</si>
  <si>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</si>
  <si>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</si>
  <si>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</si>
  <si>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</si>
  <si>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</si>
  <si>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</si>
  <si>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</si>
  <si>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</si>
  <si>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</si>
  <si>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</si>
  <si>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</si>
  <si>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</si>
  <si>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</si>
  <si>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</si>
  <si>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</si>
  <si>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</si>
  <si>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</si>
  <si>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</si>
  <si>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</si>
  <si>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</si>
  <si>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</si>
  <si>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</si>
  <si>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</si>
  <si>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</si>
  <si>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</si>
  <si>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</si>
  <si>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</si>
  <si>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</si>
  <si>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</si>
  <si>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</si>
  <si>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</si>
  <si>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</si>
  <si>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</si>
  <si>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</si>
  <si>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</si>
  <si>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</si>
  <si>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</si>
  <si>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</si>
  <si>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</si>
  <si>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</si>
  <si>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</si>
  <si>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</si>
  <si>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</si>
  <si>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</si>
  <si>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</si>
  <si>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</si>
  <si>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</si>
  <si>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</si>
  <si>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</si>
  <si>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</si>
  <si>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</si>
  <si>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</si>
  <si>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</si>
  <si>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</si>
  <si>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</si>
  <si>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</si>
  <si>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</si>
  <si>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</si>
  <si>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</si>
  <si>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</si>
  <si>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</si>
  <si>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</si>
  <si>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</si>
  <si>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</si>
  <si>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</si>
  <si>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</si>
  <si>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</si>
  <si>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</si>
  <si>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</si>
  <si>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</si>
  <si>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</si>
  <si>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</si>
  <si>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</si>
  <si>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</si>
  <si>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</si>
  <si>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</si>
  <si>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</si>
  <si>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</si>
  <si>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</si>
  <si>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</si>
  <si>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</si>
  <si>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</si>
  <si>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</si>
  <si>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</si>
  <si>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</si>
  <si>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</si>
  <si>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</si>
  <si>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</si>
  <si>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</si>
  <si>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</si>
  <si>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</si>
  <si>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</si>
  <si>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</si>
  <si>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</si>
  <si>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</si>
  <si>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</si>
  <si>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</si>
  <si>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</si>
  <si>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</si>
  <si>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</si>
  <si>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</si>
  <si>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</si>
  <si>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</si>
  <si>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</si>
  <si>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</si>
  <si>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</si>
  <si>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</si>
  <si>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</si>
  <si>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</si>
  <si>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</si>
  <si>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</si>
  <si>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</si>
  <si>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</si>
  <si>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</si>
  <si>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</si>
  <si>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</si>
  <si>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</si>
  <si>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</si>
  <si>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</si>
  <si>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</si>
  <si>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</si>
  <si>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</si>
  <si>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</si>
  <si>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</si>
  <si>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</si>
  <si>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</si>
  <si>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</si>
  <si>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</si>
  <si>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</si>
  <si>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</si>
  <si>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</si>
  <si>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</si>
  <si>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</si>
  <si>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</si>
  <si>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</si>
  <si>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</si>
  <si>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</si>
  <si>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</si>
  <si>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</si>
  <si>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</si>
  <si>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</si>
  <si>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</si>
  <si>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</si>
  <si>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</si>
  <si>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</si>
  <si>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</si>
  <si>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</si>
  <si>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</si>
  <si>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</si>
  <si>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</si>
  <si>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</si>
  <si>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</si>
  <si>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</si>
  <si>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</si>
  <si>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</si>
  <si>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</si>
  <si>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</si>
  <si>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</si>
  <si>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</si>
  <si>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</si>
  <si>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</si>
  <si>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</si>
  <si>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</si>
  <si>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</si>
  <si>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</si>
  <si>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</si>
  <si>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</si>
  <si>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</si>
  <si>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</si>
  <si>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</si>
  <si>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</si>
  <si>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</si>
  <si>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</si>
  <si>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</si>
  <si>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</si>
  <si>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</si>
  <si>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</si>
  <si>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</si>
  <si>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</si>
  <si>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</si>
  <si>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</si>
  <si>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</si>
  <si>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</si>
  <si>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</si>
  <si>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</si>
  <si>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</si>
  <si>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</si>
  <si>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</si>
  <si>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</si>
  <si>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</si>
  <si>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</si>
  <si>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</si>
  <si>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</si>
  <si>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</si>
  <si>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</si>
  <si>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</si>
  <si>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</si>
  <si>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</si>
  <si>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</si>
  <si>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</si>
  <si>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</si>
  <si>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</si>
  <si>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</si>
  <si>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</si>
  <si>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</si>
  <si>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</si>
  <si>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</si>
  <si>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</si>
  <si>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</si>
  <si>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</si>
  <si>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</si>
  <si>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</si>
  <si>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</si>
  <si>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</si>
  <si>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</si>
  <si>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</si>
  <si>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</si>
  <si>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</si>
  <si>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</si>
  <si>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</si>
  <si>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</si>
  <si>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</si>
  <si>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</si>
  <si>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</si>
  <si>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</si>
  <si>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</si>
  <si>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</si>
  <si>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</si>
  <si>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</si>
  <si>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</si>
  <si>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</si>
  <si>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</si>
  <si>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</si>
  <si>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</si>
  <si>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</si>
  <si>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</si>
  <si>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</si>
  <si>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</si>
  <si>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</si>
  <si>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</si>
  <si>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</si>
  <si>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</si>
  <si>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</si>
  <si>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</si>
  <si>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</si>
  <si>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</si>
  <si>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</si>
  <si>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</si>
  <si>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</si>
  <si>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</si>
  <si>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</si>
  <si>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</si>
  <si>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</si>
  <si>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</si>
  <si>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</si>
  <si>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</si>
  <si>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</si>
  <si>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</si>
  <si>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</si>
  <si>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</si>
  <si>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</si>
  <si>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</si>
  <si>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</si>
  <si>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</si>
  <si>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</si>
  <si>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</si>
  <si>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</si>
  <si>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</si>
  <si>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</si>
  <si>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</si>
  <si>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</si>
  <si>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</si>
  <si>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</si>
  <si>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</si>
  <si>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</si>
  <si>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</si>
  <si>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</si>
  <si>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</si>
  <si>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</si>
  <si>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</si>
  <si>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</si>
  <si>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</si>
  <si>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</si>
  <si>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</si>
  <si>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</si>
  <si>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</si>
  <si>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</si>
  <si>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</si>
  <si>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</si>
  <si>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</si>
  <si>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</si>
  <si>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</si>
  <si>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</si>
  <si>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</si>
  <si>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</si>
  <si>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</si>
  <si>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</si>
  <si>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</si>
  <si>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</si>
  <si>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</si>
  <si>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</si>
  <si>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</si>
  <si>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</si>
  <si>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</si>
  <si>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</si>
  <si>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</si>
  <si>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</si>
  <si>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</si>
  <si>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</si>
  <si>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</si>
  <si>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</si>
  <si>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</si>
  <si>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</si>
  <si>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</si>
  <si>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</si>
  <si>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</si>
  <si>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</si>
  <si>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</si>
  <si>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</si>
  <si>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</si>
  <si>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</si>
  <si>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</si>
  <si>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</si>
  <si>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</si>
  <si>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</si>
  <si>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</si>
  <si>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</si>
  <si>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</si>
  <si>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</si>
  <si>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</si>
  <si>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</si>
  <si>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</si>
  <si>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</si>
  <si>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</si>
  <si>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</si>
  <si>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</si>
  <si>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</si>
  <si>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</si>
  <si>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</si>
  <si>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</si>
  <si>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</si>
  <si>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</si>
  <si>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</si>
  <si>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</si>
  <si>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</si>
  <si>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</si>
  <si>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</si>
  <si>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</si>
  <si>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</si>
  <si>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</si>
  <si>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</si>
  <si>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</si>
  <si>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</si>
  <si>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</si>
  <si>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</si>
  <si>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</si>
  <si>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</si>
  <si>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</si>
  <si>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</si>
  <si>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</si>
  <si>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</si>
  <si>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</si>
  <si>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</si>
  <si>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</si>
  <si>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</si>
  <si>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</si>
  <si>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</si>
  <si>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</si>
  <si>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</si>
  <si>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</si>
  <si>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</si>
  <si>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</si>
  <si>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</si>
  <si>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</si>
  <si>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</si>
  <si>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</si>
  <si>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</si>
  <si>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</si>
  <si>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</si>
  <si>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</si>
  <si>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</si>
  <si>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</si>
  <si>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</si>
  <si>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</si>
  <si>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</si>
  <si>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</si>
  <si>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</si>
  <si>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</si>
  <si>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</si>
  <si>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</si>
  <si>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</si>
  <si>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</si>
  <si>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</si>
  <si>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</si>
  <si>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</si>
  <si>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</si>
  <si>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</si>
  <si>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</si>
  <si>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</si>
  <si>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</si>
  <si>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</si>
  <si>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</si>
  <si>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</si>
  <si>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</si>
  <si>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</si>
  <si>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</si>
  <si>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</si>
  <si>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</si>
  <si>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</si>
  <si>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</si>
  <si>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</si>
  <si>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</si>
  <si>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</si>
  <si>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</si>
  <si>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</si>
  <si>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</si>
  <si>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</si>
  <si>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</si>
  <si>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</si>
  <si>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</si>
  <si>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</si>
  <si>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</si>
  <si>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</si>
  <si>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</si>
  <si>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</si>
  <si>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</si>
  <si>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</si>
  <si>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</si>
  <si>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</si>
  <si>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</si>
  <si>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</si>
  <si>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</si>
  <si>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</si>
  <si>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</si>
  <si>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</si>
  <si>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</si>
  <si>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</si>
  <si>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</si>
  <si>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</si>
  <si>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</si>
  <si>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</si>
  <si>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</si>
  <si>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</si>
  <si>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</si>
  <si>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</si>
  <si>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</si>
  <si>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</si>
  <si>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</si>
  <si>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</si>
  <si>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</si>
  <si>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</si>
  <si>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</si>
  <si>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</si>
  <si>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</si>
  <si>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</si>
  <si>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</si>
  <si>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</si>
  <si>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</si>
  <si>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</si>
  <si>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</si>
  <si>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</si>
  <si>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</si>
  <si>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</si>
  <si>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</si>
  <si>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</si>
  <si>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</si>
  <si>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</si>
  <si>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</si>
  <si>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</si>
  <si>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</si>
  <si>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</si>
  <si>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</si>
  <si>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</si>
  <si>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</si>
  <si>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</si>
  <si>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</si>
  <si>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</si>
  <si>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</si>
  <si>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</si>
  <si>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</si>
  <si>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</si>
  <si>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</si>
  <si>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</si>
  <si>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</si>
  <si>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</si>
  <si>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</si>
  <si>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</si>
  <si>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</si>
  <si>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</si>
  <si>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</si>
  <si>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</si>
  <si>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</si>
  <si>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</si>
  <si>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</si>
  <si>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</si>
  <si>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</si>
  <si>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</si>
  <si>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</si>
  <si>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</si>
  <si>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</si>
  <si>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</si>
  <si>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</si>
  <si>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</si>
  <si>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</si>
  <si>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</si>
  <si>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</si>
  <si>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</si>
  <si>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</si>
  <si>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</si>
  <si>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</si>
  <si>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</si>
  <si>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</si>
  <si>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</si>
  <si>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</si>
  <si>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</si>
  <si>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</si>
  <si>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</si>
  <si>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</si>
  <si>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</si>
  <si>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</si>
  <si>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</si>
  <si>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</si>
  <si>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</si>
  <si>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</si>
  <si>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</si>
  <si>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</si>
  <si>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</si>
  <si>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</si>
  <si>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</si>
  <si>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</si>
  <si>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</si>
  <si>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</si>
  <si>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</si>
  <si>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</si>
  <si>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</si>
  <si>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</si>
  <si>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</si>
  <si>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</si>
  <si>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</si>
  <si>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</si>
  <si>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</si>
  <si>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</si>
  <si>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</si>
  <si>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</si>
  <si>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</si>
  <si>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</si>
  <si>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</si>
  <si>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</si>
  <si>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</si>
  <si>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</si>
  <si>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</si>
  <si>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</si>
  <si>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</si>
  <si>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</si>
  <si>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</si>
  <si>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</si>
  <si>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</si>
  <si>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</si>
  <si>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</si>
  <si>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</si>
  <si>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</si>
  <si>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</si>
  <si>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</si>
  <si>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</si>
  <si>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</si>
  <si>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</si>
  <si>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</si>
  <si>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</si>
  <si>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</si>
  <si>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</si>
  <si>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</si>
  <si>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</si>
  <si>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</si>
  <si>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</si>
  <si>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</si>
  <si>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</si>
  <si>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</si>
  <si>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</si>
  <si>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</si>
  <si>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</si>
  <si>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</si>
  <si>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</si>
  <si>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</si>
  <si>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</si>
  <si>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</si>
  <si>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</si>
  <si>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</si>
  <si>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</si>
  <si>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</si>
  <si>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</si>
  <si>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</si>
  <si>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</si>
  <si>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</si>
  <si>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</si>
  <si>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</si>
  <si>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</si>
  <si>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</si>
  <si>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</si>
  <si>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</si>
  <si>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</si>
  <si>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</si>
  <si>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</si>
  <si>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</si>
  <si>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</si>
  <si>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</si>
  <si>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</si>
  <si>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</si>
  <si>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</si>
  <si>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</si>
  <si>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</si>
  <si>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</si>
  <si>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</si>
  <si>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</si>
  <si>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</si>
  <si>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</si>
  <si>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</si>
  <si>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</si>
  <si>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</si>
  <si>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</si>
  <si>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</si>
  <si>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</si>
  <si>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</si>
  <si>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</si>
  <si>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</si>
  <si>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</si>
  <si>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</si>
  <si>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</si>
  <si>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</si>
  <si>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</si>
  <si>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</si>
  <si>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</si>
  <si>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</si>
  <si>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</si>
  <si>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</si>
  <si>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</si>
  <si>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</si>
  <si>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</si>
  <si>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</si>
  <si>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</si>
  <si>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</si>
  <si>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</si>
  <si>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</si>
  <si>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</si>
  <si>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</si>
  <si>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</si>
  <si>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</si>
  <si>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</si>
  <si>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</si>
  <si>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</si>
  <si>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</si>
  <si>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</si>
  <si>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</si>
  <si>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</si>
  <si>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</si>
  <si>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</si>
  <si>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</si>
  <si>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</si>
  <si>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</si>
  <si>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</si>
  <si>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</si>
  <si>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</si>
  <si>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</si>
  <si>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</si>
  <si>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</si>
  <si>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</si>
  <si>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</si>
  <si>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</si>
  <si>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</si>
  <si>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</si>
  <si>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</si>
  <si>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</si>
  <si>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</si>
  <si>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</si>
  <si>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</si>
  <si>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</si>
  <si>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</si>
  <si>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</si>
  <si>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</si>
  <si>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</si>
  <si>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</si>
  <si>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</si>
  <si>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</si>
  <si>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</si>
  <si>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</si>
  <si>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</si>
  <si>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</si>
  <si>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</si>
  <si>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</si>
  <si>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</si>
  <si>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</si>
  <si>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</si>
  <si>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</si>
  <si>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</si>
  <si>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</si>
  <si>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</si>
  <si>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</si>
  <si>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</si>
  <si>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</si>
  <si>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</si>
  <si>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</si>
  <si>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</si>
  <si>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</si>
  <si>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</si>
  <si>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</si>
  <si>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</si>
  <si>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</si>
  <si>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</si>
  <si>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</si>
  <si>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</si>
  <si>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</si>
  <si>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</si>
  <si>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</si>
  <si>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</si>
  <si>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</si>
  <si>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</si>
  <si>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</si>
  <si>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</si>
  <si>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</si>
  <si>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</si>
  <si>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</si>
  <si>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</si>
  <si>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</si>
  <si>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</si>
  <si>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</si>
  <si>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</si>
  <si>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</si>
  <si>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</si>
  <si>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</si>
  <si>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</si>
  <si>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</si>
  <si>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</si>
  <si>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</si>
  <si>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</si>
  <si>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</si>
  <si>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</si>
  <si>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</si>
  <si>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</si>
  <si>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</si>
  <si>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</si>
  <si>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</si>
  <si>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</si>
  <si>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</si>
  <si>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</si>
  <si>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</si>
  <si>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</si>
  <si>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</si>
  <si>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</si>
  <si>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</si>
  <si>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</si>
  <si>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</si>
  <si>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</si>
  <si>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</si>
  <si>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</si>
  <si>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</si>
  <si>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</si>
  <si>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</si>
  <si>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</si>
  <si>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</si>
  <si>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</si>
  <si>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</si>
  <si>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</si>
  <si>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</si>
  <si>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</si>
  <si>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</si>
  <si>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</si>
  <si>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</si>
  <si>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</si>
  <si>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</si>
  <si>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</si>
  <si>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</si>
  <si>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</si>
  <si>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</si>
  <si>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</si>
  <si>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</si>
  <si>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</si>
  <si>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</si>
  <si>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</si>
  <si>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</si>
  <si>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</si>
  <si>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</si>
  <si>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</si>
  <si>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</si>
  <si>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</si>
  <si>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</si>
  <si>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</si>
  <si>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</si>
  <si>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</si>
  <si>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</si>
  <si>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</si>
  <si>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</si>
  <si>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</si>
  <si>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</si>
  <si>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</si>
  <si>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</si>
  <si>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</si>
  <si>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</si>
  <si>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</si>
  <si>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</si>
  <si>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</si>
  <si>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</si>
  <si>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</si>
  <si>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</si>
  <si>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</si>
  <si>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</si>
  <si>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</si>
  <si>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</si>
  <si>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</si>
  <si>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</si>
  <si>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</si>
  <si>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</si>
  <si>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</si>
  <si>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</si>
  <si>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</si>
  <si>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</si>
  <si>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</si>
  <si>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</si>
  <si>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</si>
  <si>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</si>
  <si>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</si>
  <si>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</si>
  <si>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</si>
  <si>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</si>
  <si>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</si>
  <si>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</si>
  <si>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</si>
  <si>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</si>
  <si>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</si>
  <si>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</si>
  <si>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</si>
  <si>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</si>
  <si>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</si>
  <si>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</si>
  <si>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</si>
  <si>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</si>
  <si>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</si>
  <si>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</si>
  <si>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</si>
  <si>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</si>
  <si>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</si>
  <si>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</si>
  <si>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</si>
  <si>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</si>
  <si>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</si>
  <si>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</si>
  <si>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</si>
  <si>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</si>
  <si>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</si>
  <si>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</si>
  <si>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</si>
  <si>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</si>
  <si>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</si>
  <si>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</si>
  <si>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</si>
  <si>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</si>
  <si>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</si>
  <si>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</si>
  <si>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</si>
  <si>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</si>
  <si>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</si>
  <si>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</si>
  <si>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</si>
  <si>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</si>
  <si>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</si>
  <si>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</si>
  <si>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</si>
  <si>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</si>
  <si>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</si>
  <si>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</si>
  <si>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</si>
  <si>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</si>
  <si>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</si>
  <si>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</si>
  <si>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</si>
  <si>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</si>
  <si>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</si>
  <si>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</si>
  <si>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</si>
  <si>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</si>
  <si>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</si>
  <si>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</si>
  <si>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</si>
  <si>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</si>
  <si>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</si>
  <si>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</si>
  <si>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</si>
  <si>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</si>
  <si>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</si>
  <si>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</si>
  <si>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</si>
  <si>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</si>
  <si>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</si>
  <si>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</si>
  <si>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</si>
  <si>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</si>
  <si>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</si>
  <si>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</si>
  <si>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</si>
  <si>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</si>
  <si>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</si>
  <si>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</si>
  <si>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</si>
  <si>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</si>
  <si>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</si>
  <si>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</si>
  <si>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</si>
  <si>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</si>
  <si>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</si>
  <si>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</si>
  <si>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</si>
  <si>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</si>
  <si>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</si>
  <si>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</si>
  <si>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</si>
  <si>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</si>
  <si>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</si>
  <si>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</si>
  <si>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</si>
  <si>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</si>
  <si>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</si>
  <si>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</si>
  <si>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</si>
  <si>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</si>
  <si>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</si>
  <si>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</si>
  <si>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</si>
  <si>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</si>
  <si>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</si>
  <si>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</si>
  <si>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</si>
  <si>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</si>
  <si>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</si>
  <si>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</si>
  <si>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</si>
  <si>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</si>
  <si>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</si>
  <si>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</si>
  <si>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</si>
  <si>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</si>
  <si>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</si>
  <si>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</si>
  <si>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</si>
  <si>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</si>
  <si>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</si>
  <si>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</si>
  <si>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</si>
  <si>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</si>
  <si>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</si>
  <si>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</si>
  <si>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</si>
  <si>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</si>
  <si>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</si>
  <si>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</si>
  <si>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</si>
  <si>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</si>
  <si>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</si>
  <si>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</si>
  <si>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</si>
  <si>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</si>
  <si>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</si>
  <si>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</si>
  <si>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</si>
  <si>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</si>
  <si>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</si>
  <si>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</si>
  <si>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</si>
  <si>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</si>
  <si>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</si>
  <si>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</si>
  <si>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</si>
  <si>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</si>
  <si>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</si>
  <si>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</si>
  <si>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</si>
  <si>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</si>
  <si>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</si>
  <si>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</si>
  <si>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</si>
  <si>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</si>
  <si>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</si>
  <si>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</si>
  <si>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</si>
  <si>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</si>
  <si>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</si>
  <si>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</si>
  <si>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</si>
  <si>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</si>
  <si>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</si>
  <si>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</si>
  <si>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</si>
  <si>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</si>
  <si>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</si>
  <si>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</si>
  <si>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</si>
  <si>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</si>
  <si>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</si>
  <si>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</si>
  <si>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</si>
  <si>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</si>
  <si>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</si>
  <si>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</si>
  <si>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</si>
  <si>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</si>
  <si>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</si>
  <si>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</si>
  <si>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</si>
  <si>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</si>
  <si>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</si>
  <si>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</si>
  <si>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</si>
  <si>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</si>
  <si>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</si>
  <si>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</si>
  <si>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</si>
  <si>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</si>
  <si>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</si>
  <si>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</si>
  <si>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</si>
  <si>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</si>
  <si>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</si>
  <si>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</si>
  <si>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</si>
  <si>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</si>
  <si>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</si>
  <si>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</si>
  <si>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</si>
  <si>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</si>
  <si>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</si>
  <si>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</si>
  <si>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</si>
  <si>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</si>
  <si>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</si>
  <si>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</si>
  <si>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</si>
  <si>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</si>
  <si>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</si>
  <si>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</si>
  <si>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</si>
  <si>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</si>
  <si>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</si>
  <si>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</si>
  <si>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</si>
  <si>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</si>
  <si>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</si>
  <si>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</si>
  <si>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</si>
  <si>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</si>
  <si>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</si>
  <si>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</si>
  <si>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</si>
  <si>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</si>
  <si>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</si>
  <si>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</si>
  <si>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</si>
  <si>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</si>
  <si>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</si>
  <si>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</si>
  <si>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</si>
  <si>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</si>
  <si>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</si>
  <si>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</si>
  <si>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</si>
  <si>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</si>
  <si>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</si>
  <si>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</si>
  <si>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</si>
  <si>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</si>
  <si>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</si>
  <si>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</si>
  <si>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</si>
  <si>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</si>
  <si>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</si>
  <si>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</si>
  <si>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</si>
  <si>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</si>
  <si>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</si>
  <si>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</si>
  <si>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</si>
  <si>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</si>
  <si>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</si>
  <si>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</si>
  <si>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</si>
  <si>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</si>
  <si>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</si>
  <si>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</si>
  <si>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</si>
  <si>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</si>
  <si>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</si>
  <si>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</si>
  <si>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</si>
  <si>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</si>
  <si>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</si>
  <si>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</si>
  <si>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</si>
  <si>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</si>
  <si>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</si>
  <si>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</si>
  <si>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</si>
  <si>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</si>
  <si>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</si>
  <si>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</si>
  <si>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</si>
  <si>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</si>
  <si>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</si>
  <si>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</si>
  <si>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</si>
  <si>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</si>
  <si>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</si>
  <si>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</si>
  <si>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</si>
  <si>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</si>
  <si>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</si>
  <si>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</si>
  <si>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</si>
  <si>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</si>
  <si>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</si>
  <si>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</si>
  <si>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</si>
  <si>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</si>
  <si>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</si>
  <si>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</si>
  <si>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</si>
  <si>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</si>
  <si>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</si>
  <si>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</si>
  <si>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</si>
  <si>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</si>
  <si>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</si>
  <si>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</si>
  <si>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</si>
  <si>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</si>
  <si>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</si>
  <si>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</si>
  <si>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</si>
  <si>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</si>
  <si>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</si>
  <si>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</si>
  <si>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</si>
  <si>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</si>
  <si>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</si>
  <si>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</si>
  <si>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</si>
  <si>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</si>
  <si>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</si>
  <si>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</si>
  <si>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</si>
  <si>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</si>
  <si>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</si>
  <si>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</si>
  <si>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</si>
  <si>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</si>
  <si>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</si>
  <si>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</si>
  <si>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</si>
  <si>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</si>
  <si>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</si>
  <si>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</si>
  <si>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</si>
  <si>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</si>
  <si>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</si>
  <si>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</si>
  <si>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</si>
  <si>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</si>
  <si>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</si>
  <si>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</si>
  <si>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</si>
  <si>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</si>
  <si>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</si>
  <si>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</si>
  <si>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</si>
  <si>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</si>
  <si>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</si>
  <si>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</si>
  <si>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</si>
  <si>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</si>
  <si>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</si>
  <si>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</si>
  <si>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</si>
  <si>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</si>
  <si>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</si>
  <si>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</si>
  <si>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</si>
  <si>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</si>
  <si>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</si>
  <si>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</si>
  <si>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</si>
  <si>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</si>
  <si>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</si>
  <si>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</si>
  <si>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</si>
  <si>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</si>
  <si>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</si>
  <si>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</si>
  <si>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</si>
  <si>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</si>
  <si>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</si>
  <si>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</si>
  <si>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</si>
  <si>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</si>
  <si>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</si>
  <si>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</si>
  <si>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</si>
  <si>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</si>
  <si>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</si>
  <si>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</si>
  <si>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</si>
  <si>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</si>
  <si>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</si>
  <si>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</si>
  <si>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</si>
  <si>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</si>
  <si>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</si>
  <si>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</si>
  <si>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</si>
  <si>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</si>
  <si>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</si>
  <si>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</si>
  <si>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</si>
  <si>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</si>
  <si>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</si>
  <si>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</si>
  <si>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</si>
  <si>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</si>
  <si>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</si>
  <si>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</si>
  <si>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</si>
  <si>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</si>
  <si>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</si>
  <si>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</si>
  <si>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</si>
  <si>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</si>
  <si>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</si>
  <si>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</si>
  <si>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</si>
  <si>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</si>
  <si>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</si>
  <si>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</si>
  <si>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</si>
  <si>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</si>
  <si>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</si>
  <si>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</si>
  <si>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</si>
  <si>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</si>
  <si>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</si>
  <si>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</si>
  <si>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</si>
  <si>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</si>
  <si>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</si>
  <si>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</si>
  <si>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</si>
  <si>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</si>
  <si>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</si>
  <si>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</si>
  <si>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</si>
  <si>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</si>
  <si>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</si>
  <si>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</si>
  <si>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</si>
  <si>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</si>
  <si>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</si>
  <si>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</si>
  <si>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</si>
  <si>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</si>
  <si>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</si>
  <si>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</si>
  <si>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</si>
  <si>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</si>
  <si>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</si>
  <si>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</si>
  <si>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</si>
  <si>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</si>
  <si>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</si>
  <si>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</si>
  <si>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</si>
  <si>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</si>
  <si>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</si>
  <si>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</si>
  <si>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</si>
  <si>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</si>
  <si>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</si>
  <si>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</si>
  <si>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</si>
  <si>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</si>
  <si>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</si>
  <si>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</si>
  <si>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</si>
  <si>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</si>
  <si>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</si>
  <si>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</si>
  <si>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</si>
  <si>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</si>
  <si>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</si>
  <si>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</si>
  <si>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</si>
  <si>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</si>
  <si>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</si>
  <si>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</si>
  <si>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</si>
  <si>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</si>
  <si>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</si>
  <si>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</si>
  <si>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</si>
  <si>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</si>
  <si>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</si>
  <si>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</si>
  <si>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</si>
  <si>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</si>
  <si>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</si>
  <si>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</si>
  <si>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</si>
  <si>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</si>
  <si>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</si>
  <si>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</si>
  <si>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</si>
  <si>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</si>
  <si>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</si>
  <si>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</si>
  <si>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</si>
  <si>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</si>
  <si>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</si>
  <si>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</si>
  <si>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</si>
  <si>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</si>
  <si>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</si>
  <si>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</si>
  <si>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</si>
  <si>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</si>
  <si>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</si>
  <si>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</si>
  <si>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</si>
  <si>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</si>
  <si>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</si>
  <si>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</si>
  <si>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</si>
  <si>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</si>
  <si>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</si>
  <si>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</si>
  <si>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</si>
  <si>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</si>
  <si>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</si>
  <si>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</si>
  <si>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</si>
  <si>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</si>
  <si>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</si>
  <si>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</si>
  <si>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</si>
  <si>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</si>
  <si>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</si>
  <si>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</si>
  <si>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</si>
  <si>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</si>
  <si>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</si>
  <si>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</si>
  <si>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</si>
  <si>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</si>
  <si>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</si>
  <si>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</si>
  <si>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</si>
  <si>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</si>
  <si>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</si>
  <si>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</si>
  <si>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</si>
  <si>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</si>
  <si>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</si>
  <si>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</si>
  <si>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</si>
  <si>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</si>
  <si>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</si>
  <si>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</si>
  <si>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</si>
  <si>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</si>
  <si>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</si>
  <si>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</si>
  <si>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</si>
  <si>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</si>
  <si>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</si>
  <si>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</si>
  <si>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</si>
  <si>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</si>
  <si>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</si>
  <si>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</si>
  <si>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</si>
  <si>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</si>
  <si>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</si>
  <si>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</si>
  <si>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</si>
  <si>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</si>
  <si>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</si>
  <si>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</si>
  <si>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</si>
  <si>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</si>
  <si>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</si>
  <si>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</si>
  <si>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</si>
  <si>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</si>
  <si>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</si>
  <si>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</si>
  <si>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</si>
  <si>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</si>
  <si>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</si>
  <si>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</si>
  <si>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</si>
  <si>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</si>
  <si>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</si>
  <si>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</si>
  <si>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</si>
  <si>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</si>
  <si>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</si>
  <si>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</si>
  <si>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</si>
  <si>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</si>
  <si>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</si>
  <si>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</si>
  <si>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</si>
  <si>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</si>
  <si>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</si>
  <si>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</si>
  <si>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</si>
  <si>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</si>
  <si>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</si>
  <si>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</si>
  <si>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</si>
  <si>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</si>
  <si>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</si>
  <si>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</si>
  <si>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</si>
  <si>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</si>
  <si>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</si>
  <si>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</si>
  <si>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</si>
  <si>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</si>
  <si>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</si>
  <si>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</si>
  <si>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</si>
  <si>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</si>
  <si>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</si>
  <si>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</si>
  <si>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</si>
  <si>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</si>
  <si>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</si>
  <si>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</si>
  <si>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</si>
  <si>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</si>
  <si>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</si>
  <si>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</si>
  <si>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</si>
  <si>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</si>
  <si>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</si>
  <si>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</si>
  <si>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</si>
  <si>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</si>
  <si>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</si>
  <si>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</si>
  <si>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</si>
  <si>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</si>
  <si>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</si>
  <si>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</si>
  <si>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</si>
  <si>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</si>
  <si>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</si>
  <si>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</si>
  <si>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</si>
  <si>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</si>
  <si>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</si>
  <si>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</si>
  <si>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</si>
  <si>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</si>
  <si>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</si>
  <si>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</si>
  <si>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</si>
  <si>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</si>
  <si>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</si>
  <si>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</si>
  <si>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</si>
  <si>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</si>
  <si>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</si>
  <si>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</si>
  <si>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</si>
  <si>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</si>
  <si>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</si>
  <si>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</si>
  <si>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</si>
  <si>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</si>
  <si>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</si>
  <si>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</si>
  <si>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</si>
  <si>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</si>
  <si>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</si>
  <si>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</si>
  <si>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</si>
  <si>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</si>
  <si>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</si>
  <si>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</si>
  <si>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</si>
  <si>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</si>
  <si>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</si>
  <si>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</si>
  <si>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</si>
  <si>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</si>
  <si>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</si>
  <si>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</si>
  <si>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</si>
  <si>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</si>
  <si>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</si>
  <si>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</si>
  <si>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</si>
  <si>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</si>
  <si>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</si>
  <si>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</si>
  <si>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</si>
  <si>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</si>
  <si>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</si>
  <si>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</si>
  <si>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</si>
  <si>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</si>
  <si>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</si>
  <si>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</si>
  <si>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</si>
  <si>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</si>
  <si>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</si>
  <si>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</si>
  <si>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</si>
  <si>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</si>
  <si>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</si>
  <si>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</si>
  <si>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</si>
  <si>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</si>
  <si>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</si>
  <si>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</si>
  <si>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</si>
  <si>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</si>
  <si>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</si>
  <si>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</si>
  <si>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</si>
  <si>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</si>
  <si>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</si>
  <si>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</si>
  <si>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</si>
  <si>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</si>
  <si>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</si>
  <si>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</si>
  <si>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</si>
  <si>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</si>
  <si>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</si>
  <si>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</si>
  <si>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</si>
  <si>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</si>
  <si>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</si>
  <si>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</si>
  <si>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</si>
  <si>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</si>
  <si>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</si>
  <si>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</si>
  <si>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</si>
  <si>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</si>
  <si>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</si>
  <si>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</si>
  <si>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</si>
  <si>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</si>
  <si>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</si>
  <si>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</si>
  <si>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</si>
  <si>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</si>
  <si>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</si>
  <si>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</si>
  <si>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</si>
  <si>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</si>
  <si>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</si>
  <si>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</si>
  <si>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</si>
  <si>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</si>
  <si>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</si>
  <si>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</si>
  <si>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</si>
  <si>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</si>
  <si>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</si>
  <si>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</si>
  <si>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</si>
  <si>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</si>
  <si>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</si>
  <si>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</si>
  <si>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</si>
  <si>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</si>
  <si>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</si>
  <si>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</si>
  <si>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</si>
  <si>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</si>
  <si>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</si>
  <si>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</si>
  <si>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</si>
  <si>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</si>
  <si>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</si>
  <si>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</si>
  <si>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</si>
  <si>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</si>
  <si>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</si>
  <si>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</si>
  <si>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</si>
  <si>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</si>
  <si>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</si>
  <si>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</si>
  <si>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</si>
  <si>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</si>
  <si>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</si>
  <si>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</si>
  <si>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</si>
  <si>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</si>
  <si>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</si>
  <si>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</si>
  <si>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</si>
  <si>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</si>
  <si>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</si>
  <si>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</si>
  <si>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</si>
  <si>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</si>
  <si>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</si>
  <si>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</si>
  <si>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</si>
  <si>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</si>
  <si>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</si>
  <si>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</si>
  <si>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</si>
  <si>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</si>
  <si>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</si>
  <si>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</si>
  <si>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</si>
  <si>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</si>
  <si>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</si>
  <si>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</si>
  <si>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</si>
  <si>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</si>
  <si>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</si>
  <si>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</si>
  <si>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</si>
  <si>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</si>
  <si>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</si>
  <si>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</si>
  <si>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</si>
  <si>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</si>
  <si>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</si>
  <si>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</si>
  <si>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</si>
  <si>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</si>
  <si>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</si>
  <si>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</si>
  <si>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</si>
  <si>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</si>
  <si>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</si>
  <si>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</si>
  <si>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</si>
  <si>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</si>
  <si>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</si>
  <si>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</si>
  <si>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</si>
  <si>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</si>
  <si>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</si>
  <si>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</si>
  <si>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</si>
  <si>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</si>
  <si>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</si>
  <si>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</si>
  <si>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</si>
  <si>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</si>
  <si>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</si>
  <si>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</si>
  <si>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</si>
  <si>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</si>
  <si>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</si>
  <si>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</si>
  <si>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</si>
  <si>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</si>
  <si>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</si>
  <si>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</si>
  <si>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</si>
  <si>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</si>
  <si>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</si>
  <si>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</si>
  <si>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</si>
  <si>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</si>
  <si>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</si>
  <si>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</si>
  <si>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</si>
  <si>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</si>
  <si>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</si>
  <si>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</si>
  <si>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</si>
  <si>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</si>
  <si>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</si>
  <si>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</si>
  <si>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</si>
  <si>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</si>
  <si>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</si>
  <si>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</si>
  <si>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</si>
  <si>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</si>
  <si>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</si>
  <si>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</si>
  <si>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</si>
  <si>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</si>
  <si>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</si>
  <si>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</si>
  <si>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</si>
  <si>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</si>
  <si>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</si>
  <si>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</si>
  <si>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</si>
  <si>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</si>
  <si>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</si>
  <si>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</si>
  <si>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</si>
  <si>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</si>
  <si>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</si>
  <si>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</si>
  <si>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</si>
  <si>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</si>
  <si>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</si>
  <si>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</si>
  <si>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</si>
  <si>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</si>
  <si>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</si>
  <si>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</si>
  <si>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</si>
  <si>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</si>
  <si>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</si>
  <si>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</si>
  <si>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</si>
  <si>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</si>
  <si>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</si>
  <si>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</si>
  <si>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</si>
  <si>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</si>
  <si>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</si>
  <si>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</si>
  <si>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</si>
  <si>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</si>
  <si>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</si>
  <si>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</si>
  <si>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</si>
  <si>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</si>
  <si>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</si>
  <si>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</si>
  <si>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</si>
  <si>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</si>
  <si>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</si>
  <si>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</si>
  <si>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</si>
  <si>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</si>
  <si>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</si>
  <si>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</si>
  <si>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</si>
  <si>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</si>
  <si>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</si>
  <si>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</si>
  <si>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</si>
  <si>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</si>
  <si>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</si>
  <si>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</si>
  <si>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</si>
  <si>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</si>
  <si>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</si>
  <si>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</si>
  <si>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</si>
  <si>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</si>
  <si>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</si>
  <si>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</si>
  <si>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</si>
  <si>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</si>
  <si>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</si>
  <si>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</si>
  <si>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</si>
  <si>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</si>
  <si>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</si>
  <si>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</si>
  <si>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</si>
  <si>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</si>
  <si>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</si>
  <si>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</si>
  <si>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</si>
  <si>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</si>
  <si>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</si>
  <si>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</si>
  <si>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</si>
  <si>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</si>
  <si>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</si>
  <si>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</si>
  <si>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</si>
  <si>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</si>
  <si>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</si>
  <si>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</si>
  <si>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</si>
  <si>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</si>
  <si>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</si>
  <si>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</si>
  <si>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</si>
  <si>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</si>
  <si>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</si>
  <si>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</si>
  <si>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</si>
  <si>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</si>
  <si>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</si>
  <si>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</si>
  <si>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</si>
  <si>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</si>
  <si>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</si>
  <si>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</si>
  <si>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</si>
  <si>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</si>
  <si>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</si>
  <si>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</si>
  <si>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</si>
  <si>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</si>
  <si>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</si>
  <si>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</si>
  <si>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</si>
  <si>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</si>
  <si>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</si>
  <si>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</si>
  <si>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</si>
  <si>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</si>
  <si>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</si>
  <si>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</si>
  <si>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</si>
  <si>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</si>
  <si>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</si>
  <si>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</si>
  <si>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</si>
  <si>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</si>
  <si>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</si>
  <si>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</si>
  <si>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</si>
  <si>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</si>
  <si>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</si>
  <si>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</si>
  <si>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</si>
  <si>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</si>
  <si>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</si>
  <si>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</si>
  <si>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</si>
  <si>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</si>
  <si>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</si>
  <si>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</si>
  <si>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</si>
  <si>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</si>
  <si>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</si>
  <si>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</si>
  <si>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</si>
  <si>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</si>
  <si>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</si>
  <si>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</si>
  <si>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</si>
  <si>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</si>
  <si>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</si>
  <si>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</si>
  <si>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</si>
  <si>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</si>
  <si>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</si>
  <si>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</si>
  <si>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</si>
  <si>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</si>
  <si>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</si>
  <si>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</si>
  <si>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</si>
  <si>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</si>
  <si>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</si>
  <si>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</si>
  <si>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</si>
  <si>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</si>
  <si>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</si>
  <si>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</si>
  <si>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</si>
  <si>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</si>
  <si>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</si>
  <si>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</si>
  <si>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</si>
  <si>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</si>
  <si>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</si>
  <si>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</si>
  <si>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</si>
  <si>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</si>
  <si>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</si>
  <si>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</si>
  <si>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</si>
  <si>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</si>
  <si>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</si>
  <si>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</si>
  <si>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</si>
  <si>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</si>
  <si>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</si>
  <si>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</si>
  <si>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</si>
  <si>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</si>
  <si>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</si>
  <si>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</si>
  <si>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</si>
  <si>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</si>
  <si>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</si>
  <si>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</si>
  <si>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</si>
  <si>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</si>
  <si>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</si>
  <si>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</si>
  <si>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</si>
  <si>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</si>
  <si>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</si>
  <si>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</si>
  <si>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</si>
  <si>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</si>
  <si>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</si>
  <si>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</si>
  <si>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</si>
  <si>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</si>
  <si>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</si>
  <si>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</si>
  <si>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</si>
  <si>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</si>
  <si>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</si>
  <si>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</si>
  <si>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</si>
  <si>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</si>
  <si>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</si>
  <si>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</si>
  <si>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</si>
  <si>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</si>
  <si>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</si>
  <si>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</si>
  <si>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</si>
  <si>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</si>
  <si>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</si>
  <si>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</si>
  <si>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</si>
  <si>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</si>
  <si>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</si>
  <si>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</si>
  <si>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</si>
  <si>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</si>
  <si>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</si>
  <si>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</si>
  <si>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</si>
  <si>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</si>
  <si>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</si>
  <si>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</si>
  <si>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</si>
  <si>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</si>
  <si>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</si>
  <si>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</si>
  <si>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</si>
  <si>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</si>
  <si>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</si>
  <si>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</si>
  <si>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</si>
  <si>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</si>
  <si>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</si>
  <si>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</si>
  <si>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</si>
  <si>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</si>
  <si>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</si>
  <si>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</si>
  <si>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</si>
  <si>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</si>
  <si>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</si>
  <si>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</si>
  <si>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</si>
  <si>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</si>
  <si>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</si>
  <si>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</si>
  <si>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</si>
  <si>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</si>
  <si>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</si>
  <si>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</si>
  <si>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</si>
  <si>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</si>
  <si>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</si>
  <si>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</si>
  <si>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</si>
  <si>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</si>
  <si>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</si>
  <si>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</si>
  <si>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</si>
  <si>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</si>
  <si>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</si>
  <si>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</si>
  <si>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</si>
  <si>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</si>
  <si>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</si>
  <si>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</si>
  <si>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</si>
  <si>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</si>
  <si>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</si>
  <si>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</si>
  <si>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</si>
  <si>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</si>
  <si>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</si>
  <si>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</si>
  <si>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</si>
  <si>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</si>
  <si>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</si>
  <si>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</si>
  <si>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</si>
  <si>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</si>
  <si>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</si>
  <si>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</si>
  <si>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</si>
  <si>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</si>
  <si>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</si>
  <si>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</si>
  <si>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</si>
  <si>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</si>
  <si>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</si>
  <si>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</si>
  <si>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</si>
  <si>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</si>
  <si>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</si>
  <si>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</si>
  <si>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</si>
  <si>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</si>
  <si>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</si>
  <si>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</si>
  <si>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</si>
  <si>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</si>
  <si>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</si>
  <si>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</si>
  <si>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</si>
  <si>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</si>
  <si>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</si>
  <si>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</si>
  <si>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</si>
  <si>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</si>
  <si>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</si>
  <si>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</si>
  <si>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</si>
  <si>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</si>
  <si>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</si>
  <si>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</si>
  <si>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</si>
  <si>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</si>
  <si>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</si>
  <si>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</si>
  <si>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</si>
  <si>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</si>
  <si>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</si>
  <si>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</si>
  <si>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</si>
  <si>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</si>
  <si>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</si>
  <si>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</si>
  <si>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</si>
  <si>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</si>
  <si>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</si>
  <si>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</si>
  <si>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</si>
  <si>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</si>
  <si>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</si>
  <si>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</si>
  <si>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</si>
  <si>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</si>
  <si>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</si>
  <si>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</si>
  <si>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</si>
  <si>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</si>
  <si>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</si>
  <si>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</si>
  <si>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</si>
  <si>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</si>
  <si>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</si>
  <si>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</si>
  <si>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</si>
  <si>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</si>
  <si>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</si>
  <si>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</si>
  <si>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</si>
  <si>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</si>
  <si>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</si>
  <si>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</si>
  <si>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</si>
  <si>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</si>
  <si>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</si>
  <si>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</si>
  <si>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</si>
  <si>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</si>
  <si>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</si>
  <si>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</si>
  <si>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</si>
  <si>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</si>
  <si>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</si>
  <si>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</si>
  <si>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</si>
  <si>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</si>
  <si>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</si>
  <si>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</si>
  <si>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</si>
  <si>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</si>
  <si>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</si>
  <si>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</si>
  <si>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</si>
  <si>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</si>
  <si>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</si>
  <si>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</si>
  <si>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</si>
  <si>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</si>
  <si>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</si>
  <si>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</si>
  <si>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</si>
  <si>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</si>
  <si>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</si>
  <si>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</si>
  <si>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</si>
  <si>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</si>
  <si>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</si>
  <si>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</si>
  <si>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</si>
  <si>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</si>
  <si>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</si>
  <si>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</si>
  <si>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</si>
  <si>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</si>
  <si>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</si>
  <si>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</si>
  <si>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</si>
  <si>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</si>
  <si>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</si>
  <si>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</si>
  <si>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</si>
  <si>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</si>
  <si>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</si>
  <si>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</si>
  <si>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</si>
  <si>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</si>
  <si>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</si>
  <si>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</si>
  <si>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</si>
  <si>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</si>
  <si>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</si>
  <si>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</si>
  <si>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</si>
  <si>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</si>
  <si>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</si>
  <si>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</si>
  <si>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</si>
  <si>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</si>
  <si>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</si>
  <si>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</si>
  <si>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</si>
  <si>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</si>
  <si>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</si>
  <si>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</si>
  <si>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</si>
  <si>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</si>
  <si>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</si>
  <si>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</si>
  <si>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</si>
  <si>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</si>
  <si>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</si>
  <si>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</si>
  <si>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</si>
  <si>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</si>
  <si>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</si>
  <si>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</si>
  <si>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</si>
  <si>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</si>
  <si>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</si>
  <si>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</si>
  <si>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</si>
  <si>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</si>
  <si>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</si>
  <si>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</si>
  <si>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</si>
  <si>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</si>
  <si>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</si>
  <si>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</si>
  <si>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</si>
  <si>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</si>
  <si>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</si>
  <si>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</si>
  <si>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</si>
  <si>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</si>
  <si>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</si>
  <si>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</si>
  <si>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</si>
  <si>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</si>
  <si>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</si>
  <si>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</si>
  <si>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</si>
  <si>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</si>
  <si>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</si>
  <si>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</si>
  <si>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</si>
  <si>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</si>
  <si>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</si>
  <si>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</si>
  <si>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</si>
  <si>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</si>
  <si>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</si>
  <si>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</si>
  <si>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</si>
  <si>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</si>
  <si>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</si>
  <si>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</si>
  <si>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</si>
  <si>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</si>
  <si>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</si>
  <si>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</si>
  <si>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</si>
  <si>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</si>
  <si>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</si>
  <si>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</si>
  <si>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</si>
  <si>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</si>
  <si>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</si>
  <si>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</si>
  <si>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</si>
  <si>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</si>
  <si>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</si>
  <si>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</si>
  <si>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</si>
  <si>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</si>
  <si>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</si>
  <si>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</si>
  <si>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</si>
  <si>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</si>
  <si>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</si>
  <si>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</si>
  <si>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</si>
  <si>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</si>
  <si>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</si>
  <si>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</si>
  <si>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</si>
  <si>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</si>
  <si>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</si>
  <si>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</si>
  <si>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</si>
  <si>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</si>
  <si>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</si>
  <si>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</si>
  <si>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</si>
  <si>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</si>
  <si>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</si>
  <si>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</si>
  <si>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</si>
  <si>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</si>
  <si>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</si>
  <si>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</si>
  <si>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</si>
  <si>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</si>
  <si>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</si>
  <si>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</si>
  <si>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</si>
  <si>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</si>
  <si>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</si>
  <si>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</si>
  <si>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</si>
  <si>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</si>
  <si>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</si>
  <si>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</si>
  <si>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</si>
  <si>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</si>
  <si>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</si>
  <si>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</si>
  <si>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</si>
  <si>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</si>
  <si>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</si>
  <si>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</si>
  <si>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</si>
  <si>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</si>
  <si>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</si>
  <si>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</si>
  <si>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</si>
  <si>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</si>
  <si>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</si>
  <si>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</si>
  <si>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</si>
  <si>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</si>
  <si>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</si>
  <si>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</si>
  <si>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</si>
  <si>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</si>
  <si>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</si>
  <si>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</si>
  <si>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</si>
  <si>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</si>
  <si>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</si>
  <si>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</si>
  <si>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</si>
  <si>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</si>
  <si>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</si>
  <si>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</si>
  <si>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</si>
  <si>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</si>
  <si>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</si>
  <si>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</si>
  <si>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</si>
  <si>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</si>
  <si>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</si>
  <si>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</si>
  <si>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</si>
  <si>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</si>
  <si>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</si>
  <si>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</si>
  <si>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</si>
  <si>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</si>
  <si>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</si>
  <si>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</si>
  <si>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</si>
  <si>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</si>
  <si>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</si>
  <si>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</si>
  <si>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</si>
  <si>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</si>
  <si>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</si>
  <si>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</si>
  <si>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</si>
  <si>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</si>
  <si>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</si>
  <si>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</si>
  <si>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</si>
  <si>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</si>
  <si>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</si>
  <si>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</si>
  <si>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</si>
  <si>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</si>
  <si>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</si>
  <si>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</si>
  <si>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</si>
  <si>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</si>
  <si>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</si>
  <si>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</si>
  <si>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</si>
  <si>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</si>
  <si>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</si>
  <si>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</si>
  <si>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</si>
  <si>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</si>
  <si>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</si>
  <si>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</si>
  <si>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</si>
  <si>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</si>
  <si>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</si>
  <si>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</si>
  <si>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</si>
  <si>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</si>
  <si>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</si>
  <si>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</si>
  <si>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</si>
  <si>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</si>
  <si>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</si>
  <si>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</si>
  <si>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</si>
  <si>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</si>
  <si>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</si>
  <si>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</si>
  <si>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</si>
  <si>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</si>
  <si>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</si>
  <si>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</si>
  <si>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</si>
  <si>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</si>
  <si>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</si>
  <si>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</si>
  <si>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</si>
  <si>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</si>
  <si>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</si>
  <si>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</si>
  <si>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</si>
  <si>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</si>
  <si>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</si>
  <si>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</si>
  <si>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</si>
  <si>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</si>
  <si>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</si>
  <si>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</si>
  <si>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</si>
  <si>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</si>
  <si>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</si>
  <si>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</si>
  <si>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</si>
  <si>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</si>
  <si>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</si>
  <si>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</si>
  <si>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</si>
  <si>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</si>
  <si>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</si>
  <si>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</si>
  <si>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</si>
  <si>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</si>
  <si>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</si>
  <si>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</si>
  <si>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</si>
  <si>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</si>
  <si>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</si>
  <si>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</si>
  <si>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</si>
  <si>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</si>
  <si>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</si>
  <si>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</si>
  <si>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</si>
  <si>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</si>
  <si>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</si>
  <si>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</si>
  <si>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</si>
  <si>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</si>
  <si>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</si>
  <si>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</si>
  <si>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</si>
  <si>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</si>
  <si>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</si>
  <si>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</si>
  <si>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</si>
  <si>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</si>
  <si>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</si>
  <si>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</si>
  <si>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</si>
  <si>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</si>
  <si>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</si>
  <si>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</si>
  <si>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</si>
  <si>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</si>
  <si>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</si>
  <si>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</si>
  <si>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</si>
  <si>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</si>
  <si>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</si>
  <si>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</si>
  <si>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</si>
  <si>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</si>
  <si>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</si>
  <si>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</si>
  <si>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</si>
  <si>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</si>
  <si>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</si>
  <si>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</si>
  <si>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</si>
  <si>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</si>
  <si>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</si>
  <si>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</si>
  <si>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</si>
  <si>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</si>
  <si>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</si>
  <si>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</si>
  <si>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</si>
  <si>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</si>
  <si>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</si>
  <si>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</si>
  <si>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房产证号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</si>
  <si>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</si>
  <si>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</si>
  <si>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</si>
  <si>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</si>
  <si>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</si>
  <si>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面积</t>
    <phoneticPr fontId="134" type="noConversion"/>
  </si>
  <si>
    <t>结构</t>
    <phoneticPr fontId="134" type="noConversion"/>
  </si>
  <si>
    <t>总层数</t>
    <phoneticPr fontId="134" type="noConversion"/>
  </si>
  <si>
    <t>所在层</t>
    <phoneticPr fontId="134" type="noConversion"/>
  </si>
  <si>
    <t>竣工时间</t>
    <phoneticPr fontId="134" type="noConversion"/>
  </si>
  <si>
    <t>部位及房号</t>
    <phoneticPr fontId="134" type="noConversion"/>
  </si>
  <si>
    <r>
      <t>京（2</t>
    </r>
    <r>
      <rPr>
        <sz val="11"/>
        <color theme="1"/>
        <rFont val="宋体"/>
        <family val="3"/>
        <charset val="134"/>
        <scheme val="minor"/>
      </rPr>
      <t>024）朝不动产权第0029321号</t>
    </r>
    <phoneticPr fontId="134" type="noConversion"/>
  </si>
  <si>
    <t>宝德轩（北京）艺术品鉴定评估有限公司</t>
    <phoneticPr fontId="134" type="noConversion"/>
  </si>
  <si>
    <t>单独所有</t>
    <phoneticPr fontId="134" type="noConversion"/>
  </si>
  <si>
    <t>朝阳区天畅园6号楼2层6-202</t>
    <phoneticPr fontId="134" type="noConversion"/>
  </si>
  <si>
    <t>国有建设用地使用权/房屋所有权</t>
    <phoneticPr fontId="134" type="noConversion"/>
  </si>
  <si>
    <t>出让/商品房</t>
    <phoneticPr fontId="134" type="noConversion"/>
  </si>
  <si>
    <t>商业配套</t>
    <phoneticPr fontId="134" type="noConversion"/>
  </si>
  <si>
    <t>钢混</t>
    <phoneticPr fontId="134" type="noConversion"/>
  </si>
  <si>
    <r>
      <t>3</t>
    </r>
    <r>
      <rPr>
        <sz val="11"/>
        <color theme="1"/>
        <rFont val="宋体"/>
        <family val="3"/>
        <charset val="134"/>
        <scheme val="minor"/>
      </rPr>
      <t>2（-03）</t>
    </r>
    <phoneticPr fontId="134" type="noConversion"/>
  </si>
  <si>
    <r>
      <t>6</t>
    </r>
    <r>
      <rPr>
        <sz val="11"/>
        <color theme="1"/>
        <rFont val="宋体"/>
        <family val="3"/>
        <charset val="134"/>
        <scheme val="minor"/>
      </rPr>
      <t>-202</t>
    </r>
    <phoneticPr fontId="134" type="noConversion"/>
  </si>
  <si>
    <t>京（2024）朝不动产权第0054234号</t>
    <phoneticPr fontId="134" type="noConversion"/>
  </si>
  <si>
    <t>朝阳区天畅园6号楼2层6-203</t>
    <phoneticPr fontId="134" type="noConversion"/>
  </si>
  <si>
    <r>
      <t>6</t>
    </r>
    <r>
      <rPr>
        <sz val="11"/>
        <color theme="1"/>
        <rFont val="宋体"/>
        <family val="3"/>
        <charset val="134"/>
        <scheme val="minor"/>
      </rPr>
      <t>-203</t>
    </r>
    <phoneticPr fontId="134" type="noConversion"/>
  </si>
  <si>
    <t>朝阳区天畅园6号楼2层6-205</t>
    <phoneticPr fontId="134" type="noConversion"/>
  </si>
  <si>
    <t>京（2024）朝不动产权第0029328号</t>
    <phoneticPr fontId="134" type="noConversion"/>
  </si>
  <si>
    <r>
      <t>6</t>
    </r>
    <r>
      <rPr>
        <sz val="11"/>
        <color theme="1"/>
        <rFont val="宋体"/>
        <family val="3"/>
        <charset val="134"/>
        <scheme val="minor"/>
      </rPr>
      <t>-205</t>
    </r>
    <phoneticPr fontId="134" type="noConversion"/>
  </si>
  <si>
    <t>京（2024）朝不动产权第0029325号</t>
    <phoneticPr fontId="134" type="noConversion"/>
  </si>
  <si>
    <t>朝阳区天畅园6号楼2层6-206</t>
  </si>
  <si>
    <t>6-206</t>
    <phoneticPr fontId="134" type="noConversion"/>
  </si>
  <si>
    <t>朝阳区天畅园6号楼2层6-207</t>
  </si>
  <si>
    <t>京（2024）朝不动产权第0029883号</t>
    <phoneticPr fontId="134" type="noConversion"/>
  </si>
  <si>
    <t>6-207</t>
    <phoneticPr fontId="134" type="noConversion"/>
  </si>
  <si>
    <t>朝阳区天畅园6号楼2层6-208</t>
  </si>
  <si>
    <t>6-208</t>
    <phoneticPr fontId="134" type="noConversion"/>
  </si>
  <si>
    <t>京（2024）朝不动产权第0029887号</t>
    <phoneticPr fontId="134" type="noConversion"/>
  </si>
  <si>
    <t>土地使用期限</t>
    <phoneticPr fontId="134" type="noConversion"/>
  </si>
  <si>
    <t>宝德轩（北京）国际拍卖有限公司</t>
    <phoneticPr fontId="134" type="noConversion"/>
  </si>
  <si>
    <t>京（2024）朝不动产权第0059620号</t>
    <phoneticPr fontId="134" type="noConversion"/>
  </si>
  <si>
    <t>北京宝德轩美术馆（个人独资）</t>
    <phoneticPr fontId="134" type="noConversion"/>
  </si>
  <si>
    <t>朝阳区天畅园6号楼2层6-209</t>
  </si>
  <si>
    <t>6-209</t>
    <phoneticPr fontId="134" type="noConversion"/>
  </si>
  <si>
    <t>京（2024）朝不动产权第0054436号</t>
    <phoneticPr fontId="134" type="noConversion"/>
  </si>
  <si>
    <t>朝阳区天畅园6号楼2层6-210</t>
  </si>
  <si>
    <t>6-210</t>
  </si>
  <si>
    <t>序号</t>
    <phoneticPr fontId="134" type="noConversion"/>
  </si>
  <si>
    <t>郑燚</t>
  </si>
  <si>
    <t>崔锴</t>
  </si>
  <si>
    <t>抵押</t>
  </si>
  <si>
    <t>房地产抵押价值</t>
  </si>
  <si>
    <t>北京市</t>
  </si>
  <si>
    <t>企业</t>
  </si>
  <si>
    <t>商业配套</t>
    <phoneticPr fontId="6" type="noConversion"/>
  </si>
  <si>
    <t>商业项目</t>
  </si>
  <si>
    <t>现房</t>
  </si>
  <si>
    <t>宝德轩（北京）艺术品鉴定评估有限公司、宝德轩（北京）国际拍卖有限公司、北京宝德轩美术馆（个人独资）</t>
    <phoneticPr fontId="6" type="noConversion"/>
  </si>
  <si>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层等</t>
    </r>
    <r>
      <rPr>
        <sz val="10"/>
        <color theme="9" tint="-0.249977111117893"/>
        <rFont val="Arial"/>
        <family val="2"/>
      </rPr>
      <t>8</t>
    </r>
    <r>
      <rPr>
        <sz val="10"/>
        <color theme="9" tint="-0.249977111117893"/>
        <rFont val="宋体"/>
        <family val="3"/>
        <charset val="134"/>
      </rPr>
      <t>套</t>
    </r>
    <phoneticPr fontId="6" type="noConversion"/>
  </si>
  <si>
    <t>是</t>
  </si>
  <si>
    <t>地上</t>
  </si>
  <si>
    <t>成新度</t>
  </si>
  <si>
    <t>建成年代</t>
    <phoneticPr fontId="3" type="noConversion"/>
  </si>
  <si>
    <t>直线</t>
    <phoneticPr fontId="3" type="noConversion"/>
  </si>
  <si>
    <t>观察</t>
    <phoneticPr fontId="3" type="noConversion"/>
  </si>
  <si>
    <t>综合</t>
    <phoneticPr fontId="3" type="noConversion"/>
  </si>
  <si>
    <t>押一</t>
  </si>
  <si>
    <t>钢混</t>
  </si>
  <si>
    <t>非生产用房</t>
  </si>
  <si>
    <t>自定义容积率</t>
  </si>
  <si>
    <t>不临65条商业街</t>
  </si>
  <si>
    <t>通路</t>
  </si>
  <si>
    <t>与级别开发程度一致</t>
  </si>
  <si>
    <t>通电</t>
  </si>
  <si>
    <t>通讯</t>
  </si>
  <si>
    <t>通上水</t>
  </si>
  <si>
    <t>通下水</t>
  </si>
  <si>
    <t>通热</t>
  </si>
  <si>
    <t>燃气</t>
  </si>
  <si>
    <t>平整</t>
  </si>
  <si>
    <t>楼层修正</t>
  </si>
  <si>
    <t>一般</t>
  </si>
  <si>
    <t>较好</t>
  </si>
  <si>
    <t>好</t>
  </si>
  <si>
    <t>6-203</t>
  </si>
  <si>
    <t>未包含在土地购买价格中</t>
  </si>
  <si>
    <t>已包含在土地取得成本中</t>
  </si>
  <si>
    <t>否</t>
  </si>
  <si>
    <t>比较法-商业</t>
  </si>
  <si>
    <t>收益法 (元)</t>
  </si>
  <si>
    <t>单套模式</t>
  </si>
  <si>
    <t>售价</t>
  </si>
  <si>
    <t>天畅园</t>
    <phoneticPr fontId="3" type="noConversion"/>
  </si>
  <si>
    <t>案例1</t>
    <phoneticPr fontId="134" type="noConversion"/>
  </si>
  <si>
    <t>楼层</t>
    <phoneticPr fontId="134" type="noConversion"/>
  </si>
  <si>
    <t>单价</t>
    <phoneticPr fontId="134" type="noConversion"/>
  </si>
  <si>
    <t>装修</t>
    <phoneticPr fontId="134" type="noConversion"/>
  </si>
  <si>
    <t>简装</t>
    <phoneticPr fontId="134" type="noConversion"/>
  </si>
  <si>
    <t>精装修</t>
  </si>
  <si>
    <t>精装修</t>
    <phoneticPr fontId="134" type="noConversion"/>
  </si>
  <si>
    <t>正常</t>
  </si>
  <si>
    <t>报价</t>
  </si>
  <si>
    <t>报价</t>
    <phoneticPr fontId="30" type="noConversion"/>
  </si>
  <si>
    <t>商业</t>
    <phoneticPr fontId="30" type="noConversion"/>
  </si>
  <si>
    <r>
      <t>40</t>
    </r>
    <r>
      <rPr>
        <sz val="11"/>
        <rFont val="宋体"/>
        <family val="3"/>
        <charset val="134"/>
      </rPr>
      <t>（含）</t>
    </r>
    <r>
      <rPr>
        <sz val="11"/>
        <rFont val="Arial"/>
        <family val="2"/>
      </rPr>
      <t>-35</t>
    </r>
  </si>
  <si>
    <r>
      <t>35</t>
    </r>
    <r>
      <rPr>
        <sz val="11"/>
        <rFont val="宋体"/>
        <family val="3"/>
        <charset val="134"/>
      </rPr>
      <t>（含）</t>
    </r>
    <r>
      <rPr>
        <sz val="11"/>
        <rFont val="Arial"/>
        <family val="2"/>
      </rPr>
      <t>-30</t>
    </r>
  </si>
  <si>
    <r>
      <t>30</t>
    </r>
    <r>
      <rPr>
        <sz val="11"/>
        <rFont val="宋体"/>
        <family val="3"/>
        <charset val="134"/>
      </rPr>
      <t>（含）</t>
    </r>
    <r>
      <rPr>
        <sz val="11"/>
        <rFont val="Arial"/>
        <family val="2"/>
      </rPr>
      <t>-25</t>
    </r>
  </si>
  <si>
    <r>
      <t>25</t>
    </r>
    <r>
      <rPr>
        <sz val="11"/>
        <rFont val="宋体"/>
        <family val="3"/>
        <charset val="134"/>
      </rPr>
      <t>（含）</t>
    </r>
    <r>
      <rPr>
        <sz val="11"/>
        <rFont val="Arial"/>
        <family val="2"/>
      </rPr>
      <t>-20</t>
    </r>
  </si>
  <si>
    <r>
      <t>20</t>
    </r>
    <r>
      <rPr>
        <sz val="11"/>
        <rFont val="宋体"/>
        <family val="3"/>
        <charset val="134"/>
      </rPr>
      <t>（含）</t>
    </r>
    <r>
      <rPr>
        <sz val="11"/>
        <rFont val="Arial"/>
        <family val="2"/>
      </rPr>
      <t>-15</t>
    </r>
  </si>
  <si>
    <r>
      <t>15</t>
    </r>
    <r>
      <rPr>
        <sz val="11"/>
        <rFont val="宋体"/>
        <family val="3"/>
        <charset val="134"/>
      </rPr>
      <t>（含）</t>
    </r>
    <r>
      <rPr>
        <sz val="11"/>
        <rFont val="Arial"/>
        <family val="2"/>
      </rPr>
      <t>-10</t>
    </r>
  </si>
  <si>
    <r>
      <t>10</t>
    </r>
    <r>
      <rPr>
        <sz val="11"/>
        <rFont val="宋体"/>
        <family val="3"/>
        <charset val="134"/>
      </rPr>
      <t>（含）</t>
    </r>
    <r>
      <rPr>
        <sz val="11"/>
        <rFont val="Arial"/>
        <family val="2"/>
      </rPr>
      <t>-5</t>
    </r>
  </si>
  <si>
    <r>
      <t>5</t>
    </r>
    <r>
      <rPr>
        <sz val="11"/>
        <rFont val="宋体"/>
        <family val="3"/>
        <charset val="134"/>
      </rPr>
      <t>（含）</t>
    </r>
    <r>
      <rPr>
        <sz val="11"/>
        <rFont val="Arial"/>
        <family val="2"/>
      </rPr>
      <t>-0</t>
    </r>
  </si>
  <si>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</si>
  <si>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</si>
  <si>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</si>
  <si>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</si>
  <si>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</si>
  <si>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</si>
  <si>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</si>
  <si>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</si>
  <si>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</si>
  <si>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</si>
  <si>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</si>
  <si>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2层</t>
  </si>
  <si>
    <t>配套商业</t>
  </si>
  <si>
    <t>配套商业</t>
    <phoneticPr fontId="30" type="noConversion"/>
  </si>
  <si>
    <t>钢混</t>
    <phoneticPr fontId="30"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</si>
  <si>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</si>
  <si>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</si>
  <si>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</si>
  <si>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</si>
  <si>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</si>
  <si>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</si>
  <si>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</si>
  <si>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</si>
  <si>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</si>
  <si>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</si>
  <si>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七通</t>
  </si>
  <si>
    <t>不临街</t>
  </si>
  <si>
    <t>不临街</t>
    <phoneticPr fontId="30" type="noConversion"/>
  </si>
  <si>
    <t>一般</t>
    <phoneticPr fontId="30" type="noConversion"/>
  </si>
  <si>
    <t>较少</t>
  </si>
  <si>
    <t>简单装修</t>
  </si>
  <si>
    <t>普通装修</t>
  </si>
  <si>
    <t>六通</t>
  </si>
  <si>
    <t>不可餐饮</t>
  </si>
  <si>
    <t>标准层高</t>
  </si>
  <si>
    <r>
      <rPr>
        <sz val="11"/>
        <color indexed="8"/>
        <rFont val="宋体"/>
        <family val="3"/>
        <charset val="134"/>
      </rPr>
      <t>案例</t>
    </r>
    <r>
      <rPr>
        <sz val="11"/>
        <color indexed="8"/>
        <rFont val="Arial"/>
        <family val="2"/>
      </rPr>
      <t>1</t>
    </r>
    <phoneticPr fontId="30" type="noConversion"/>
  </si>
  <si>
    <r>
      <rPr>
        <sz val="11"/>
        <color indexed="53"/>
        <rFont val="宋体"/>
        <family val="3"/>
        <charset val="134"/>
      </rPr>
      <t>案例</t>
    </r>
    <r>
      <rPr>
        <sz val="11"/>
        <color indexed="53"/>
        <rFont val="Arial"/>
        <family val="2"/>
      </rPr>
      <t>2</t>
    </r>
    <phoneticPr fontId="30" type="noConversion"/>
  </si>
  <si>
    <r>
      <rPr>
        <sz val="11"/>
        <color indexed="53"/>
        <rFont val="宋体"/>
        <family val="3"/>
        <charset val="134"/>
      </rPr>
      <t>案例</t>
    </r>
    <r>
      <rPr>
        <sz val="11"/>
        <color indexed="53"/>
        <rFont val="Arial"/>
        <family val="2"/>
      </rPr>
      <t>3</t>
    </r>
    <phoneticPr fontId="30" type="noConversion"/>
  </si>
  <si>
    <r>
      <t>1</t>
    </r>
    <r>
      <rPr>
        <sz val="11"/>
        <rFont val="宋体"/>
        <family val="3"/>
        <charset val="134"/>
      </rPr>
      <t>层价格</t>
    </r>
    <phoneticPr fontId="30" type="noConversion"/>
  </si>
  <si>
    <r>
      <rPr>
        <sz val="11"/>
        <rFont val="宋体"/>
        <family val="3"/>
        <charset val="134"/>
      </rPr>
      <t>修正为</t>
    </r>
    <r>
      <rPr>
        <sz val="11"/>
        <rFont val="Arial"/>
        <family val="2"/>
      </rPr>
      <t>2</t>
    </r>
    <r>
      <rPr>
        <sz val="11"/>
        <rFont val="宋体"/>
        <family val="3"/>
        <charset val="134"/>
      </rPr>
      <t>层价格</t>
    </r>
    <phoneticPr fontId="30" type="noConversion"/>
  </si>
  <si>
    <t>装修状况</t>
    <phoneticPr fontId="3" type="noConversion"/>
  </si>
  <si>
    <t>精装修</t>
    <phoneticPr fontId="24" type="noConversion"/>
  </si>
  <si>
    <t>普通装修</t>
    <phoneticPr fontId="24" type="noConversion"/>
  </si>
  <si>
    <t>简单装修</t>
    <phoneticPr fontId="24" type="noConversion"/>
  </si>
  <si>
    <t>毛坯</t>
    <phoneticPr fontId="24" type="noConversion"/>
  </si>
  <si>
    <t>楼面单价</t>
  </si>
  <si>
    <t>自定义</t>
  </si>
  <si>
    <r>
      <t>天畅园1层不临街报价</t>
    </r>
    <r>
      <rPr>
        <sz val="11"/>
        <color theme="1"/>
        <rFont val="宋体"/>
        <family val="3"/>
        <charset val="134"/>
        <scheme val="minor"/>
      </rPr>
      <t>3-6万之间都有，临外街星巴克那边的一层成交10万左右</t>
    </r>
    <phoneticPr fontId="134" type="noConversion"/>
  </si>
  <si>
    <r>
      <t>2层链家报价</t>
    </r>
    <r>
      <rPr>
        <sz val="11"/>
        <color theme="1"/>
        <rFont val="宋体"/>
        <family val="3"/>
        <charset val="134"/>
        <scheme val="minor"/>
      </rPr>
      <t>2万左右，放天下报价2万5左右</t>
    </r>
    <phoneticPr fontId="134" type="noConversion"/>
  </si>
  <si>
    <t>2层一般作为办公使用</t>
    <phoneticPr fontId="134" type="noConversion"/>
  </si>
  <si>
    <t>房天下</t>
    <phoneticPr fontId="134" type="noConversion"/>
  </si>
  <si>
    <t>链家</t>
    <phoneticPr fontId="134" type="noConversion"/>
  </si>
  <si>
    <r>
      <t>根据不动产权利人介绍，2</t>
    </r>
    <r>
      <rPr>
        <sz val="11"/>
        <color theme="1"/>
        <rFont val="宋体"/>
        <family val="3"/>
        <charset val="134"/>
        <scheme val="minor"/>
      </rPr>
      <t>02-208共计6套房屋年总租金为165万元</t>
    </r>
    <phoneticPr fontId="134" type="noConversion"/>
  </si>
  <si>
    <t>日租金</t>
    <phoneticPr fontId="134" type="noConversion"/>
  </si>
  <si>
    <t>年租金</t>
    <phoneticPr fontId="134" type="noConversion"/>
  </si>
  <si>
    <r>
      <t>2</t>
    </r>
    <r>
      <rPr>
        <sz val="11"/>
        <color theme="1"/>
        <rFont val="宋体"/>
        <family val="3"/>
        <charset val="134"/>
        <scheme val="minor"/>
      </rPr>
      <t>02-208总面积</t>
    </r>
    <phoneticPr fontId="134" type="noConversion"/>
  </si>
  <si>
    <t>租赁合同</t>
    <phoneticPr fontId="134" type="noConversion"/>
  </si>
  <si>
    <t>用途</t>
    <phoneticPr fontId="134" type="noConversion"/>
  </si>
  <si>
    <t>办公</t>
    <phoneticPr fontId="134" type="noConversion"/>
  </si>
  <si>
    <t>租赁期限</t>
    <phoneticPr fontId="134" type="noConversion"/>
  </si>
  <si>
    <t>2023.10.1-2026.9.30</t>
    <phoneticPr fontId="134" type="noConversion"/>
  </si>
  <si>
    <t>租赁面积</t>
    <phoneticPr fontId="134" type="noConversion"/>
  </si>
  <si>
    <t>第一租赁年度</t>
    <phoneticPr fontId="134" type="noConversion"/>
  </si>
  <si>
    <t>月租金</t>
    <phoneticPr fontId="134" type="noConversion"/>
  </si>
  <si>
    <t>日租</t>
    <phoneticPr fontId="134" type="noConversion"/>
  </si>
  <si>
    <t>增长率</t>
    <phoneticPr fontId="134" type="noConversion"/>
  </si>
  <si>
    <t>第二租赁年度</t>
    <phoneticPr fontId="134" type="noConversion"/>
  </si>
  <si>
    <t>第三租赁年度</t>
    <phoneticPr fontId="134" type="noConversion"/>
  </si>
  <si>
    <r>
      <t>1</t>
    </r>
    <r>
      <rPr>
        <sz val="11"/>
        <rFont val="宋体"/>
        <family val="3"/>
        <charset val="134"/>
      </rPr>
      <t>层</t>
    </r>
    <phoneticPr fontId="30" type="noConversion"/>
  </si>
  <si>
    <r>
      <t>2</t>
    </r>
    <r>
      <rPr>
        <sz val="11"/>
        <color indexed="8"/>
        <rFont val="宋体"/>
        <family val="3"/>
        <charset val="134"/>
      </rPr>
      <t>层</t>
    </r>
    <phoneticPr fontId="30" type="noConversion"/>
  </si>
  <si>
    <t>租金4-7元不等，租给按摩理疗、美容较多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</si>
</sst>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indexed="8"/>
      <name val="Arial"/>
      <family val="3"/>
      <charset val="134"/>
    </font>
    <font>
      <sz val="11"/>
      <color indexed="5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81" fontId="271" fillId="12" borderId="0" xfId="0" applyNumberFormat="1" applyFont="1" applyFill="1" applyAlignment="1" applyProtection="1">
      <alignment horizontal="center" vertical="center" wrapText="1"/>
      <protection locked="0"/>
    </xf>
    <xf numFmtId="181" fontId="272" fillId="12" borderId="0" xfId="0" applyNumberFormat="1" applyFont="1" applyFill="1" applyAlignment="1" applyProtection="1">
      <alignment horizontal="center" vertical="center" wrapText="1"/>
      <protection locked="0"/>
    </xf>
    <xf numFmtId="0" fontId="273"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9"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258399</xdr:colOff>
      <xdr:row>59</xdr:row>
      <xdr:rowOff>37409</xdr:rowOff>
    </xdr:to>
    <xdr:pic>
      <xdr:nvPicPr>
        <xdr:cNvPr id="2" name="图片 1">
          <a:extLst>
            <a:ext uri="{FF2B5EF4-FFF2-40B4-BE49-F238E27FC236}">
              <a16:creationId xmlns:a16="http://schemas.microsoft.com/office/drawing/2014/main" id="{32AA77B1-0C1C-6D51-AD08-13ED4005CFF8}"/>
            </a:ext>
          </a:extLst>
        </xdr:cNvPr>
        <xdr:cNvPicPr>
          <a:picLocks noChangeAspect="1"/>
        </xdr:cNvPicPr>
      </xdr:nvPicPr>
      <xdr:blipFill>
        <a:blip xmlns:r="http://schemas.openxmlformats.org/officeDocument/2006/relationships" r:embed="rId1"/>
        <a:stretch>
          <a:fillRect/>
        </a:stretch>
      </xdr:blipFill>
      <xdr:spPr>
        <a:xfrm>
          <a:off x="0" y="8412480"/>
          <a:ext cx="5447619" cy="55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599162</xdr:colOff>
      <xdr:row>41</xdr:row>
      <xdr:rowOff>140015</xdr:rowOff>
    </xdr:to>
    <xdr:pic>
      <xdr:nvPicPr>
        <xdr:cNvPr id="2" name="图片 1">
          <a:extLst>
            <a:ext uri="{FF2B5EF4-FFF2-40B4-BE49-F238E27FC236}">
              <a16:creationId xmlns:a16="http://schemas.microsoft.com/office/drawing/2014/main" id="{564E4077-FDD1-E4CB-C0DC-C4DC6B455024}"/>
            </a:ext>
          </a:extLst>
        </xdr:cNvPr>
        <xdr:cNvPicPr>
          <a:picLocks noChangeAspect="1"/>
        </xdr:cNvPicPr>
      </xdr:nvPicPr>
      <xdr:blipFill>
        <a:blip xmlns:r="http://schemas.openxmlformats.org/officeDocument/2006/relationships" r:embed="rId1"/>
        <a:stretch>
          <a:fillRect/>
        </a:stretch>
      </xdr:blipFill>
      <xdr:spPr>
        <a:xfrm>
          <a:off x="0" y="0"/>
          <a:ext cx="7304762" cy="7638095"/>
        </a:xfrm>
        <a:prstGeom prst="rect">
          <a:avLst/>
        </a:prstGeom>
      </xdr:spPr>
    </xdr:pic>
    <xdr:clientData/>
  </xdr:twoCellAnchor>
  <xdr:twoCellAnchor editAs="oneCell">
    <xdr:from>
      <xdr:col>0</xdr:col>
      <xdr:colOff>0</xdr:colOff>
      <xdr:row>42</xdr:row>
      <xdr:rowOff>0</xdr:rowOff>
    </xdr:from>
    <xdr:to>
      <xdr:col>12</xdr:col>
      <xdr:colOff>170514</xdr:colOff>
      <xdr:row>49</xdr:row>
      <xdr:rowOff>167459</xdr:rowOff>
    </xdr:to>
    <xdr:pic>
      <xdr:nvPicPr>
        <xdr:cNvPr id="3" name="图片 2">
          <a:extLst>
            <a:ext uri="{FF2B5EF4-FFF2-40B4-BE49-F238E27FC236}">
              <a16:creationId xmlns:a16="http://schemas.microsoft.com/office/drawing/2014/main" id="{A1C14AEE-99E9-71E0-E8C9-F7A970316E9B}"/>
            </a:ext>
          </a:extLst>
        </xdr:cNvPr>
        <xdr:cNvPicPr>
          <a:picLocks noChangeAspect="1"/>
        </xdr:cNvPicPr>
      </xdr:nvPicPr>
      <xdr:blipFill>
        <a:blip xmlns:r="http://schemas.openxmlformats.org/officeDocument/2006/relationships" r:embed="rId2"/>
        <a:stretch>
          <a:fillRect/>
        </a:stretch>
      </xdr:blipFill>
      <xdr:spPr>
        <a:xfrm>
          <a:off x="0" y="7680960"/>
          <a:ext cx="7485714" cy="1447619"/>
        </a:xfrm>
        <a:prstGeom prst="rect">
          <a:avLst/>
        </a:prstGeom>
      </xdr:spPr>
    </xdr:pic>
    <xdr:clientData/>
  </xdr:twoCellAnchor>
  <xdr:twoCellAnchor editAs="oneCell">
    <xdr:from>
      <xdr:col>0</xdr:col>
      <xdr:colOff>129540</xdr:colOff>
      <xdr:row>50</xdr:row>
      <xdr:rowOff>129540</xdr:rowOff>
    </xdr:from>
    <xdr:to>
      <xdr:col>12</xdr:col>
      <xdr:colOff>309211</xdr:colOff>
      <xdr:row>87</xdr:row>
      <xdr:rowOff>79055</xdr:rowOff>
    </xdr:to>
    <xdr:pic>
      <xdr:nvPicPr>
        <xdr:cNvPr id="4" name="图片 3">
          <a:extLst>
            <a:ext uri="{FF2B5EF4-FFF2-40B4-BE49-F238E27FC236}">
              <a16:creationId xmlns:a16="http://schemas.microsoft.com/office/drawing/2014/main" id="{36480209-25DA-DF73-72FE-16DFE945E56C}"/>
            </a:ext>
          </a:extLst>
        </xdr:cNvPr>
        <xdr:cNvPicPr>
          <a:picLocks noChangeAspect="1"/>
        </xdr:cNvPicPr>
      </xdr:nvPicPr>
      <xdr:blipFill>
        <a:blip xmlns:r="http://schemas.openxmlformats.org/officeDocument/2006/relationships" r:embed="rId3"/>
        <a:stretch>
          <a:fillRect/>
        </a:stretch>
      </xdr:blipFill>
      <xdr:spPr>
        <a:xfrm>
          <a:off x="129540" y="9273540"/>
          <a:ext cx="7494871" cy="6716075"/>
        </a:xfrm>
        <a:prstGeom prst="rect">
          <a:avLst/>
        </a:prstGeom>
      </xdr:spPr>
    </xdr:pic>
    <xdr:clientData/>
  </xdr:twoCellAnchor>
  <xdr:twoCellAnchor editAs="oneCell">
    <xdr:from>
      <xdr:col>12</xdr:col>
      <xdr:colOff>404833</xdr:colOff>
      <xdr:row>25</xdr:row>
      <xdr:rowOff>60960</xdr:rowOff>
    </xdr:from>
    <xdr:to>
      <xdr:col>24</xdr:col>
      <xdr:colOff>600688</xdr:colOff>
      <xdr:row>49</xdr:row>
      <xdr:rowOff>168772</xdr:rowOff>
    </xdr:to>
    <xdr:pic>
      <xdr:nvPicPr>
        <xdr:cNvPr id="5" name="图片 4">
          <a:extLst>
            <a:ext uri="{FF2B5EF4-FFF2-40B4-BE49-F238E27FC236}">
              <a16:creationId xmlns:a16="http://schemas.microsoft.com/office/drawing/2014/main" id="{657F5859-D75C-E35E-E0FF-F2B456BBC7CB}"/>
            </a:ext>
          </a:extLst>
        </xdr:cNvPr>
        <xdr:cNvPicPr>
          <a:picLocks noChangeAspect="1"/>
        </xdr:cNvPicPr>
      </xdr:nvPicPr>
      <xdr:blipFill>
        <a:blip xmlns:r="http://schemas.openxmlformats.org/officeDocument/2006/relationships" r:embed="rId4"/>
        <a:stretch>
          <a:fillRect/>
        </a:stretch>
      </xdr:blipFill>
      <xdr:spPr>
        <a:xfrm>
          <a:off x="7720033" y="4632960"/>
          <a:ext cx="7511055" cy="4496932"/>
        </a:xfrm>
        <a:prstGeom prst="rect">
          <a:avLst/>
        </a:prstGeom>
      </xdr:spPr>
    </xdr:pic>
    <xdr:clientData/>
  </xdr:twoCellAnchor>
  <xdr:twoCellAnchor editAs="oneCell">
    <xdr:from>
      <xdr:col>13</xdr:col>
      <xdr:colOff>0</xdr:colOff>
      <xdr:row>52</xdr:row>
      <xdr:rowOff>0</xdr:rowOff>
    </xdr:from>
    <xdr:to>
      <xdr:col>29</xdr:col>
      <xdr:colOff>427352</xdr:colOff>
      <xdr:row>78</xdr:row>
      <xdr:rowOff>26072</xdr:rowOff>
    </xdr:to>
    <xdr:pic>
      <xdr:nvPicPr>
        <xdr:cNvPr id="6" name="图片 5">
          <a:extLst>
            <a:ext uri="{FF2B5EF4-FFF2-40B4-BE49-F238E27FC236}">
              <a16:creationId xmlns:a16="http://schemas.microsoft.com/office/drawing/2014/main" id="{0C6D6593-9A01-07FA-1854-F589D761F974}"/>
            </a:ext>
          </a:extLst>
        </xdr:cNvPr>
        <xdr:cNvPicPr>
          <a:picLocks noChangeAspect="1"/>
        </xdr:cNvPicPr>
      </xdr:nvPicPr>
      <xdr:blipFill>
        <a:blip xmlns:r="http://schemas.openxmlformats.org/officeDocument/2006/relationships" r:embed="rId5"/>
        <a:stretch>
          <a:fillRect/>
        </a:stretch>
      </xdr:blipFill>
      <xdr:spPr>
        <a:xfrm>
          <a:off x="7924800" y="9509760"/>
          <a:ext cx="10180952" cy="4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北京市朝阳区天畅园6号楼2层等8套房地产抵押价值预评估</v>
      </c>
    </row>
    <row r="3" spans="1:2">
      <c r="A3" s="1117" t="s">
        <v>523</v>
      </c>
      <c r="B3" s="1118">
        <f>'预评函-封皮'!B40</f>
        <v>0</v>
      </c>
    </row>
    <row r="4" spans="1:2">
      <c r="A4" s="1117" t="s">
        <v>524</v>
      </c>
      <c r="B4" s="1118" t="str">
        <f ca="1">'预评函-封皮'!B46</f>
        <v>郑燚（注册号：1120070131)、崔锴（注册号：1120100036)</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受贵公司委托，我公司对北京市朝阳区天畅园6号楼2层等8套房地产抵押价值进行了预评估。</v>
      </c>
    </row>
    <row r="7" spans="1:2">
      <c r="A7" s="1117" t="s">
        <v>566</v>
      </c>
      <c r="B7" s="1118" t="str">
        <f>'预评函-1'!A7</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2024年12月12日（评估专业人员实地查勘之日）</v>
      </c>
    </row>
    <row r="13" spans="1:2">
      <c r="A13" s="1117" t="s">
        <v>529</v>
      </c>
      <c r="B13" s="1118" t="str">
        <f>'预评函-1'!A18</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4" spans="1:2">
      <c r="A14" s="1117" t="s">
        <v>530</v>
      </c>
      <c r="B14" s="1118" t="str">
        <f>'预评函-1'!A19</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588</v>
      </c>
    </row>
    <row r="21" spans="1:2">
      <c r="A21" s="1117" t="s">
        <v>537</v>
      </c>
      <c r="B21" s="1118">
        <f ca="1">'预评函-2'!D7</f>
        <v>23794</v>
      </c>
    </row>
    <row r="22" spans="1:2">
      <c r="A22" s="1117" t="s">
        <v>538</v>
      </c>
      <c r="B22" s="1118" t="str">
        <f ca="1">'预评函-2'!D6</f>
        <v>伍佰捌拾捌万元整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588</v>
      </c>
    </row>
    <row r="31" spans="1:2">
      <c r="A31" s="1117" t="s">
        <v>576</v>
      </c>
      <c r="B31" s="1118">
        <f ca="1">'预评函-2'!D15</f>
        <v>23794</v>
      </c>
    </row>
    <row r="32" spans="1:2">
      <c r="A32" s="1117" t="s">
        <v>543</v>
      </c>
      <c r="B32" s="1118" t="str">
        <f ca="1">'预评函-2'!D14</f>
        <v>伍佰捌拾捌万元整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北京市朝阳区天畅园6号楼2层等8套房地产</v>
      </c>
    </row>
    <row r="42" spans="1:2" ht="31.2">
      <c r="A42" s="1117" t="s">
        <v>590</v>
      </c>
      <c r="B42" s="1118" t="str">
        <f>'预评函-3'!B2</f>
        <v>建筑面积</v>
      </c>
    </row>
    <row r="43" spans="1:2">
      <c r="A43" s="1117" t="s">
        <v>591</v>
      </c>
      <c r="B43" s="1118">
        <f>'预评函-3'!B4</f>
        <v>247.16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崔锴</v>
      </c>
    </row>
    <row r="73" spans="1:2" s="1113" customFormat="1" ht="16.2" thickBot="1">
      <c r="A73" s="1120" t="s">
        <v>565</v>
      </c>
      <c r="B73" s="1121">
        <f ca="1">'预评函-4'!B5</f>
        <v>1120100036</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3341</v>
      </c>
    </row>
    <row r="8" spans="1:23">
      <c r="A8" s="1439" t="s">
        <v>1026</v>
      </c>
      <c r="B8" s="1439" t="s">
        <v>1027</v>
      </c>
      <c r="C8" s="1440" t="s">
        <v>319</v>
      </c>
      <c r="F8" s="1441" t="s">
        <v>1028</v>
      </c>
      <c r="H8" s="1441" t="s">
        <v>2577</v>
      </c>
      <c r="I8" s="1441" t="s">
        <v>3342</v>
      </c>
    </row>
    <row r="9" spans="1:23">
      <c r="A9" s="1439" t="s">
        <v>1029</v>
      </c>
      <c r="B9" s="1439" t="s">
        <v>1030</v>
      </c>
      <c r="C9" s="1440" t="s">
        <v>320</v>
      </c>
      <c r="F9" s="1441" t="s">
        <v>1031</v>
      </c>
      <c r="H9" s="1441"/>
      <c r="I9" s="1443" t="s">
        <v>3343</v>
      </c>
    </row>
    <row r="10" spans="1:23">
      <c r="A10" s="1439" t="s">
        <v>1032</v>
      </c>
      <c r="B10" s="1439" t="s">
        <v>1033</v>
      </c>
      <c r="C10" s="1440" t="s">
        <v>321</v>
      </c>
      <c r="F10" s="1441" t="s">
        <v>2578</v>
      </c>
      <c r="I10" s="1443" t="s">
        <v>3344</v>
      </c>
    </row>
    <row r="11" spans="1:23">
      <c r="A11" s="1439" t="s">
        <v>1034</v>
      </c>
      <c r="B11" s="1439" t="s">
        <v>1035</v>
      </c>
      <c r="C11" s="1440" t="s">
        <v>322</v>
      </c>
      <c r="F11" s="1441" t="s">
        <v>13</v>
      </c>
      <c r="I11" s="1443" t="s">
        <v>3345</v>
      </c>
    </row>
    <row r="12" spans="1:23">
      <c r="A12" s="1439" t="s">
        <v>1036</v>
      </c>
      <c r="B12" s="1439" t="s">
        <v>1037</v>
      </c>
      <c r="C12" s="1440" t="s">
        <v>323</v>
      </c>
      <c r="I12" s="1443" t="s">
        <v>3346</v>
      </c>
    </row>
    <row r="13" spans="1:23">
      <c r="A13" s="1439" t="s">
        <v>1038</v>
      </c>
      <c r="B13" s="1439" t="s">
        <v>1039</v>
      </c>
      <c r="C13" s="1440" t="s">
        <v>324</v>
      </c>
      <c r="I13" s="1443" t="s">
        <v>3347</v>
      </c>
    </row>
    <row r="14" spans="1:23">
      <c r="A14" s="1439" t="s">
        <v>1040</v>
      </c>
      <c r="B14" s="1439" t="s">
        <v>1041</v>
      </c>
      <c r="C14" s="1441" t="s">
        <v>13</v>
      </c>
      <c r="I14" s="1443" t="s">
        <v>3348</v>
      </c>
    </row>
    <row r="15" spans="1:23">
      <c r="A15" s="1439" t="s">
        <v>1042</v>
      </c>
      <c r="B15" s="1439" t="s">
        <v>1043</v>
      </c>
      <c r="C15" s="1440"/>
      <c r="I15" s="1443" t="s">
        <v>3349</v>
      </c>
    </row>
    <row r="16" spans="1:23">
      <c r="A16" s="1439" t="s">
        <v>1044</v>
      </c>
      <c r="B16" s="1439" t="s">
        <v>312</v>
      </c>
      <c r="C16" s="1440"/>
    </row>
    <row r="17" spans="1:3">
      <c r="A17" s="1439" t="s">
        <v>1045</v>
      </c>
      <c r="B17" s="1439" t="s">
        <v>2291</v>
      </c>
      <c r="C17" s="1440"/>
    </row>
    <row r="18" spans="1:3">
      <c r="A18" s="1439" t="s">
        <v>1046</v>
      </c>
      <c r="B18" s="1439" t="s">
        <v>2433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XX年(多用途剩余年限尾数不同时，可只体现小数点后一位)，假定未设立法定优先受偿款下的房地产市场价值。</v>
      </c>
    </row>
    <row r="54" spans="1:4">
      <c r="A54" s="3204"/>
      <c r="B54" s="1445" t="s">
        <v>385</v>
      </c>
      <c r="C54" s="1443" t="s">
        <v>583</v>
      </c>
    </row>
    <row r="55" spans="1:4">
      <c r="A55" s="3204"/>
      <c r="B55" s="1445" t="s">
        <v>386</v>
      </c>
      <c r="C55" s="1443" t="s">
        <v>584</v>
      </c>
    </row>
    <row r="56" spans="1:4">
      <c r="A56" s="3204"/>
      <c r="B56" s="1445" t="s">
        <v>387</v>
      </c>
      <c r="C56" s="1443" t="s">
        <v>588</v>
      </c>
    </row>
    <row r="57" spans="1:4">
      <c r="A57" s="320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29" t="s">
        <v>2593</v>
      </c>
      <c r="J1" s="2778"/>
      <c r="K1" s="2778"/>
      <c r="L1" s="2778"/>
      <c r="M1" s="2778"/>
      <c r="N1" s="2963"/>
      <c r="O1" s="2963"/>
      <c r="P1" s="2963"/>
      <c r="Q1" s="2963"/>
      <c r="R1" s="2963"/>
    </row>
    <row r="2" spans="1:18">
      <c r="A2" s="2755"/>
      <c r="B2" s="2756"/>
      <c r="C2" s="2756"/>
      <c r="D2" s="2756"/>
      <c r="E2" s="2756"/>
      <c r="F2" s="2757"/>
      <c r="I2" s="3205" t="s">
        <v>2580</v>
      </c>
      <c r="J2" s="3205"/>
      <c r="K2" s="3205"/>
      <c r="L2" s="3205"/>
      <c r="M2" s="3205"/>
      <c r="N2" s="3205"/>
      <c r="O2" s="3205"/>
      <c r="P2" s="3205"/>
      <c r="Q2" s="3205"/>
      <c r="R2" s="3205"/>
    </row>
    <row r="3" spans="1:18">
      <c r="A3" s="2758" t="s">
        <v>2501</v>
      </c>
      <c r="B3" s="2759">
        <f>项目基本情况!D3</f>
        <v>45638</v>
      </c>
      <c r="C3" s="2761"/>
      <c r="D3" s="2761"/>
      <c r="E3" s="2761"/>
      <c r="F3" s="2757"/>
      <c r="I3" s="2773"/>
      <c r="J3" s="2773" t="s">
        <v>2584</v>
      </c>
      <c r="K3" s="2773" t="s">
        <v>2585</v>
      </c>
      <c r="L3" s="2773" t="s">
        <v>2586</v>
      </c>
      <c r="M3" s="2773" t="s">
        <v>2587</v>
      </c>
      <c r="N3" s="3130" t="s">
        <v>2588</v>
      </c>
      <c r="O3" s="3130" t="s">
        <v>2589</v>
      </c>
      <c r="P3" s="3130" t="s">
        <v>2590</v>
      </c>
      <c r="Q3" s="3130" t="s">
        <v>2591</v>
      </c>
      <c r="R3" s="3130"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2.0099999999999998</v>
      </c>
      <c r="D5" s="2763">
        <f>IF(ISERROR(ROUND(POWER(1+E5,A5-C5)*(POWER(1+E5,C5)-1)/(POWER(1+E5,A5)-1),3)),0,ROUND(POWER(1+E5,A5-C5)*(POWER(1+E5,C5)-1)/(POWER(1+E5,A5)-1),4))</f>
        <v>9.5799999999999996E-2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12.02</v>
      </c>
      <c r="D6" s="2763">
        <f>IF(ISERROR(ROUND(POWER(1+E6,A6-C6)*(POWER(1+E6,C6)-1)/(POWER(1+E6,A6)-1),3)),0,ROUND(POWER(1+E6,A6-C6)*(POWER(1+E6,C6)-1)/(POWER(1+E6,A6)-1),4))</f>
        <v>0.43740000000000001</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32.04</v>
      </c>
      <c r="D7" s="2763">
        <f>IF(ISERROR(ROUND(POWER(1+E7,A7-C7)*(POWER(1+E7,C7)-1)/(POWER(1+E7,A7)-1),3)),0,ROUND(POWER(1+E7,A7-C7)*(POWER(1+E7,C7)-1)/(POWER(1+E7,A7)-1),4))</f>
        <v>0.76449999999999996</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3">
      <c r="A17" s="2758" t="s">
        <v>2517</v>
      </c>
      <c r="B17" s="2766">
        <v>4810</v>
      </c>
      <c r="C17" s="2760"/>
      <c r="D17" s="2756"/>
      <c r="E17" s="2756"/>
      <c r="F17" s="2757"/>
    </row>
    <row r="18" spans="1:13" ht="15" thickBot="1">
      <c r="A18" s="2768" t="s">
        <v>2516</v>
      </c>
      <c r="B18" s="2769">
        <f>ROUND(B17*F11/F12,2)</f>
        <v>5541.87</v>
      </c>
      <c r="C18" s="2769">
        <f>ROUND(F11/F12,4)</f>
        <v>1.1521999999999999</v>
      </c>
      <c r="D18" s="2770"/>
      <c r="E18" s="2770"/>
      <c r="F18" s="2771"/>
    </row>
    <row r="19" spans="1:13" ht="15" thickBot="1"/>
    <row r="20" spans="1:13" s="2804" customFormat="1" ht="15" thickTop="1">
      <c r="A20" s="2801" t="s">
        <v>2519</v>
      </c>
      <c r="B20" s="2802"/>
      <c r="C20" s="2802"/>
      <c r="D20" s="2802"/>
      <c r="E20" s="2802"/>
      <c r="F20" s="2802"/>
      <c r="G20" s="2803"/>
      <c r="I20" s="2805" t="s">
        <v>2564</v>
      </c>
      <c r="J20" s="2805" t="s">
        <v>2569</v>
      </c>
      <c r="K20" s="2805"/>
      <c r="L20" s="2805"/>
      <c r="M20" s="2805"/>
    </row>
    <row r="21" spans="1:13">
      <c r="A21" s="2772"/>
      <c r="B21" s="2773" t="s">
        <v>2520</v>
      </c>
      <c r="C21" s="2773" t="s">
        <v>2521</v>
      </c>
      <c r="D21" s="2773" t="s">
        <v>2522</v>
      </c>
      <c r="E21" s="2773" t="s">
        <v>2523</v>
      </c>
      <c r="F21" s="2773" t="s">
        <v>2524</v>
      </c>
      <c r="G21" s="2774" t="s">
        <v>2525</v>
      </c>
      <c r="I21" s="2795">
        <v>5</v>
      </c>
      <c r="J21" s="2795">
        <v>54.2</v>
      </c>
    </row>
    <row r="22" spans="1:13">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M23" s="2795" t="s">
        <v>2568</v>
      </c>
    </row>
    <row r="24" spans="1:13">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M24" s="2795">
        <v>10</v>
      </c>
    </row>
    <row r="25" spans="1:13">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M25" s="2795">
        <v>8</v>
      </c>
    </row>
    <row r="26" spans="1:13">
      <c r="A26" s="2777"/>
      <c r="B26" s="2778"/>
      <c r="C26" s="2778"/>
      <c r="D26" s="2778"/>
      <c r="E26" s="2778"/>
      <c r="F26" s="2778"/>
      <c r="G26" s="2779"/>
      <c r="I26" s="2795">
        <v>30</v>
      </c>
      <c r="J26" s="2795">
        <v>90.5</v>
      </c>
      <c r="K26" s="2795">
        <f t="shared" si="2"/>
        <v>4.2000000000000028</v>
      </c>
      <c r="L26" s="2795" t="s">
        <v>2571</v>
      </c>
      <c r="M26" s="2795">
        <v>5</v>
      </c>
    </row>
    <row r="27" spans="1:13">
      <c r="A27" s="2777" t="s">
        <v>2530</v>
      </c>
      <c r="B27" s="2778"/>
      <c r="C27" s="2778"/>
      <c r="D27" s="2778"/>
      <c r="E27" s="2778"/>
      <c r="F27" s="2778"/>
      <c r="G27" s="2779"/>
      <c r="I27" s="2795">
        <v>35</v>
      </c>
      <c r="J27" s="2795">
        <v>93.8</v>
      </c>
      <c r="K27" s="2795">
        <f t="shared" si="2"/>
        <v>3.2999999999999972</v>
      </c>
      <c r="L27" s="2795" t="s">
        <v>2572</v>
      </c>
      <c r="M27" s="2795">
        <v>3</v>
      </c>
    </row>
    <row r="28" spans="1:13">
      <c r="A28" s="2777" t="s">
        <v>2531</v>
      </c>
      <c r="B28" s="2778"/>
      <c r="C28" s="2778"/>
      <c r="D28" s="2778"/>
      <c r="E28" s="2778"/>
      <c r="F28" s="2778"/>
      <c r="G28" s="2779"/>
      <c r="I28" s="2795">
        <v>40</v>
      </c>
      <c r="J28" s="2795">
        <v>96.4</v>
      </c>
      <c r="K28" s="2795">
        <f t="shared" si="2"/>
        <v>2.6000000000000085</v>
      </c>
      <c r="L28" s="2795" t="s">
        <v>2573</v>
      </c>
      <c r="M28" s="2795">
        <v>2</v>
      </c>
    </row>
    <row r="29" spans="1:13">
      <c r="A29" s="2777" t="s">
        <v>2532</v>
      </c>
      <c r="B29" s="2778"/>
      <c r="C29" s="2778"/>
      <c r="D29" s="2778"/>
      <c r="E29" s="2778"/>
      <c r="F29" s="2778"/>
      <c r="G29" s="2779"/>
      <c r="I29" s="2795">
        <v>45</v>
      </c>
      <c r="J29" s="2795">
        <v>98.4</v>
      </c>
      <c r="K29" s="2795">
        <f t="shared" si="2"/>
        <v>2</v>
      </c>
    </row>
    <row r="30" spans="1:13">
      <c r="A30" s="2777" t="s">
        <v>2533</v>
      </c>
      <c r="B30" s="2778"/>
      <c r="C30" s="2778"/>
      <c r="D30" s="2778"/>
      <c r="E30" s="2778"/>
      <c r="F30" s="2778"/>
      <c r="G30" s="2779"/>
      <c r="I30" s="2795">
        <v>50</v>
      </c>
      <c r="J30" s="2795">
        <v>100</v>
      </c>
      <c r="K30" s="2795">
        <f t="shared" si="2"/>
        <v>1.5999999999999943</v>
      </c>
    </row>
    <row r="31" spans="1:13">
      <c r="A31" s="2777" t="s">
        <v>2534</v>
      </c>
      <c r="B31" s="2778"/>
      <c r="C31" s="2778"/>
      <c r="D31" s="2778"/>
      <c r="E31" s="2778"/>
      <c r="F31" s="2778"/>
      <c r="G31" s="2779"/>
      <c r="I31" s="2795" t="s">
        <v>2565</v>
      </c>
    </row>
    <row r="32" spans="1:13">
      <c r="A32" s="2777" t="s">
        <v>2535</v>
      </c>
      <c r="B32" s="2778"/>
      <c r="C32" s="2778"/>
      <c r="D32" s="2778"/>
      <c r="E32" s="2778"/>
      <c r="F32" s="2778"/>
      <c r="G32" s="2779"/>
    </row>
    <row r="33" spans="1:13">
      <c r="A33" s="2777" t="s">
        <v>2536</v>
      </c>
      <c r="B33" s="2778"/>
      <c r="C33" s="2778"/>
      <c r="D33" s="2778"/>
      <c r="E33" s="2778"/>
      <c r="F33" s="2778"/>
      <c r="G33" s="2779"/>
      <c r="I33" s="2795" t="s">
        <v>2564</v>
      </c>
      <c r="J33" s="2795" t="s">
        <v>2574</v>
      </c>
    </row>
    <row r="34" spans="1:13">
      <c r="A34" s="2777" t="s">
        <v>2537</v>
      </c>
      <c r="B34" s="2778"/>
      <c r="C34" s="2778"/>
      <c r="D34" s="2778"/>
      <c r="E34" s="2778"/>
      <c r="F34" s="2778"/>
      <c r="G34" s="2779"/>
      <c r="I34" s="2795">
        <v>5</v>
      </c>
      <c r="J34" s="2795">
        <v>55.1</v>
      </c>
    </row>
    <row r="35" spans="1:13">
      <c r="A35" s="2777" t="s">
        <v>2538</v>
      </c>
      <c r="B35" s="2778"/>
      <c r="C35" s="2778"/>
      <c r="D35" s="2778"/>
      <c r="E35" s="2778"/>
      <c r="F35" s="2778"/>
      <c r="G35" s="2779"/>
      <c r="I35" s="2795">
        <v>10</v>
      </c>
      <c r="J35" s="2795">
        <v>67</v>
      </c>
      <c r="K35" s="2795">
        <f>J35-J34</f>
        <v>11.899999999999999</v>
      </c>
    </row>
    <row r="36" spans="1:13">
      <c r="A36" s="2777" t="s">
        <v>2539</v>
      </c>
      <c r="B36" s="2778"/>
      <c r="C36" s="2778"/>
      <c r="D36" s="2778"/>
      <c r="E36" s="2778"/>
      <c r="F36" s="2778"/>
      <c r="G36" s="2779"/>
      <c r="I36" s="2795">
        <v>15</v>
      </c>
      <c r="J36" s="2795">
        <v>76.3</v>
      </c>
      <c r="K36" s="2795">
        <f t="shared" ref="K36:K41" si="3">J36-J35</f>
        <v>9.2999999999999972</v>
      </c>
      <c r="L36" s="2795" t="s">
        <v>2567</v>
      </c>
      <c r="M36" s="2795" t="s">
        <v>2568</v>
      </c>
    </row>
    <row r="37" spans="1:13">
      <c r="A37" s="2777" t="s">
        <v>2540</v>
      </c>
      <c r="B37" s="2778"/>
      <c r="C37" s="2778"/>
      <c r="D37" s="2778"/>
      <c r="E37" s="2778"/>
      <c r="F37" s="2778"/>
      <c r="G37" s="2779"/>
      <c r="I37" s="2795">
        <v>20</v>
      </c>
      <c r="J37" s="2795">
        <v>83.6</v>
      </c>
      <c r="K37" s="2795">
        <f t="shared" si="3"/>
        <v>7.2999999999999972</v>
      </c>
      <c r="L37" s="2795" t="s">
        <v>2566</v>
      </c>
      <c r="M37" s="2795">
        <v>10</v>
      </c>
    </row>
    <row r="38" spans="1:13">
      <c r="A38" s="2777" t="s">
        <v>2541</v>
      </c>
      <c r="B38" s="2778"/>
      <c r="C38" s="2778"/>
      <c r="D38" s="2778"/>
      <c r="E38" s="2778"/>
      <c r="F38" s="2778"/>
      <c r="G38" s="2779"/>
      <c r="I38" s="2795">
        <v>25</v>
      </c>
      <c r="J38" s="2795">
        <v>89.3</v>
      </c>
      <c r="K38" s="2795">
        <f t="shared" si="3"/>
        <v>5.7000000000000028</v>
      </c>
      <c r="L38" s="2795" t="s">
        <v>2570</v>
      </c>
      <c r="M38" s="2795">
        <v>8</v>
      </c>
    </row>
    <row r="39" spans="1:13">
      <c r="A39" s="2777"/>
      <c r="B39" s="2778"/>
      <c r="C39" s="2778"/>
      <c r="D39" s="2778"/>
      <c r="E39" s="2778"/>
      <c r="F39" s="2778"/>
      <c r="G39" s="2779"/>
      <c r="I39" s="2795">
        <v>30</v>
      </c>
      <c r="J39" s="2795">
        <v>93.8</v>
      </c>
      <c r="K39" s="2795">
        <f t="shared" si="3"/>
        <v>4.5</v>
      </c>
      <c r="L39" s="2795" t="s">
        <v>2571</v>
      </c>
      <c r="M39" s="2795">
        <v>6</v>
      </c>
    </row>
    <row r="40" spans="1:13">
      <c r="A40" s="2780" t="s">
        <v>2542</v>
      </c>
      <c r="B40" s="2781"/>
      <c r="C40" s="2781"/>
      <c r="D40" s="2781"/>
      <c r="E40" s="2781"/>
      <c r="F40" s="2781"/>
      <c r="G40" s="2782"/>
      <c r="I40" s="2795">
        <v>35</v>
      </c>
      <c r="J40" s="2795">
        <v>97.2</v>
      </c>
      <c r="K40" s="2795">
        <f t="shared" si="3"/>
        <v>3.4000000000000057</v>
      </c>
      <c r="L40" s="2795" t="s">
        <v>2572</v>
      </c>
      <c r="M40" s="2795">
        <v>3</v>
      </c>
    </row>
    <row r="41" spans="1:13">
      <c r="A41" s="2783" t="s">
        <v>2543</v>
      </c>
      <c r="B41" s="2784" t="s">
        <v>2544</v>
      </c>
      <c r="C41" s="2785" t="s">
        <v>2545</v>
      </c>
      <c r="D41" s="2785" t="s">
        <v>2546</v>
      </c>
      <c r="E41" s="2786"/>
      <c r="F41" s="2787"/>
      <c r="G41" s="2788"/>
      <c r="I41" s="2795">
        <v>40</v>
      </c>
      <c r="J41" s="2795">
        <v>100</v>
      </c>
      <c r="K41" s="2795">
        <f t="shared" si="3"/>
        <v>2.7999999999999972</v>
      </c>
    </row>
    <row r="42" spans="1:13">
      <c r="A42" s="2783" t="s">
        <v>2547</v>
      </c>
      <c r="B42" s="2784" t="s">
        <v>2548</v>
      </c>
      <c r="C42" s="2785" t="s">
        <v>2549</v>
      </c>
      <c r="D42" s="2789" t="s">
        <v>2550</v>
      </c>
      <c r="E42" s="2781" t="s">
        <v>2551</v>
      </c>
      <c r="F42" s="2781"/>
      <c r="G42" s="2782"/>
    </row>
    <row r="43" spans="1:13">
      <c r="A43" s="2783" t="s">
        <v>2552</v>
      </c>
      <c r="B43" s="2784" t="s">
        <v>2553</v>
      </c>
      <c r="C43" s="2785" t="s">
        <v>2554</v>
      </c>
      <c r="D43" s="2785" t="s">
        <v>2555</v>
      </c>
      <c r="E43" s="2786" t="s">
        <v>2556</v>
      </c>
      <c r="F43" s="2787"/>
      <c r="G43" s="2788"/>
      <c r="I43" s="2795" t="s">
        <v>2564</v>
      </c>
      <c r="J43" s="2795" t="s">
        <v>2575</v>
      </c>
    </row>
    <row r="44" spans="1:13">
      <c r="A44" s="2783" t="s">
        <v>2557</v>
      </c>
      <c r="B44" s="2784" t="s">
        <v>2558</v>
      </c>
      <c r="C44" s="2785" t="s">
        <v>2559</v>
      </c>
      <c r="D44" s="2789">
        <v>0.5</v>
      </c>
      <c r="E44" s="2786" t="s">
        <v>2560</v>
      </c>
      <c r="F44" s="2787"/>
      <c r="G44" s="2788"/>
      <c r="I44" s="2795">
        <v>30</v>
      </c>
      <c r="J44" s="2795">
        <v>81.7</v>
      </c>
    </row>
    <row r="45" spans="1:13" ht="15" thickBot="1">
      <c r="A45" s="2790" t="s">
        <v>2561</v>
      </c>
      <c r="B45" s="2791" t="s">
        <v>2548</v>
      </c>
      <c r="C45" s="2792" t="s">
        <v>2548</v>
      </c>
      <c r="D45" s="2792" t="s">
        <v>2562</v>
      </c>
      <c r="E45" s="2793" t="s">
        <v>2563</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38" sqref="H38"/>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2166</v>
      </c>
      <c r="B1" s="3206" t="str">
        <f>IF(B10="北京市","北京市",C10)&amp;F10&amp;IF(结果表!G1="在建","出让国有建设用地使用权及在建建筑物",IF(结果表!G1="土地","出让国有建设用地使用权",))&amp;B9&amp;"预评估"</f>
        <v>北京市朝阳区天畅园6号楼2层等8套房地产抵押价值预评估</v>
      </c>
      <c r="C1" s="3207"/>
      <c r="D1" s="3207"/>
      <c r="E1" s="3207"/>
      <c r="F1" s="3207"/>
      <c r="G1" s="3207"/>
      <c r="H1" s="3207"/>
      <c r="I1" s="3208"/>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北京市朝阳区天畅园6号楼2层等8套房地产抵押价值</v>
      </c>
      <c r="T1" s="1616"/>
      <c r="U1" s="1616"/>
      <c r="V1" s="1616"/>
      <c r="W1" s="1616"/>
      <c r="X1" s="1616"/>
      <c r="Y1" s="1616"/>
      <c r="Z1" s="1616"/>
      <c r="AA1" s="1616"/>
      <c r="AB1" s="1616"/>
    </row>
    <row r="2" spans="1:30">
      <c r="A2" s="2180" t="s">
        <v>2167</v>
      </c>
      <c r="B2" s="122"/>
      <c r="D2" s="2444"/>
      <c r="E2" s="2438"/>
      <c r="F2" s="2438"/>
      <c r="G2" s="2439"/>
      <c r="H2" s="2439"/>
      <c r="I2" s="2439"/>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北京市朝阳区天畅园6号楼2层等8套房地产</v>
      </c>
      <c r="T2" s="1616"/>
      <c r="U2" s="1616"/>
      <c r="V2" s="1616"/>
      <c r="W2" s="1616"/>
      <c r="X2" s="1616"/>
      <c r="Y2" s="1616"/>
      <c r="Z2" s="1616"/>
      <c r="AA2" s="1616"/>
      <c r="AB2" s="1616"/>
    </row>
    <row r="3" spans="1:30">
      <c r="A3" s="294" t="s">
        <v>2168</v>
      </c>
      <c r="B3" s="2183">
        <v>45638</v>
      </c>
      <c r="C3" s="2184" t="s">
        <v>2169</v>
      </c>
      <c r="D3" s="2183">
        <f>B3</f>
        <v>45638</v>
      </c>
      <c r="E3" s="2439"/>
      <c r="F3" s="2439"/>
      <c r="G3" s="2439"/>
      <c r="H3" s="2439"/>
      <c r="I3" s="2439"/>
      <c r="J3" s="2242"/>
      <c r="K3" s="2181"/>
      <c r="L3" s="2182"/>
      <c r="M3" s="2182"/>
      <c r="N3" s="2180"/>
      <c r="O3" s="1464"/>
      <c r="P3" s="2180"/>
      <c r="Q3" s="2180"/>
      <c r="R3" s="2180"/>
      <c r="S3" s="1559"/>
      <c r="T3" s="1616"/>
      <c r="U3" s="1616"/>
      <c r="V3" s="1616"/>
      <c r="W3" s="1616"/>
      <c r="X3" s="1616"/>
      <c r="Y3" s="1616"/>
      <c r="Z3" s="1616"/>
      <c r="AA3" s="1616"/>
      <c r="AB3" s="1616"/>
    </row>
    <row r="4" spans="1:30" ht="13.8" thickBot="1">
      <c r="A4" s="1026" t="s">
        <v>2170</v>
      </c>
      <c r="B4" s="2185" t="s">
        <v>3434</v>
      </c>
      <c r="C4" s="2186">
        <f ca="1">SUMIF(注册房地产估价师,B4,估价师及机构信息!B3:B24)</f>
        <v>1120070131</v>
      </c>
      <c r="D4" s="2185" t="s">
        <v>3435</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郑燚（注册号：1120070131)、崔锴（注册号：1120100036)</v>
      </c>
      <c r="L4" s="2182"/>
      <c r="M4" s="2182"/>
      <c r="N4" s="2180"/>
      <c r="O4" s="1464"/>
      <c r="P4" s="2180"/>
      <c r="Q4" s="2180"/>
      <c r="R4" s="2180"/>
      <c r="S4" s="1559"/>
      <c r="T4" s="1616"/>
      <c r="U4" s="1616"/>
      <c r="V4" s="1616"/>
      <c r="W4" s="1616"/>
      <c r="X4" s="1616"/>
      <c r="Y4" s="1616"/>
      <c r="Z4" s="1616"/>
      <c r="AA4" s="1616"/>
      <c r="AB4" s="1616"/>
    </row>
    <row r="5" spans="1:30" ht="13.8" thickTop="1">
      <c r="A5" s="2188" t="s">
        <v>2171</v>
      </c>
      <c r="B5" s="2189"/>
      <c r="C5" s="2190"/>
      <c r="D5" s="2191"/>
      <c r="E5" s="2439"/>
      <c r="F5" s="2439"/>
      <c r="G5" s="2439"/>
      <c r="H5" s="2439"/>
      <c r="I5" s="2439"/>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2172</v>
      </c>
      <c r="B6" s="2193"/>
      <c r="C6" s="2194"/>
      <c r="D6" s="2195"/>
      <c r="E6" s="2438"/>
      <c r="F6" s="2439"/>
      <c r="G6" s="2439"/>
      <c r="H6" s="2439"/>
      <c r="I6" s="2439"/>
      <c r="J6" s="2242"/>
      <c r="K6" s="2398" t="str">
        <f>IF(COUNTIF(B6,"*上海银行*"),"上海银行","")</f>
        <v/>
      </c>
      <c r="L6" s="2396"/>
      <c r="M6" s="2396"/>
      <c r="N6" s="2242"/>
      <c r="O6" s="1668"/>
      <c r="P6" s="2242"/>
      <c r="Q6" s="2242"/>
      <c r="R6" s="2242"/>
    </row>
    <row r="7" spans="1:30">
      <c r="A7" s="2192" t="s">
        <v>2173</v>
      </c>
      <c r="B7" s="2196"/>
      <c r="C7" s="2194"/>
      <c r="D7" s="2195"/>
      <c r="E7" s="2438"/>
      <c r="F7" s="2439"/>
      <c r="G7" s="2439"/>
      <c r="H7" s="2439"/>
      <c r="I7" s="2439"/>
      <c r="J7" s="2242"/>
      <c r="K7" s="2399"/>
      <c r="L7" s="2396"/>
      <c r="M7" s="2396"/>
      <c r="N7" s="2242"/>
      <c r="O7" s="1668"/>
      <c r="P7" s="2242"/>
      <c r="Q7" s="2242"/>
      <c r="R7" s="2242"/>
    </row>
    <row r="8" spans="1:30">
      <c r="A8" s="2197" t="s">
        <v>2174</v>
      </c>
      <c r="B8" s="2198" t="s">
        <v>3436</v>
      </c>
      <c r="C8" s="2199"/>
      <c r="D8" s="3209" t="s">
        <v>2175</v>
      </c>
      <c r="E8" s="2200" t="s">
        <v>3437</v>
      </c>
      <c r="F8" s="2201"/>
      <c r="G8" s="2439"/>
      <c r="H8" s="2439"/>
      <c r="I8" s="2439"/>
      <c r="J8" s="2242"/>
      <c r="K8" s="2397"/>
      <c r="L8" s="2396"/>
      <c r="M8" s="2396"/>
      <c r="N8" s="2242"/>
      <c r="O8" s="1668"/>
      <c r="P8" s="2242"/>
      <c r="Q8" s="2242"/>
      <c r="R8" s="2242"/>
    </row>
    <row r="9" spans="1:30" ht="13.8" thickBot="1">
      <c r="A9" s="2202" t="s">
        <v>2176</v>
      </c>
      <c r="B9" s="2203" t="s">
        <v>3437</v>
      </c>
      <c r="C9" s="2204"/>
      <c r="D9" s="3210"/>
      <c r="E9" s="2203"/>
      <c r="F9" s="2205"/>
      <c r="G9" s="2440"/>
      <c r="H9" s="2440"/>
      <c r="I9" s="2440"/>
      <c r="J9" s="2242"/>
      <c r="K9" s="2399"/>
      <c r="L9" s="2396"/>
      <c r="M9" s="2396"/>
      <c r="N9" s="2242"/>
      <c r="O9" s="1668"/>
      <c r="P9" s="2242"/>
      <c r="Q9" s="2242"/>
      <c r="R9" s="2242"/>
    </row>
    <row r="10" spans="1:30" ht="13.8" thickTop="1">
      <c r="A10" s="2206" t="s">
        <v>2177</v>
      </c>
      <c r="B10" s="2207" t="s">
        <v>3438</v>
      </c>
      <c r="C10" s="2208"/>
      <c r="D10" s="2191"/>
      <c r="E10" s="2209" t="s">
        <v>2178</v>
      </c>
      <c r="F10" s="3142" t="s">
        <v>3444</v>
      </c>
      <c r="G10" s="2441"/>
      <c r="H10" s="2442"/>
      <c r="I10" s="2443"/>
      <c r="J10" s="2242"/>
      <c r="K10" s="2399"/>
      <c r="L10" s="2396"/>
      <c r="M10" s="2396"/>
      <c r="N10" s="2242"/>
      <c r="O10" s="1668"/>
      <c r="P10" s="2242"/>
      <c r="Q10" s="2242"/>
      <c r="R10" s="2242"/>
    </row>
    <row r="11" spans="1:30" ht="132">
      <c r="A11" s="2210" t="s">
        <v>2179</v>
      </c>
      <c r="B11" s="2211" t="s">
        <v>3439</v>
      </c>
      <c r="C11" s="3143" t="s">
        <v>3443</v>
      </c>
      <c r="D11" s="2212"/>
      <c r="E11" s="2180"/>
      <c r="F11" s="2180"/>
      <c r="G11" s="2180"/>
      <c r="H11" s="2180"/>
      <c r="I11" s="2180"/>
      <c r="J11" s="2797"/>
      <c r="K11" s="2396"/>
      <c r="L11" s="2396"/>
      <c r="M11" s="2396"/>
      <c r="N11" s="2242"/>
      <c r="O11" s="1668"/>
      <c r="P11" s="2242"/>
      <c r="Q11" s="2242"/>
      <c r="R11" s="2242"/>
    </row>
    <row r="12" spans="1:30">
      <c r="A12" s="2213" t="s">
        <v>2180</v>
      </c>
      <c r="B12" s="315" t="s">
        <v>2181</v>
      </c>
      <c r="C12" s="2214" t="s">
        <v>2182</v>
      </c>
      <c r="D12" s="2214" t="s">
        <v>2183</v>
      </c>
      <c r="E12" s="2214" t="s">
        <v>2184</v>
      </c>
      <c r="F12" s="2214" t="s">
        <v>2185</v>
      </c>
      <c r="G12" s="2214" t="s">
        <v>2186</v>
      </c>
      <c r="H12" s="2214" t="s">
        <v>2187</v>
      </c>
      <c r="I12" s="2796" t="s">
        <v>2576</v>
      </c>
      <c r="J12" s="2798"/>
      <c r="K12" s="2396"/>
      <c r="L12" s="2396"/>
      <c r="M12" s="2242"/>
      <c r="N12" s="1668"/>
      <c r="O12" s="2242"/>
      <c r="P12" s="2242"/>
      <c r="Q12" s="2242"/>
      <c r="AD12" s="1616"/>
    </row>
    <row r="13" spans="1:30">
      <c r="A13" s="3116" t="s">
        <v>3332</v>
      </c>
      <c r="B13" s="2215" t="s">
        <v>2188</v>
      </c>
      <c r="C13" s="802"/>
      <c r="D13" s="802">
        <f>面积及租赁合同!O7</f>
        <v>52837</v>
      </c>
      <c r="E13" s="802"/>
      <c r="F13" s="802"/>
      <c r="G13" s="802"/>
      <c r="H13" s="802"/>
      <c r="I13" s="802"/>
      <c r="J13" s="2798"/>
      <c r="K13" s="2396"/>
      <c r="L13" s="2396"/>
      <c r="M13" s="2242"/>
      <c r="N13" s="1668"/>
      <c r="O13" s="2242"/>
      <c r="P13" s="2242"/>
      <c r="Q13" s="2242"/>
      <c r="AD13" s="1616"/>
    </row>
    <row r="14" spans="1:30">
      <c r="A14" s="1017"/>
      <c r="B14" s="2215" t="s">
        <v>2189</v>
      </c>
      <c r="C14" s="2216"/>
      <c r="D14" s="2216">
        <v>40</v>
      </c>
      <c r="E14" s="2216"/>
      <c r="F14" s="2216"/>
      <c r="G14" s="2216"/>
      <c r="H14" s="2216"/>
      <c r="I14" s="2216"/>
      <c r="J14" s="2799"/>
      <c r="K14" s="2396"/>
      <c r="L14" s="2396"/>
      <c r="M14" s="2242"/>
      <c r="N14" s="1668"/>
      <c r="O14" s="2242"/>
      <c r="P14" s="2242"/>
      <c r="Q14" s="2242"/>
      <c r="AD14" s="1616"/>
    </row>
    <row r="15" spans="1:30">
      <c r="A15" s="312"/>
      <c r="B15" s="2217" t="s">
        <v>2190</v>
      </c>
      <c r="C15" s="2218" t="str">
        <f>IF(A13="出让",IF(C13="","",ROUNDDOWN(MIN((C13-$D$3)/365,C14),2)),C14)</f>
        <v/>
      </c>
      <c r="D15" s="2218">
        <f>IF(A13="出让",IF(D13="","",ROUNDDOWN(MIN((D13-$D$3)/365,D14),2)),D14)</f>
        <v>19.72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0"/>
      <c r="K15" s="1668"/>
      <c r="L15" s="1668"/>
      <c r="M15" s="2242"/>
      <c r="N15" s="1668"/>
      <c r="O15" s="2242"/>
      <c r="P15" s="2242"/>
      <c r="Q15" s="2242"/>
      <c r="AD15" s="1616"/>
    </row>
    <row r="16" spans="1:30">
      <c r="A16" s="2209" t="s">
        <v>2191</v>
      </c>
      <c r="B16" s="3216" t="s">
        <v>3440</v>
      </c>
      <c r="C16" s="3217"/>
      <c r="D16" s="3218"/>
      <c r="E16" s="2219" t="s">
        <v>2192</v>
      </c>
      <c r="F16" s="3219">
        <f>D15</f>
        <v>19.72</v>
      </c>
      <c r="G16" s="3220"/>
      <c r="H16" s="3220"/>
      <c r="I16" s="3221"/>
      <c r="J16" s="2242"/>
      <c r="K16" s="2400"/>
      <c r="L16" s="1668"/>
      <c r="M16" s="1668"/>
      <c r="N16" s="2242"/>
      <c r="O16" s="1668"/>
      <c r="P16" s="2242"/>
      <c r="Q16" s="2242"/>
      <c r="R16" s="2242"/>
    </row>
    <row r="17" spans="1:28">
      <c r="A17" s="305" t="s">
        <v>2193</v>
      </c>
      <c r="B17" s="294" t="s">
        <v>2194</v>
      </c>
      <c r="C17" s="8">
        <f>'数据-汇总表'!E3</f>
        <v>247.16</v>
      </c>
      <c r="D17" s="1254" t="s">
        <v>2195</v>
      </c>
      <c r="E17" s="3222" t="s">
        <v>2196</v>
      </c>
      <c r="F17" s="3223"/>
      <c r="G17" s="3223"/>
      <c r="H17" s="3223"/>
      <c r="I17" s="3224"/>
      <c r="J17" s="2242"/>
      <c r="K17" s="2401"/>
      <c r="L17" s="1668"/>
      <c r="M17" s="1668"/>
      <c r="N17" s="2242"/>
      <c r="O17" s="1668"/>
      <c r="P17" s="2242"/>
      <c r="Q17" s="2242"/>
      <c r="R17" s="2242"/>
      <c r="S17" s="2242"/>
      <c r="T17" s="2242"/>
      <c r="U17" s="2242"/>
      <c r="V17" s="2242"/>
    </row>
    <row r="18" spans="1:28" ht="24.6" thickBot="1">
      <c r="A18" s="2220" t="s">
        <v>2197</v>
      </c>
      <c r="B18" s="1026" t="s">
        <v>2198</v>
      </c>
      <c r="C18" s="2221">
        <f>'数据-汇总表'!D3</f>
        <v>0</v>
      </c>
      <c r="D18" s="1028" t="s">
        <v>2199</v>
      </c>
      <c r="E18" s="3225" t="s">
        <v>2200</v>
      </c>
      <c r="F18" s="3226"/>
      <c r="G18" s="3226"/>
      <c r="H18" s="3226"/>
      <c r="I18" s="3227"/>
      <c r="J18" s="2242"/>
      <c r="K18" s="2401"/>
      <c r="L18" s="1668"/>
      <c r="M18" s="1668"/>
      <c r="N18" s="2242"/>
      <c r="O18" s="1668"/>
      <c r="P18" s="2242"/>
      <c r="Q18" s="2242"/>
      <c r="R18" s="2242"/>
      <c r="S18" s="2242"/>
      <c r="T18" s="2242"/>
      <c r="U18" s="2242"/>
      <c r="V18" s="2242"/>
    </row>
    <row r="19" spans="1:28" ht="37.200000000000003" thickTop="1" thickBot="1">
      <c r="A19" s="319" t="s">
        <v>1055</v>
      </c>
      <c r="B19" s="299" t="s">
        <v>2201</v>
      </c>
      <c r="C19" s="1453" t="s">
        <v>3445</v>
      </c>
      <c r="D19" s="1454" t="s">
        <v>2202</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2203</v>
      </c>
      <c r="B20" s="3212" t="s">
        <v>2204</v>
      </c>
      <c r="C20" s="3213"/>
      <c r="D20" s="3214" t="s">
        <v>2205</v>
      </c>
      <c r="E20" s="3215"/>
      <c r="F20" s="2427" t="s">
        <v>1056</v>
      </c>
      <c r="G20" s="2439"/>
      <c r="H20" s="2439"/>
      <c r="I20" s="2439"/>
      <c r="J20" s="2242"/>
      <c r="K20" s="321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4"/>
      <c r="B21" s="2415" t="s">
        <v>2207</v>
      </c>
      <c r="C21" s="2293" t="s">
        <v>1057</v>
      </c>
      <c r="D21" s="1458" t="s">
        <v>2208</v>
      </c>
      <c r="E21" s="2416" t="s">
        <v>1057</v>
      </c>
      <c r="F21" s="2428"/>
      <c r="G21" s="2439"/>
      <c r="H21" s="2439"/>
      <c r="I21" s="2439"/>
      <c r="J21" s="2242"/>
      <c r="K21" s="32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4"/>
      <c r="B22" s="2417" t="s">
        <v>2209</v>
      </c>
      <c r="C22" s="2293" t="s">
        <v>1058</v>
      </c>
      <c r="D22" s="2439"/>
      <c r="E22" s="2439"/>
      <c r="F22" s="2439"/>
      <c r="G22" s="2439"/>
      <c r="H22" s="2439"/>
      <c r="I22" s="2439"/>
      <c r="J22" s="2242"/>
      <c r="K22" s="32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2210</v>
      </c>
      <c r="B23" s="2290" t="s">
        <v>2211</v>
      </c>
      <c r="C23" s="2419"/>
      <c r="D23" s="2420" t="s">
        <v>2211</v>
      </c>
      <c r="E23" s="2421"/>
      <c r="F23" s="2439"/>
      <c r="G23" s="2439"/>
      <c r="H23" s="2439"/>
      <c r="I23" s="2439"/>
      <c r="J23" s="2242"/>
      <c r="K23" s="2398"/>
      <c r="L23" s="121"/>
      <c r="M23" s="2396"/>
      <c r="N23" s="2242"/>
      <c r="O23" s="1668"/>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8"/>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229" t="s">
        <v>2212</v>
      </c>
      <c r="B27" s="312" t="s">
        <v>2213</v>
      </c>
      <c r="C27" s="2222" t="s">
        <v>3441</v>
      </c>
      <c r="D27" s="2223"/>
      <c r="E27" s="2439"/>
      <c r="F27" s="2439"/>
      <c r="G27" s="2439"/>
      <c r="H27" s="2439"/>
      <c r="I27" s="2439"/>
      <c r="J27" s="2242"/>
      <c r="K27" s="2400"/>
      <c r="L27" s="1668"/>
      <c r="M27" s="1668"/>
      <c r="N27" s="2242"/>
      <c r="O27" s="1668"/>
      <c r="P27" s="2242"/>
      <c r="Q27" s="2242"/>
      <c r="R27" s="2242"/>
      <c r="S27" s="2242"/>
      <c r="T27" s="2242"/>
      <c r="U27" s="2242"/>
      <c r="V27" s="2242"/>
    </row>
    <row r="28" spans="1:28">
      <c r="A28" s="3229"/>
      <c r="B28" s="294" t="s">
        <v>2214</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229"/>
      <c r="B29" s="294" t="s">
        <v>2215</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230"/>
      <c r="B30" s="294" t="s">
        <v>2216</v>
      </c>
      <c r="C30" s="3231"/>
      <c r="D30" s="3232"/>
      <c r="E30" s="2439"/>
      <c r="F30" s="2439"/>
      <c r="G30" s="2439"/>
      <c r="H30" s="2439"/>
      <c r="I30" s="2439"/>
      <c r="J30" s="2242"/>
      <c r="K30" s="2399"/>
      <c r="L30" s="2396"/>
      <c r="M30" s="2396"/>
      <c r="N30" s="2242"/>
      <c r="O30" s="1668"/>
      <c r="P30" s="2242"/>
      <c r="Q30" s="2242"/>
      <c r="R30" s="2242"/>
      <c r="S30" s="2242"/>
      <c r="T30" s="2242"/>
      <c r="U30" s="2242"/>
      <c r="V30" s="2242"/>
    </row>
    <row r="31" spans="1:28">
      <c r="A31" s="3233" t="s">
        <v>2217</v>
      </c>
      <c r="B31" s="2228" t="s">
        <v>3442</v>
      </c>
      <c r="C31" s="12" t="str">
        <f>IF(B31="现房","成新及维护状况正常否",IF(B31="在建","工程状态是否正常",IF(B31="土地","是否闲置","-")))</f>
        <v>成新及维护状况正常否</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234"/>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234"/>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4" t="s">
        <v>2218</v>
      </c>
      <c r="B34" s="1868"/>
      <c r="C34" s="1868"/>
      <c r="D34" s="1868"/>
      <c r="E34" s="1868"/>
      <c r="F34" s="1868"/>
      <c r="G34" s="1868"/>
      <c r="H34" s="1868"/>
      <c r="I34" s="2439"/>
      <c r="J34" s="2242"/>
      <c r="K34" s="8">
        <f>COUNTIF(B34:H34,"——")</f>
        <v>0</v>
      </c>
      <c r="L34" s="315" t="s">
        <v>2219</v>
      </c>
      <c r="M34" s="315" t="s">
        <v>2220</v>
      </c>
      <c r="N34" s="315" t="s">
        <v>2221</v>
      </c>
      <c r="O34" s="315" t="s">
        <v>2222</v>
      </c>
      <c r="P34" s="315" t="s">
        <v>2223</v>
      </c>
      <c r="Q34" s="315" t="s">
        <v>2224</v>
      </c>
      <c r="R34" s="315" t="s">
        <v>2225</v>
      </c>
      <c r="S34" s="3228" t="s">
        <v>2226</v>
      </c>
      <c r="T34" s="315" t="str">
        <f>NUMBERSTRING(7-K34,1)&amp;"通"</f>
        <v>七通</v>
      </c>
      <c r="U34" s="2242"/>
      <c r="V34" s="2242"/>
    </row>
    <row r="35" spans="1:30">
      <c r="A35" s="2233"/>
      <c r="B35" s="3228" t="s">
        <v>2227</v>
      </c>
      <c r="C35" s="3228"/>
      <c r="D35" s="3228"/>
      <c r="E35" s="322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2"/>
      <c r="V35" s="2242"/>
    </row>
    <row r="36" spans="1:30">
      <c r="A36" s="2181"/>
      <c r="B36" s="8" t="s">
        <v>2183</v>
      </c>
      <c r="C36" s="8" t="s">
        <v>2184</v>
      </c>
      <c r="D36" s="8" t="s">
        <v>2182</v>
      </c>
      <c r="E36" s="8" t="s">
        <v>2187</v>
      </c>
      <c r="F36" s="2796" t="s">
        <v>2579</v>
      </c>
      <c r="G36" s="2439"/>
      <c r="H36" s="2439"/>
      <c r="I36" s="2439"/>
      <c r="J36" s="2242"/>
      <c r="K36" s="2399"/>
      <c r="L36" s="2396"/>
      <c r="M36" s="2396"/>
      <c r="N36" s="2242"/>
      <c r="O36" s="1668"/>
      <c r="P36" s="2242"/>
      <c r="Q36" s="2242"/>
      <c r="R36" s="2242"/>
      <c r="S36" s="2242"/>
      <c r="T36" s="2242"/>
      <c r="U36" s="2242"/>
      <c r="V36" s="2242"/>
    </row>
    <row r="37" spans="1:30">
      <c r="A37" s="2412" t="s">
        <v>2228</v>
      </c>
      <c r="B37" s="2234" t="s">
        <v>303</v>
      </c>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2229</v>
      </c>
      <c r="B38" s="2235" t="s">
        <v>2983</v>
      </c>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2230</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2"/>
      <c r="K40" s="2398"/>
      <c r="L40" s="1668"/>
      <c r="M40" s="1668"/>
      <c r="N40" s="2242"/>
      <c r="O40" s="1668"/>
      <c r="P40" s="2242"/>
      <c r="Q40" s="2242"/>
      <c r="R40" s="2242"/>
      <c r="S40" s="2242"/>
      <c r="T40" s="2242"/>
      <c r="U40" s="2242"/>
      <c r="V40" s="2242"/>
    </row>
    <row r="41" spans="1:30">
      <c r="A41" s="2239" t="s">
        <v>2231</v>
      </c>
      <c r="B41" s="1625"/>
      <c r="C41" s="1279"/>
      <c r="D41" s="2180"/>
      <c r="E41" s="2180"/>
      <c r="F41" s="2180"/>
      <c r="G41" s="2180"/>
      <c r="H41" s="2180"/>
      <c r="I41" s="1464"/>
      <c r="J41" s="2242"/>
      <c r="K41" s="2399"/>
      <c r="L41" s="2396"/>
      <c r="M41" s="2396"/>
      <c r="N41" s="2242"/>
      <c r="O41" s="1668"/>
      <c r="P41" s="2242"/>
      <c r="Q41" s="2242"/>
      <c r="R41" s="2242"/>
      <c r="S41" s="2242"/>
      <c r="T41" s="2242"/>
      <c r="U41" s="2242"/>
      <c r="V41" s="2242"/>
    </row>
    <row r="42" spans="1:30" ht="25.2">
      <c r="A42" s="315"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1268.5999999999999</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1268.5999999999999</v>
      </c>
      <c r="H5" s="13">
        <f t="shared" ref="H5:AT5" si="0">SUM(H13:H656)</f>
        <v>1268.5999999999999</v>
      </c>
      <c r="I5" s="13">
        <f t="shared" si="0"/>
        <v>1268.5999999999999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247.16</v>
      </c>
      <c r="BA5" s="15">
        <f t="shared" si="1"/>
        <v>247.16</v>
      </c>
      <c r="BB5" s="15">
        <f t="shared" si="1"/>
        <v>247.16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1091</v>
      </c>
      <c r="I9" s="1489" t="s">
        <v>3446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3.2">
      <c r="A10" s="1480"/>
      <c r="B10" s="1480"/>
      <c r="C10" s="1480"/>
      <c r="D10" s="1480"/>
      <c r="E10" s="1480"/>
      <c r="F10" s="1480"/>
      <c r="G10" s="1006"/>
      <c r="H10" s="25"/>
      <c r="I10" s="1489" t="s">
        <v>673</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t="str">
        <f>面积及租赁合同!H3</f>
        <v>6-202</v>
      </c>
      <c r="D13" s="1511"/>
      <c r="E13" s="13">
        <f>IF($C$3="是",ROUND($A$3*G13/$B$3,2),ROUND($A$3*(G13-AT13)/$B$3,2))</f>
        <v>0</v>
      </c>
      <c r="F13" s="29"/>
      <c r="G13" s="30">
        <f>H13+AC13+AT13</f>
        <v>64.790000000000006</v>
      </c>
      <c r="H13" s="17">
        <f>SUMIF(I$12:AB$12,"总值",I13:AB13)</f>
        <v>64.790000000000006</v>
      </c>
      <c r="I13" s="1512">
        <f>面积及租赁合同!I3</f>
        <v>64.790000000000006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t="str">
        <f t="shared" si="6"/>
        <v>6-202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627" t="str">
        <f>面积及租赁合同!H4</f>
        <v>6-203</v>
      </c>
      <c r="D14" s="1511" t="s">
        <v>3445</v>
      </c>
      <c r="E14" s="13">
        <f>IF($C$3="是",ROUND($A$3*G14/$B$3,2),ROUND($A$3*(G14-AT14)/$B$3,2))</f>
        <v>0</v>
      </c>
      <c r="F14" s="29"/>
      <c r="G14" s="30">
        <f>H14+AC14+AT14</f>
        <v>247.16</v>
      </c>
      <c r="H14" s="17">
        <f>SUMIF(I$12:AB$12,"总值",I14:AB14)</f>
        <v>247.16</v>
      </c>
      <c r="I14" s="1512">
        <f>面积及租赁合同!I4</f>
        <v>247.16</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t="str">
        <f t="shared" si="6"/>
        <v>6-203</v>
      </c>
      <c r="AY14" s="1258">
        <f>ROUND($AY$6*AZ14/$AZ$5,2)</f>
        <v>0</v>
      </c>
      <c r="AZ14" s="13">
        <f>BA14+BL14</f>
        <v>247.16</v>
      </c>
      <c r="BA14" s="13">
        <f>SUM(BB14:BK14)</f>
        <v>247.16</v>
      </c>
      <c r="BB14" s="13">
        <f>IF($D14="是",I14-J14,0)</f>
        <v>247.16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627" t="str">
        <f>面积及租赁合同!H5</f>
        <v>6-205</v>
      </c>
      <c r="D15" s="1511"/>
      <c r="E15" s="13">
        <f>IF($C$3="是",ROUND($A$3*G15/$B$3,2),ROUND($A$3*(G15-AT15)/$B$3,2))</f>
        <v>0</v>
      </c>
      <c r="F15" s="29"/>
      <c r="G15" s="30">
        <f>H15+AC15+AT15</f>
        <v>137.59</v>
      </c>
      <c r="H15" s="17">
        <f>SUMIF(I$12:AB$12,"总值",I15:AB15)</f>
        <v>137.59</v>
      </c>
      <c r="I15" s="1512">
        <f>面积及租赁合同!I5</f>
        <v>137.59</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t="str">
        <f t="shared" si="6"/>
        <v>6-205</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627" t="str">
        <f>面积及租赁合同!H6</f>
        <v>6-206</v>
      </c>
      <c r="D16" s="1511"/>
      <c r="E16" s="13">
        <f>IF($C$3="是",ROUND($A$3*G16/$B$3,2),ROUND($A$3*(G16-AT16)/$B$3,2))</f>
        <v>0</v>
      </c>
      <c r="F16" s="29"/>
      <c r="G16" s="30">
        <f>H16+AC16+AT16</f>
        <v>65.73</v>
      </c>
      <c r="H16" s="17">
        <f>SUMIF(I$12:AB$12,"总值",I16:AB16)</f>
        <v>65.73</v>
      </c>
      <c r="I16" s="1512">
        <f>面积及租赁合同!I6</f>
        <v>65.73</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t="str">
        <f t="shared" si="6"/>
        <v>6-206</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627" t="str">
        <f>面积及租赁合同!H7</f>
        <v>6-207</v>
      </c>
      <c r="D17" s="1511"/>
      <c r="E17" s="13">
        <f>IF($C$3="是",ROUND($A$3*G17/$B$3,2),ROUND($A$3*(G17-AT17)/$B$3,2))</f>
        <v>0</v>
      </c>
      <c r="F17" s="29"/>
      <c r="G17" s="30">
        <f>H17+AC17+AT17</f>
        <v>65.91</v>
      </c>
      <c r="H17" s="17">
        <f>SUMIF(I$12:AB$12,"总值",I17:AB17)</f>
        <v>65.91</v>
      </c>
      <c r="I17" s="1512">
        <f>面积及租赁合同!I7</f>
        <v>65.91</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t="str">
        <f t="shared" si="6"/>
        <v>6-207</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7" t="str">
        <f>面积及租赁合同!H8</f>
        <v>6-208</v>
      </c>
      <c r="D18" s="1514"/>
      <c r="E18" s="32">
        <f t="shared" ref="E18:E112" si="7">IF($C$3="是",ROUND($A$3*G18/$B$3,2),ROUND($A$3*(G18-AT18)/$B$3,2))</f>
        <v>0</v>
      </c>
      <c r="F18" s="33"/>
      <c r="G18" s="34">
        <f t="shared" ref="G18:G109" si="8">H18+AC18+AT18</f>
        <v>318.62</v>
      </c>
      <c r="H18" s="35">
        <f t="shared" ref="H18:H109" si="9">SUMIF(I$12:AB$12,"总值",I18:AB18)</f>
        <v>318.62</v>
      </c>
      <c r="I18" s="1512">
        <f>面积及租赁合同!I8</f>
        <v>318.62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t="str">
        <f t="shared" ref="AX18:AX112" si="13">C18</f>
        <v>6-208</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t="str">
        <f>面积及租赁合同!H9</f>
        <v>6-209</v>
      </c>
      <c r="D19" s="1514"/>
      <c r="E19" s="32">
        <f t="shared" si="7"/>
        <v>0</v>
      </c>
      <c r="F19" s="33"/>
      <c r="G19" s="34">
        <f t="shared" si="8"/>
        <v>242.93</v>
      </c>
      <c r="H19" s="35">
        <f t="shared" si="9"/>
        <v>242.93</v>
      </c>
      <c r="I19" s="1512">
        <f>面积及租赁合同!I9</f>
        <v>242.93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t="str">
        <f t="shared" si="13"/>
        <v>6-209</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t="str">
        <f>面积及租赁合同!H10</f>
        <v>6-210</v>
      </c>
      <c r="D20" s="1514"/>
      <c r="E20" s="32">
        <f t="shared" si="7"/>
        <v>0</v>
      </c>
      <c r="F20" s="33"/>
      <c r="G20" s="34">
        <f t="shared" si="8"/>
        <v>125.87</v>
      </c>
      <c r="H20" s="35">
        <f t="shared" si="9"/>
        <v>125.87</v>
      </c>
      <c r="I20" s="1512">
        <f>面积及租赁合同!I10</f>
        <v>125.87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t="str">
        <f t="shared" si="13"/>
        <v>6-210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44" t="s">
        <v>1131</v>
      </c>
      <c r="B2" s="3244"/>
      <c r="C2" s="3244"/>
      <c r="D2" s="747" t="s">
        <v>1107</v>
      </c>
      <c r="E2" s="1521" t="s">
        <v>1108</v>
      </c>
      <c r="F2" s="2436"/>
      <c r="G2" s="2429"/>
      <c r="H2" s="2430"/>
      <c r="I2" s="2144" t="s">
        <v>1132</v>
      </c>
      <c r="J2" s="2436"/>
      <c r="K2" s="2436"/>
      <c r="L2" s="2436"/>
      <c r="M2" s="2436"/>
      <c r="N2" s="2437"/>
      <c r="O2" s="2436"/>
      <c r="P2" s="2436"/>
    </row>
    <row r="3" spans="1:16" ht="15" thickBot="1">
      <c r="A3" s="3245" t="s">
        <v>1105</v>
      </c>
      <c r="B3" s="3245"/>
      <c r="C3" s="3245"/>
      <c r="D3" s="41">
        <f>'数据-基础表'!AY6</f>
        <v>0</v>
      </c>
      <c r="E3" s="41">
        <f>'数据-基础表'!AZ5</f>
        <v>247.16</v>
      </c>
      <c r="F3" s="2436"/>
      <c r="G3" s="42"/>
      <c r="H3" s="43" t="s">
        <v>1106</v>
      </c>
      <c r="I3" s="801" t="e">
        <f>ROUND('数据-基础表'!B3/'数据-基础表'!A3,2)</f>
        <v>#DIV/0!</v>
      </c>
      <c r="J3" s="2436"/>
      <c r="K3" s="2436"/>
      <c r="L3" s="2436"/>
      <c r="M3" s="2436"/>
      <c r="N3" s="2437"/>
      <c r="O3" s="2436"/>
      <c r="P3" s="2436"/>
    </row>
    <row r="4" spans="1:16" ht="14.4">
      <c r="A4" s="3246"/>
      <c r="B4" s="3247"/>
      <c r="C4" s="3248"/>
      <c r="D4" s="1522" t="s">
        <v>1107</v>
      </c>
      <c r="E4" s="1523"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49" t="s">
        <v>1110</v>
      </c>
      <c r="C5" s="3249"/>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5"/>
      <c r="B6" s="3249" t="s">
        <v>1111</v>
      </c>
      <c r="C6" s="3249"/>
      <c r="D6" s="43">
        <f>ROUND($D$3*E6/$E$3,2)</f>
        <v>0</v>
      </c>
      <c r="E6" s="44">
        <f>E3-E5</f>
        <v>247.16</v>
      </c>
      <c r="F6" s="2436"/>
      <c r="G6" s="1527" t="s">
        <v>1112</v>
      </c>
      <c r="H6" s="45" t="s">
        <v>1113</v>
      </c>
      <c r="I6" s="2432" t="e">
        <f>ROUND(F31/D31,2)</f>
        <v>#DIV/0!</v>
      </c>
      <c r="J6" s="2436"/>
      <c r="K6" s="2436"/>
      <c r="L6" s="2436"/>
      <c r="M6" s="2436"/>
      <c r="N6" s="2436"/>
      <c r="O6" s="2436"/>
      <c r="P6" s="2436"/>
    </row>
    <row r="7" spans="1:16" ht="15" thickBot="1">
      <c r="A7" s="3241"/>
      <c r="B7" s="3242"/>
      <c r="C7" s="3243"/>
      <c r="D7" s="1522" t="s">
        <v>1107</v>
      </c>
      <c r="E7" s="1526"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247.16</v>
      </c>
      <c r="F8" s="2436"/>
      <c r="G8" s="2436"/>
      <c r="H8" s="2436"/>
      <c r="I8" s="2436"/>
      <c r="J8" s="2436"/>
      <c r="K8" s="2436"/>
      <c r="L8" s="2436"/>
      <c r="M8" s="2436"/>
      <c r="N8" s="2436"/>
      <c r="O8" s="2436"/>
      <c r="P8" s="2436"/>
    </row>
    <row r="9" spans="1:16" ht="14.4">
      <c r="A9" s="1527"/>
      <c r="B9" s="1528"/>
      <c r="C9" s="43" t="s">
        <v>1119</v>
      </c>
      <c r="D9" s="43">
        <f t="shared" si="0"/>
        <v>0</v>
      </c>
      <c r="E9" s="47">
        <v>0</v>
      </c>
      <c r="F9" s="2436"/>
      <c r="G9" s="2436"/>
      <c r="H9" s="2436"/>
      <c r="I9" s="2436"/>
      <c r="J9" s="2436"/>
      <c r="K9" s="2436"/>
      <c r="L9" s="2436"/>
      <c r="M9" s="2436"/>
      <c r="N9" s="2436"/>
      <c r="O9" s="2436"/>
      <c r="P9" s="2436"/>
    </row>
    <row r="10" spans="1:16" ht="14.4">
      <c r="A10" s="1527"/>
      <c r="B10" s="1528"/>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1123</v>
      </c>
      <c r="D16" s="45">
        <f>SUM(D8:D15)</f>
        <v>0</v>
      </c>
      <c r="E16" s="48">
        <f>SUM(E8:E15)</f>
        <v>247.16</v>
      </c>
      <c r="F16" s="2436"/>
      <c r="G16" s="2436"/>
      <c r="H16" s="1529" t="s">
        <v>1135</v>
      </c>
      <c r="I16" s="1530"/>
      <c r="J16" s="1069"/>
      <c r="K16" s="3238" t="s">
        <v>1135</v>
      </c>
      <c r="L16" s="3239"/>
      <c r="M16" s="3239"/>
      <c r="N16" s="3239"/>
      <c r="O16" s="3239"/>
      <c r="P16" s="3240"/>
    </row>
    <row r="17" spans="1:19" ht="14.4">
      <c r="A17" s="1531" t="s">
        <v>1136</v>
      </c>
      <c r="B17" s="1532" t="s">
        <v>1137</v>
      </c>
      <c r="C17" s="1533" t="s">
        <v>1138</v>
      </c>
      <c r="D17" s="1534" t="s">
        <v>1126</v>
      </c>
      <c r="E17" s="1535" t="s">
        <v>1127</v>
      </c>
      <c r="F17" s="1536"/>
      <c r="G17" s="1537"/>
      <c r="H17" s="1538" t="s">
        <v>1139</v>
      </c>
      <c r="I17" s="1539" t="s">
        <v>1124</v>
      </c>
      <c r="J17" s="1069"/>
      <c r="K17" s="3235" t="s">
        <v>1140</v>
      </c>
      <c r="L17" s="3236"/>
      <c r="M17" s="3237"/>
      <c r="N17" s="3235" t="s">
        <v>1141</v>
      </c>
      <c r="O17" s="3236"/>
      <c r="P17" s="3237"/>
      <c r="R17" s="768" t="s">
        <v>1142</v>
      </c>
      <c r="S17" s="54"/>
    </row>
    <row r="18" spans="1:19" ht="14.4">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3" t="s">
        <v>1151</v>
      </c>
      <c r="S18" s="43" t="s">
        <v>1152</v>
      </c>
    </row>
    <row r="19" spans="1:19" ht="14.4">
      <c r="A19" s="1547"/>
      <c r="B19" s="45" t="s">
        <v>1125</v>
      </c>
      <c r="C19" s="3111" t="str">
        <f>'数据-基础表'!C14</f>
        <v>6-203</v>
      </c>
      <c r="D19" s="43">
        <f>ROUND($D$3*E19/$E$3,2)</f>
        <v>0</v>
      </c>
      <c r="E19" s="51">
        <f t="shared" ref="E19:E26" si="1">SUM(F19:G19)</f>
        <v>247.16</v>
      </c>
      <c r="F19" s="2554">
        <f>'数据-基础表'!G14</f>
        <v>247.16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247.16</v>
      </c>
    </row>
    <row r="20" spans="1:19" ht="14.4">
      <c r="A20" s="1547"/>
      <c r="B20" s="45" t="s">
        <v>1153</v>
      </c>
      <c r="C20" s="3111"/>
      <c r="D20" s="43">
        <f t="shared" ref="D20:D26" si="6">ROUND($D$3*E20/$E$3,2)</f>
        <v>0</v>
      </c>
      <c r="E20" s="51">
        <f t="shared" si="1"/>
        <v>0</v>
      </c>
      <c r="F20" s="2554"/>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4"/>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1153</v>
      </c>
      <c r="C22" s="3111"/>
      <c r="D22" s="43">
        <f t="shared" si="6"/>
        <v>0</v>
      </c>
      <c r="E22" s="51">
        <f t="shared" si="1"/>
        <v>0</v>
      </c>
      <c r="F22" s="2554"/>
      <c r="G22" s="2555"/>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1153</v>
      </c>
      <c r="C23" s="3111"/>
      <c r="D23" s="43">
        <f>ROUND($D$3*E23/$E$3,2)</f>
        <v>0</v>
      </c>
      <c r="E23" s="51">
        <f>SUM(F23:G23)</f>
        <v>0</v>
      </c>
      <c r="F23" s="2554"/>
      <c r="G23" s="2555"/>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1153</v>
      </c>
      <c r="C24" s="3111"/>
      <c r="D24" s="43">
        <f>ROUND($D$3*E24/$E$3,2)</f>
        <v>0</v>
      </c>
      <c r="E24" s="51">
        <f>SUM(F24:G24)</f>
        <v>0</v>
      </c>
      <c r="F24" s="2554"/>
      <c r="G24" s="2555"/>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1153</v>
      </c>
      <c r="C25" s="3111"/>
      <c r="D25" s="43">
        <f t="shared" si="6"/>
        <v>0</v>
      </c>
      <c r="E25" s="51">
        <f t="shared" si="1"/>
        <v>0</v>
      </c>
      <c r="F25" s="2554"/>
      <c r="G25" s="2555"/>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247.16</v>
      </c>
      <c r="F27" s="1070">
        <f>IF(SUM(F19:F26)=E8,SUM(F19:F26),"地上面积有误")</f>
        <v>247.16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247.16</v>
      </c>
    </row>
    <row r="28" spans="1:19" ht="14.4">
      <c r="A28" s="1547"/>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1155</v>
      </c>
      <c r="C29" s="1553"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1154</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1158</v>
      </c>
      <c r="D31" s="642">
        <f>D27+D30</f>
        <v>0</v>
      </c>
      <c r="E31" s="642">
        <f>E27+E30</f>
        <v>247.16</v>
      </c>
      <c r="F31" s="643">
        <f>F27+F30</f>
        <v>247.16</v>
      </c>
      <c r="G31" s="644">
        <f>G27+G30</f>
        <v>0</v>
      </c>
      <c r="H31" s="2436"/>
      <c r="I31" s="2436"/>
      <c r="J31" s="2436"/>
      <c r="K31" s="2436"/>
      <c r="L31" s="2436"/>
      <c r="M31" s="2436"/>
      <c r="N31" s="2436"/>
      <c r="O31" s="2436"/>
      <c r="P31" s="2436"/>
    </row>
    <row r="32" spans="1:19" ht="14.4">
      <c r="A32" s="1524"/>
      <c r="B32" s="1524" t="s">
        <v>1159</v>
      </c>
      <c r="C32" s="1524"/>
      <c r="D32" s="1524"/>
      <c r="E32" s="989">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30" activePane="bottomRight" state="frozen"/>
      <selection activeCell="C50" sqref="C50"/>
      <selection pane="topRight" activeCell="C50" sqref="C50"/>
      <selection pane="bottomLeft" activeCell="C50" sqref="C50"/>
      <selection pane="bottomRight" activeCell="B38" sqref="B38"/>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 thickBot="1">
      <c r="A2" s="1560" t="s">
        <v>1161</v>
      </c>
      <c r="B2" s="983">
        <f>项目基本情况!D3</f>
        <v>45638</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5"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3447</v>
      </c>
      <c r="O5" s="1575" t="s">
        <v>1181</v>
      </c>
      <c r="P5" s="1578" t="s">
        <v>1182</v>
      </c>
      <c r="Q5" s="58" t="s">
        <v>1183</v>
      </c>
      <c r="R5" s="1579" t="s">
        <v>1184</v>
      </c>
      <c r="S5" s="1580" t="s">
        <v>1185</v>
      </c>
      <c r="T5" s="1581" t="s">
        <v>1186</v>
      </c>
      <c r="U5" s="984" t="s">
        <v>1187</v>
      </c>
      <c r="V5" s="504" t="s">
        <v>1188</v>
      </c>
      <c r="W5" s="504" t="s">
        <v>1189</v>
      </c>
      <c r="X5" s="60"/>
      <c r="Y5" s="59" t="s">
        <v>1190</v>
      </c>
      <c r="Z5" s="1099" t="s">
        <v>1187</v>
      </c>
      <c r="AA5" s="504" t="s">
        <v>1188</v>
      </c>
      <c r="AB5" s="504" t="s">
        <v>1189</v>
      </c>
      <c r="AC5" s="60"/>
      <c r="AD5" s="60" t="s">
        <v>1190</v>
      </c>
      <c r="AE5" s="984" t="s">
        <v>1191</v>
      </c>
      <c r="AF5" s="504" t="s">
        <v>1192</v>
      </c>
      <c r="AG5" s="59" t="s">
        <v>1193</v>
      </c>
      <c r="AH5" s="984" t="s">
        <v>1194</v>
      </c>
      <c r="AI5" s="1099" t="s">
        <v>1195</v>
      </c>
      <c r="AJ5" s="1099" t="s">
        <v>1196</v>
      </c>
      <c r="AK5" s="504" t="s">
        <v>1197</v>
      </c>
      <c r="AL5" s="504" t="s">
        <v>1198</v>
      </c>
      <c r="AM5" s="59" t="s">
        <v>1199</v>
      </c>
      <c r="AN5" s="1582" t="s">
        <v>1200</v>
      </c>
      <c r="AO5" s="1452" t="s">
        <v>1201</v>
      </c>
      <c r="AP5" s="967"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6-203</v>
      </c>
      <c r="B6" s="1585" t="str">
        <f>IF(A6=0,"","经营性")</f>
        <v>经营性</v>
      </c>
      <c r="C6" s="1586" t="s">
        <v>673</v>
      </c>
      <c r="D6" s="804">
        <f>SUMIF(项目基本情况!C$12:I$12,C6,项目基本情况!C$14:I$14)</f>
        <v>40</v>
      </c>
      <c r="E6" s="803">
        <f>IF(B6="","",SUMIF(项目基本情况!C$12:I$12,C6,项目基本情况!C$13:I$13))</f>
        <v>52837</v>
      </c>
      <c r="F6" s="61">
        <f>SUMIF(项目基本情况!C$12:I$12,C6,项目基本情况!C$15:I$15)</f>
        <v>19.72</v>
      </c>
      <c r="G6" s="62">
        <f>IF(ISERROR(ROUND(POWER(1+H6,D6-F6)*(POWER(1+H6,F6)-1)/(POWER(1+H6,D6)-1),3)),0,ROUND(POWER(1+H6,D6-F6)*(POWER(1+H6,F6)-1)/(POWER(1+H6,D6)-1),3))</f>
        <v>0.72</v>
      </c>
      <c r="H6" s="690">
        <v>0.05</v>
      </c>
      <c r="I6" s="690">
        <v>5.5E-2</v>
      </c>
      <c r="J6" s="63">
        <v>7.0000000000000007E-2</v>
      </c>
      <c r="K6" s="969">
        <f>SUMIF('数据-汇总表'!C$19:C$33,A6,'数据-汇总表'!E$19:E$33)</f>
        <v>247.16</v>
      </c>
      <c r="L6" s="691">
        <v>2500</v>
      </c>
      <c r="M6" s="64">
        <f t="shared" ref="M6:M14" si="0">ROUND(K6*L6/10000,0)</f>
        <v>62</v>
      </c>
      <c r="N6" s="689">
        <f>N21</f>
        <v>0.79</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1">
        <v>5</v>
      </c>
      <c r="V6" s="67">
        <v>0.02</v>
      </c>
      <c r="W6" s="67">
        <v>0.1</v>
      </c>
      <c r="X6" s="978"/>
      <c r="Y6" s="68">
        <f>N6</f>
        <v>0.79</v>
      </c>
      <c r="Z6" s="69"/>
      <c r="AA6" s="63"/>
      <c r="AB6" s="63"/>
      <c r="AC6" s="978"/>
      <c r="AD6" s="70"/>
      <c r="AE6" s="979">
        <f ca="1">IF(AN6="",0,SUMIF(INDIRECT("'"&amp;AN6&amp;"'"&amp;"!E:E"),$AE$5,INDIRECT("'"&amp;AN6&amp;"'"&amp;"!F:F")))</f>
        <v>19.72</v>
      </c>
      <c r="AF6" s="74"/>
      <c r="AG6" s="130">
        <f>IF(AF6="",0,AE6-AF6)</f>
        <v>0</v>
      </c>
      <c r="AH6" s="71"/>
      <c r="AI6" s="73">
        <v>365</v>
      </c>
      <c r="AJ6" s="74"/>
      <c r="AK6" s="75">
        <v>5.0000000000000001E-3</v>
      </c>
      <c r="AL6" s="76">
        <v>1E-3</v>
      </c>
      <c r="AM6" s="77">
        <v>5.0000000000000001E-3</v>
      </c>
      <c r="AN6" s="1587" t="s">
        <v>3475</v>
      </c>
      <c r="AO6" s="50">
        <f ca="1">SUMIF(INDIRECT("'"&amp;AN6&amp;"'"&amp;"!A:A"),"总价",INDIRECT("'"&amp;AN6&amp;"'"&amp;"!B:B"))</f>
        <v>468.56180000000001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2"/>
      <c r="V8" s="693"/>
      <c r="W8" s="693"/>
      <c r="X8" s="978"/>
      <c r="Y8" s="68"/>
      <c r="Z8" s="69"/>
      <c r="AA8" s="63"/>
      <c r="AB8" s="63"/>
      <c r="AC8" s="978"/>
      <c r="AD8" s="70"/>
      <c r="AE8" s="979">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1"/>
      <c r="V9" s="67"/>
      <c r="W9" s="67"/>
      <c r="X9" s="978"/>
      <c r="Y9" s="68"/>
      <c r="Z9" s="69"/>
      <c r="AA9" s="63"/>
      <c r="AB9" s="63"/>
      <c r="AC9" s="978"/>
      <c r="AD9" s="70"/>
      <c r="AE9" s="979">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3"/>
      <c r="V13" s="67"/>
      <c r="W13" s="67"/>
      <c r="X13" s="978"/>
      <c r="Y13" s="68"/>
      <c r="Z13" s="69"/>
      <c r="AA13" s="63"/>
      <c r="AB13" s="63"/>
      <c r="AC13" s="978"/>
      <c r="AD13" s="70"/>
      <c r="AE13" s="979">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30"/>
      <c r="AH14" s="979"/>
      <c r="AI14" s="1264"/>
      <c r="AJ14" s="50"/>
      <c r="AK14" s="980"/>
      <c r="AL14" s="981"/>
      <c r="AM14" s="982"/>
      <c r="AN14" s="2445"/>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30"/>
      <c r="AH15" s="979"/>
      <c r="AI15" s="1264"/>
      <c r="AJ15" s="50"/>
      <c r="AK15" s="980"/>
      <c r="AL15" s="981"/>
      <c r="AM15" s="982"/>
      <c r="AN15" s="2445"/>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2"/>
      <c r="D16" s="1592"/>
      <c r="E16" s="82"/>
      <c r="F16" s="82"/>
      <c r="G16" s="83">
        <f>ROUND(SUMPRODUCT(G6:G13,K6:K13)/SUMPRODUCT((G6:G13&gt;0)*(K6:K13)),3)</f>
        <v>0.72</v>
      </c>
      <c r="H16" s="84">
        <f>ROUND(SUMPRODUCT(H6:H13,K6:K13)/SUMPRODUCT((H6:H13&gt;0)*(K6:K13)),3)</f>
        <v>0.05</v>
      </c>
      <c r="I16" s="85"/>
      <c r="J16" s="85"/>
      <c r="K16" s="86">
        <f>SUM(K6:K15)</f>
        <v>247.16</v>
      </c>
      <c r="L16" s="87">
        <f>ROUND(M16*10000/SUM(K6:K14),0)</f>
        <v>2508</v>
      </c>
      <c r="M16" s="87">
        <f>SUM(M6:M14)</f>
        <v>62</v>
      </c>
      <c r="N16" s="88">
        <f>ROUND(SUMPRODUCT(M6:M14,N6:N14)/M16,3)</f>
        <v>0.79</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44" t="s">
        <v>3448</v>
      </c>
      <c r="N18" s="2445">
        <v>2008</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4" t="s">
        <v>1211</v>
      </c>
      <c r="B19" s="97">
        <v>0</v>
      </c>
      <c r="C19" s="2556" t="s">
        <v>2301</v>
      </c>
      <c r="D19" s="2448"/>
      <c r="E19" s="2436"/>
      <c r="F19" s="2436"/>
      <c r="G19" s="2436"/>
      <c r="H19" s="2436"/>
      <c r="I19" s="2436"/>
      <c r="J19" s="2436"/>
      <c r="K19" s="2446"/>
      <c r="L19" s="2446"/>
      <c r="M19" s="3144" t="s">
        <v>3449</v>
      </c>
      <c r="N19" s="2445">
        <f>ROUND(1-(1-0)*(2024-N18)/60,2)</f>
        <v>0.73</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5" t="s">
        <v>1212</v>
      </c>
      <c r="B20" s="98">
        <v>2</v>
      </c>
      <c r="C20" s="2557" t="s">
        <v>2299</v>
      </c>
      <c r="D20" s="2448"/>
      <c r="E20" s="2436"/>
      <c r="F20" s="2436"/>
      <c r="G20" s="2436"/>
      <c r="H20" s="2436"/>
      <c r="I20" s="2436"/>
      <c r="J20" s="2436"/>
      <c r="K20" s="2446"/>
      <c r="L20" s="2446"/>
      <c r="M20" s="3144" t="s">
        <v>3450</v>
      </c>
      <c r="N20" s="2445">
        <v>0.85</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6" t="s">
        <v>1213</v>
      </c>
      <c r="B21" s="98">
        <f>B20</f>
        <v>2</v>
      </c>
      <c r="C21" s="2436"/>
      <c r="D21" s="2448"/>
      <c r="E21" s="2436"/>
      <c r="F21" s="2436"/>
      <c r="G21" s="2436"/>
      <c r="H21" s="2436"/>
      <c r="I21" s="2436"/>
      <c r="J21" s="2436"/>
      <c r="K21" s="2446"/>
      <c r="L21" s="2446"/>
      <c r="M21" s="3144" t="s">
        <v>3451</v>
      </c>
      <c r="N21" s="2445">
        <f>ROUND((N19+N20)/2,2)</f>
        <v>0.79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5"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6"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7"/>
      <c r="B25" s="1540"/>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599" t="s">
        <v>1220</v>
      </c>
      <c r="B27" s="101">
        <v>160</v>
      </c>
      <c r="C27" s="2558" t="s">
        <v>2303</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0"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1" t="s">
        <v>1222</v>
      </c>
      <c r="B29" s="105">
        <f ca="1">'收益法 (元)'!C17/10000</f>
        <v>4.9432</v>
      </c>
      <c r="C29" s="2559" t="s">
        <v>2292</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2"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0"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3"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599" t="s">
        <v>1226</v>
      </c>
      <c r="B33" s="639">
        <v>0.05</v>
      </c>
      <c r="C33" s="2560" t="s">
        <v>3375</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0" t="s">
        <v>1227</v>
      </c>
      <c r="B34" s="106">
        <v>0</v>
      </c>
      <c r="C34" s="2560" t="s">
        <v>2293</v>
      </c>
      <c r="D34" s="2456" t="s">
        <v>2300</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0" t="s">
        <v>1228</v>
      </c>
      <c r="B35" s="103">
        <v>200</v>
      </c>
      <c r="C35" s="2560" t="s">
        <v>2294</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0.02</v>
      </c>
      <c r="C36" s="2560" t="s">
        <v>3376</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2" t="s">
        <v>1230</v>
      </c>
      <c r="B37" s="108">
        <v>0.02</v>
      </c>
      <c r="C37" s="2560" t="s">
        <v>2295</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0" t="s">
        <v>1231</v>
      </c>
      <c r="B38" s="106">
        <v>0.02</v>
      </c>
      <c r="C38" s="2560" t="s">
        <v>2295</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3"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69" t="s">
        <v>2310</v>
      </c>
      <c r="B40" s="1014">
        <f ca="1">IF(A40="利息：取LPR",存贷款利率!G1,存贷款利率!G1+C40)</f>
        <v>3.1E-2</v>
      </c>
      <c r="C40" s="2568">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599"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4"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4"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5" t="s">
        <v>1236</v>
      </c>
      <c r="B44" s="112">
        <v>7.0000000000000007E-2</v>
      </c>
      <c r="C44" s="2560" t="s">
        <v>2304</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5" t="s">
        <v>1237</v>
      </c>
      <c r="B45" s="110">
        <v>0.03</v>
      </c>
      <c r="C45" s="2559" t="s">
        <v>2296</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5" t="s">
        <v>1238</v>
      </c>
      <c r="B46" s="110">
        <v>0.02</v>
      </c>
      <c r="C46" s="2559" t="s">
        <v>2297</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c r="C47" s="2562"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7" t="s">
        <v>1240</v>
      </c>
      <c r="B48" s="114">
        <v>0.03</v>
      </c>
      <c r="C48" s="2559" t="s">
        <v>2296</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59" t="s">
        <v>2298</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8"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8"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0" t="s">
        <v>1245</v>
      </c>
      <c r="B53" s="1609" t="s">
        <v>303</v>
      </c>
      <c r="C53" s="2437" t="s">
        <v>1246</v>
      </c>
      <c r="D53" s="2561" t="s">
        <v>2302</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0"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0"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0"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0"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0" t="s">
        <v>1251</v>
      </c>
      <c r="B58" s="72">
        <f>C58</f>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0"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0"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0"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0"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250" t="s">
        <v>2284</v>
      </c>
      <c r="B1" s="3251"/>
      <c r="C1" s="3251"/>
      <c r="D1" s="3251"/>
      <c r="E1" s="3251"/>
      <c r="F1" s="3251"/>
      <c r="G1" s="325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2279</v>
      </c>
      <c r="D2" s="1593"/>
      <c r="E2" s="2257"/>
      <c r="F2" s="2260"/>
      <c r="G2" s="2259" t="s">
        <v>2280</v>
      </c>
      <c r="H2" s="750"/>
      <c r="I2" s="750"/>
      <c r="J2" s="750"/>
      <c r="K2" s="750"/>
      <c r="L2" s="750"/>
      <c r="M2" s="750"/>
      <c r="N2" s="750"/>
      <c r="O2" s="750"/>
      <c r="P2" s="750"/>
      <c r="Q2" s="750"/>
    </row>
    <row r="3" spans="1:29" ht="48">
      <c r="A3" s="2244" t="s">
        <v>2281</v>
      </c>
      <c r="B3" s="2261" t="s">
        <v>2250</v>
      </c>
      <c r="C3" s="2262" t="s">
        <v>2282</v>
      </c>
      <c r="D3" s="2263"/>
      <c r="E3" s="2245" t="s">
        <v>2281</v>
      </c>
      <c r="F3" s="2264" t="s">
        <v>2251</v>
      </c>
      <c r="G3" s="2265" t="s">
        <v>2283</v>
      </c>
      <c r="H3" s="750"/>
      <c r="I3" s="750"/>
      <c r="J3" s="750"/>
      <c r="K3" s="750"/>
      <c r="L3" s="750"/>
      <c r="M3" s="750"/>
      <c r="N3" s="750"/>
      <c r="O3" s="750"/>
      <c r="P3" s="750"/>
      <c r="Q3" s="750"/>
    </row>
    <row r="4" spans="1:29" ht="37.200000000000003">
      <c r="A4" s="2245"/>
      <c r="B4" s="315" t="s">
        <v>2252</v>
      </c>
      <c r="C4" s="2266" t="s">
        <v>2253</v>
      </c>
      <c r="D4" s="2263"/>
      <c r="E4" s="2267"/>
      <c r="F4" s="1279" t="s">
        <v>2254</v>
      </c>
      <c r="G4" s="2268" t="s">
        <v>2255</v>
      </c>
      <c r="H4" s="750"/>
      <c r="I4" s="750"/>
      <c r="J4" s="750"/>
      <c r="K4" s="750"/>
      <c r="L4" s="750"/>
      <c r="M4" s="750"/>
      <c r="N4" s="750"/>
      <c r="O4" s="750"/>
      <c r="P4" s="750"/>
      <c r="Q4" s="750"/>
    </row>
    <row r="5" spans="1:29" ht="37.200000000000003">
      <c r="A5" s="2245"/>
      <c r="B5" s="315" t="s">
        <v>2256</v>
      </c>
      <c r="C5" s="2266" t="s">
        <v>2257</v>
      </c>
      <c r="D5" s="2263"/>
      <c r="E5" s="2267"/>
      <c r="F5" s="315" t="s">
        <v>2258</v>
      </c>
      <c r="G5" s="2268" t="s">
        <v>2259</v>
      </c>
      <c r="H5" s="750"/>
      <c r="I5" s="750"/>
      <c r="J5" s="750"/>
      <c r="K5" s="750"/>
      <c r="L5" s="750"/>
      <c r="M5" s="750"/>
      <c r="N5" s="750"/>
      <c r="O5" s="750"/>
      <c r="P5" s="750"/>
      <c r="Q5" s="750"/>
    </row>
    <row r="6" spans="1:29" ht="48">
      <c r="A6" s="2245"/>
      <c r="B6" s="315" t="s">
        <v>2260</v>
      </c>
      <c r="C6" s="2268" t="s">
        <v>2255</v>
      </c>
      <c r="D6" s="2263"/>
      <c r="E6" s="2267"/>
      <c r="F6" s="315" t="s">
        <v>2261</v>
      </c>
      <c r="G6" s="2268" t="s">
        <v>2262</v>
      </c>
      <c r="H6" s="750"/>
      <c r="I6" s="750"/>
      <c r="J6" s="750"/>
      <c r="K6" s="750"/>
      <c r="L6" s="750"/>
      <c r="M6" s="750"/>
      <c r="N6" s="750"/>
      <c r="O6" s="750"/>
      <c r="P6" s="750"/>
      <c r="Q6" s="750"/>
    </row>
    <row r="7" spans="1:29" ht="36.6" thickBot="1">
      <c r="A7" s="2245"/>
      <c r="B7" s="315" t="s">
        <v>2258</v>
      </c>
      <c r="C7" s="2268" t="s">
        <v>2259</v>
      </c>
      <c r="D7" s="2242"/>
      <c r="E7" s="2269"/>
      <c r="F7" s="2270" t="s">
        <v>2263</v>
      </c>
      <c r="G7" s="2271" t="s">
        <v>2264</v>
      </c>
      <c r="H7" s="750"/>
      <c r="I7" s="750"/>
      <c r="J7" s="750"/>
      <c r="K7" s="750"/>
      <c r="L7" s="750"/>
      <c r="M7" s="750"/>
      <c r="N7" s="750"/>
      <c r="O7" s="750"/>
      <c r="P7" s="750"/>
      <c r="Q7" s="750"/>
    </row>
    <row r="8" spans="1:29" ht="24">
      <c r="A8" s="2245"/>
      <c r="B8" s="315" t="s">
        <v>2261</v>
      </c>
      <c r="C8" s="2268" t="s">
        <v>2262</v>
      </c>
      <c r="D8" s="2242"/>
      <c r="E8" s="2242"/>
      <c r="F8" s="121"/>
      <c r="G8" s="121"/>
      <c r="H8" s="750"/>
      <c r="I8" s="750"/>
      <c r="J8" s="750"/>
      <c r="K8" s="750"/>
      <c r="L8" s="750"/>
      <c r="M8" s="750"/>
      <c r="N8" s="750"/>
      <c r="O8" s="750"/>
      <c r="P8" s="750"/>
      <c r="Q8" s="750"/>
    </row>
    <row r="9" spans="1:29" ht="24">
      <c r="A9" s="2245"/>
      <c r="B9" s="315" t="s">
        <v>2265</v>
      </c>
      <c r="C9" s="2266" t="s">
        <v>2266</v>
      </c>
      <c r="D9" s="2263"/>
      <c r="E9" s="2242"/>
      <c r="F9" s="121"/>
      <c r="G9" s="121"/>
      <c r="H9" s="750"/>
      <c r="I9" s="750"/>
      <c r="J9" s="750"/>
      <c r="K9" s="750"/>
      <c r="L9" s="750"/>
      <c r="M9" s="750"/>
      <c r="N9" s="750"/>
      <c r="O9" s="750"/>
      <c r="P9" s="750"/>
      <c r="Q9" s="750"/>
    </row>
    <row r="10" spans="1:29" ht="14.4" thickBot="1">
      <c r="A10" s="2246"/>
      <c r="B10" s="2272" t="s">
        <v>2267</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2285</v>
      </c>
      <c r="B13" s="2277"/>
      <c r="C13" s="2277"/>
      <c r="D13" s="2276"/>
      <c r="E13" s="2277"/>
      <c r="F13" s="2277"/>
      <c r="G13" s="2277"/>
    </row>
    <row r="14" spans="1:29" ht="14.4" thickBot="1">
      <c r="A14" s="2282"/>
      <c r="B14" s="2282"/>
      <c r="C14" s="2283" t="s">
        <v>2268</v>
      </c>
      <c r="D14" s="2263"/>
      <c r="E14" s="2284"/>
      <c r="F14" s="2284"/>
      <c r="G14" s="2259" t="s">
        <v>2269</v>
      </c>
    </row>
    <row r="15" spans="1:29" ht="52.8">
      <c r="A15" s="2247" t="s">
        <v>2270</v>
      </c>
      <c r="B15" s="2285" t="s">
        <v>2250</v>
      </c>
      <c r="C15" s="2286" t="str">
        <f>C3</f>
        <v>估价对象周边居住用地比例、居住小区规模和社区发展完善程度，综合评价居住社区成熟度一般</v>
      </c>
      <c r="D15" s="2263"/>
      <c r="E15" s="2248" t="s">
        <v>2271</v>
      </c>
      <c r="F15" s="2285" t="s">
        <v>2272</v>
      </c>
      <c r="G15" s="2287" t="str">
        <f>G3</f>
        <v>估价对象位于XX开发区，园区建设成熟度XX，产业集聚程度XX</v>
      </c>
    </row>
    <row r="16" spans="1:29" ht="39.6">
      <c r="A16" s="2249"/>
      <c r="B16" s="2288" t="s">
        <v>2252</v>
      </c>
      <c r="C16" s="2289" t="str">
        <f>C4</f>
        <v>估价对象位于XX商圈，周边商业氛围成熟，人流量大，商业繁华度好</v>
      </c>
      <c r="D16" s="2263"/>
      <c r="E16" s="2250"/>
      <c r="F16" s="2290" t="s">
        <v>2254</v>
      </c>
      <c r="G16" s="2291" t="str">
        <f>G4</f>
        <v>估价对象周边道路状况、公共交通通达情况、停车便捷程度，综合评价交通便捷度较好</v>
      </c>
    </row>
    <row r="17" spans="1:17" ht="39.6">
      <c r="A17" s="2249"/>
      <c r="B17" s="2288" t="s">
        <v>2256</v>
      </c>
      <c r="C17" s="2289" t="str">
        <f>C5</f>
        <v>估价对象位于XX商圈，周边办公楼项目较多，入驻率高，办公集聚程度较好</v>
      </c>
      <c r="D17" s="2242"/>
      <c r="E17" s="2250"/>
      <c r="F17" s="2290" t="s">
        <v>2273</v>
      </c>
      <c r="G17" s="2292"/>
    </row>
    <row r="18" spans="1:17" ht="52.8">
      <c r="A18" s="2249"/>
      <c r="B18" s="2290" t="s">
        <v>2260</v>
      </c>
      <c r="C18" s="2291" t="str">
        <f>C6</f>
        <v>估价对象周边道路状况、公共交通通达情况、停车便捷程度，综合评价交通便捷度较好</v>
      </c>
      <c r="D18" s="2242"/>
      <c r="E18" s="2250"/>
      <c r="F18" s="2290" t="s">
        <v>2263</v>
      </c>
      <c r="G18" s="2291" t="str">
        <f>G7</f>
        <v>该园区内是否有污染型企业，绿化情况，卫生条件，整体环境状况判断</v>
      </c>
    </row>
    <row r="19" spans="1:17" ht="26.4">
      <c r="A19" s="2249"/>
      <c r="B19" s="2290" t="s">
        <v>2274</v>
      </c>
      <c r="C19" s="2292"/>
      <c r="D19" s="2263"/>
      <c r="E19" s="2250"/>
      <c r="F19" s="315" t="s">
        <v>2258</v>
      </c>
      <c r="G19" s="2291" t="str">
        <f>G5</f>
        <v>估价对象所在区域公共配套设施齐备情况</v>
      </c>
    </row>
    <row r="20" spans="1:17" ht="26.4">
      <c r="A20" s="2249"/>
      <c r="B20" s="2290" t="s">
        <v>2275</v>
      </c>
      <c r="C20" s="2289" t="str">
        <f>C9</f>
        <v>区域自然环境：；人文环境；综合评价环境状况一般</v>
      </c>
      <c r="D20" s="2242"/>
      <c r="E20" s="2250"/>
      <c r="F20" s="315" t="s">
        <v>2261</v>
      </c>
      <c r="G20" s="2291" t="str">
        <f>G6</f>
        <v>估价对象所在区域基础设施水平</v>
      </c>
    </row>
    <row r="21" spans="1:17" ht="26.4">
      <c r="A21" s="2249"/>
      <c r="B21" s="315" t="s">
        <v>2258</v>
      </c>
      <c r="C21" s="2291" t="str">
        <f>C7</f>
        <v>估价对象所在区域公共配套设施齐备情况</v>
      </c>
      <c r="D21" s="2263"/>
      <c r="E21" s="2250"/>
      <c r="F21" s="2290" t="s">
        <v>2276</v>
      </c>
      <c r="G21" s="2293"/>
    </row>
    <row r="22" spans="1:17" ht="13.5" customHeight="1">
      <c r="A22" s="2249"/>
      <c r="B22" s="315" t="s">
        <v>2261</v>
      </c>
      <c r="C22" s="2291" t="str">
        <f>C8</f>
        <v>估价对象所在区域基础设施水平</v>
      </c>
      <c r="D22" s="2263"/>
      <c r="E22" s="2250"/>
      <c r="F22" s="2290" t="s">
        <v>2267</v>
      </c>
      <c r="G22" s="2292"/>
    </row>
    <row r="23" spans="1:17" s="750" customFormat="1" ht="14.4" thickBot="1">
      <c r="A23" s="2249"/>
      <c r="B23" s="2290" t="s">
        <v>2276</v>
      </c>
      <c r="C23" s="2293"/>
      <c r="D23" s="1612"/>
      <c r="E23" s="2251"/>
      <c r="F23" s="2294" t="s">
        <v>2277</v>
      </c>
      <c r="G23" s="2295"/>
      <c r="H23" s="2274"/>
      <c r="I23" s="2274"/>
      <c r="J23" s="2274"/>
      <c r="K23" s="2274"/>
      <c r="L23" s="2274"/>
      <c r="M23" s="2274"/>
      <c r="N23" s="2274"/>
      <c r="O23" s="2274"/>
      <c r="P23" s="2274"/>
      <c r="Q23" s="2274"/>
    </row>
    <row r="24" spans="1:17" s="750" customFormat="1" ht="14.4" thickBot="1">
      <c r="A24" s="2252"/>
      <c r="B24" s="2294" t="s">
        <v>2278</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1268.5999999999999</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45638</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3074</v>
      </c>
      <c r="C5" s="2297">
        <f ca="1">IF(B5=D14,结果表!H102,ROUND(B5*10000/$B$1,0))</f>
        <v>23794</v>
      </c>
      <c r="D5" s="2297" t="e">
        <f ca="1">ROUND(B5*10000/$B$2,0)</f>
        <v>#DIV/0!</v>
      </c>
      <c r="E5" s="2458"/>
      <c r="F5" s="2459"/>
      <c r="G5" s="2459"/>
      <c r="H5" s="2459"/>
      <c r="I5" s="2459"/>
      <c r="J5" s="2459"/>
      <c r="K5" s="2459"/>
    </row>
    <row r="6" spans="1:11" ht="15.6">
      <c r="A6" s="2297" t="s">
        <v>656</v>
      </c>
      <c r="B6" s="2297">
        <f>SUM(G14:G23)</f>
        <v>0</v>
      </c>
      <c r="C6" s="2297">
        <f ca="1">IF(B6=G14,结果表!H108,ROUND(B6*10000/$B$1,0))</f>
        <v>23794</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2"/>
      <c r="C9" s="2458"/>
      <c r="D9" s="2458"/>
      <c r="E9" s="2458"/>
      <c r="F9" s="2459"/>
      <c r="G9" s="2459"/>
      <c r="H9" s="2459"/>
      <c r="I9" s="2459"/>
      <c r="J9" s="2459"/>
      <c r="K9" s="2459"/>
    </row>
    <row r="10" spans="1:11" ht="15.6">
      <c r="A10" s="2297" t="s">
        <v>654</v>
      </c>
      <c r="B10" s="2297">
        <f>IF(E10="",0,ROUND(B1*(E10*365/G10)/10000,0))</f>
        <v>0</v>
      </c>
      <c r="C10" s="2297" t="s">
        <v>3355</v>
      </c>
      <c r="D10" s="2297" t="s">
        <v>3356</v>
      </c>
      <c r="E10" s="3131"/>
      <c r="F10" s="3135" t="s">
        <v>3357</v>
      </c>
      <c r="G10" s="3132"/>
      <c r="H10" s="2459"/>
      <c r="I10" s="2459"/>
      <c r="J10" s="2459"/>
      <c r="K10" s="2459"/>
    </row>
    <row r="11" spans="1:11" ht="15.6">
      <c r="A11" s="2297" t="s">
        <v>670</v>
      </c>
      <c r="B11" s="1242"/>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典型户型修正!B22</f>
        <v>1268.5999999999999</v>
      </c>
      <c r="C14" s="2303"/>
      <c r="D14" s="2303">
        <f ca="1">典型户型修正!S22</f>
        <v>3074</v>
      </c>
      <c r="E14" s="2303">
        <f ca="1">ROUND(D14*10000/B14,0)</f>
        <v>24231</v>
      </c>
      <c r="F14" s="2303" t="e">
        <f ca="1">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2"/>
      <c r="H15" s="1242"/>
      <c r="I15" s="2304"/>
      <c r="J15" s="2459"/>
      <c r="K15" s="2459"/>
    </row>
    <row r="16" spans="1:11" ht="15.6">
      <c r="A16" s="2302" t="s">
        <v>648</v>
      </c>
      <c r="B16" s="2304"/>
      <c r="C16" s="2304"/>
      <c r="D16" s="2304"/>
      <c r="E16" s="2303" t="e">
        <f t="shared" si="0"/>
        <v>#DIV/0!</v>
      </c>
      <c r="F16" s="2303" t="e">
        <f t="shared" si="1"/>
        <v>#DIV/0!</v>
      </c>
      <c r="G16" s="1242"/>
      <c r="H16" s="1242"/>
      <c r="I16" s="2304"/>
      <c r="J16" s="2459"/>
      <c r="K16" s="2459"/>
    </row>
    <row r="17" spans="1:11" ht="15.6">
      <c r="A17" s="2302" t="s">
        <v>647</v>
      </c>
      <c r="B17" s="2304"/>
      <c r="C17" s="2304"/>
      <c r="D17" s="2304"/>
      <c r="E17" s="2303" t="e">
        <f t="shared" si="0"/>
        <v>#DIV/0!</v>
      </c>
      <c r="F17" s="2303" t="e">
        <f t="shared" si="1"/>
        <v>#DIV/0!</v>
      </c>
      <c r="G17" s="1242"/>
      <c r="H17" s="1242"/>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2" t="e">
        <f t="shared" si="0"/>
        <v>#DIV/0!</v>
      </c>
      <c r="F23" s="1242"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D17" sqref="D17"/>
    </sheetView>
  </sheetViews>
  <sheetFormatPr defaultColWidth="12.6640625" defaultRowHeight="21.75" customHeight="1"/>
  <cols>
    <col min="1" max="2" width="12.6640625" style="1559"/>
    <col min="3" max="4" width="12.6640625" style="1559" customWidth="1"/>
    <col min="5"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1262</v>
      </c>
      <c r="B1" s="645"/>
      <c r="C1" s="1618" t="s">
        <v>3470</v>
      </c>
      <c r="D1" s="645"/>
      <c r="E1" s="645"/>
      <c r="F1" s="1619" t="s">
        <v>1263</v>
      </c>
      <c r="G1" s="1451"/>
      <c r="H1" s="1619" t="str">
        <f>IF(G1="现房","——","估价对象范围")</f>
        <v>估价对象范围</v>
      </c>
      <c r="I1" s="1620"/>
    </row>
    <row r="2" spans="1:12" ht="21.75" customHeight="1" thickBot="1">
      <c r="A2" s="3319" t="str">
        <f>项目基本情况!S2</f>
        <v>北京市朝阳区天畅园6号楼2层等8套房地产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2" t="s">
        <v>1265</v>
      </c>
      <c r="B4" s="1623" t="s">
        <v>1266</v>
      </c>
      <c r="C4" s="1624" t="s">
        <v>3474</v>
      </c>
      <c r="D4" s="1624" t="s">
        <v>3475</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5"/>
      <c r="G5" s="1625"/>
      <c r="H5" s="1625"/>
      <c r="I5" s="1279"/>
    </row>
    <row r="6" spans="1:12" ht="13.2">
      <c r="A6" s="3267"/>
      <c r="B6" s="3322"/>
      <c r="C6" s="3327"/>
      <c r="D6" s="3313"/>
      <c r="E6" s="123" t="s">
        <v>1270</v>
      </c>
      <c r="F6" s="1625"/>
      <c r="G6" s="1625"/>
      <c r="H6" s="1625"/>
      <c r="I6" s="1279"/>
    </row>
    <row r="7" spans="1:12" ht="13.2">
      <c r="A7" s="3267"/>
      <c r="B7" s="3322"/>
      <c r="C7" s="3326"/>
      <c r="D7" s="3313"/>
      <c r="E7" s="123" t="s">
        <v>1271</v>
      </c>
      <c r="F7" s="1625"/>
      <c r="G7" s="1625"/>
      <c r="H7" s="1625"/>
      <c r="I7" s="1279"/>
    </row>
    <row r="8" spans="1:12" ht="13.2">
      <c r="A8" s="3267" t="s">
        <v>1272</v>
      </c>
      <c r="B8" s="3322">
        <v>15</v>
      </c>
      <c r="C8" s="3325"/>
      <c r="D8" s="3313"/>
      <c r="E8" s="123" t="s">
        <v>1273</v>
      </c>
      <c r="F8" s="1625"/>
      <c r="G8" s="1625"/>
      <c r="H8" s="1625"/>
      <c r="I8" s="1279"/>
    </row>
    <row r="9" spans="1:12" ht="13.2">
      <c r="A9" s="3267"/>
      <c r="B9" s="3322"/>
      <c r="C9" s="3326"/>
      <c r="D9" s="3313"/>
      <c r="E9" s="123" t="s">
        <v>1274</v>
      </c>
      <c r="F9" s="1625"/>
      <c r="G9" s="1625"/>
      <c r="H9" s="1625"/>
      <c r="I9" s="1279"/>
    </row>
    <row r="10" spans="1:12" ht="13.2">
      <c r="A10" s="3267" t="s">
        <v>1275</v>
      </c>
      <c r="B10" s="3322">
        <v>15</v>
      </c>
      <c r="C10" s="3325"/>
      <c r="D10" s="3313"/>
      <c r="E10" s="123" t="s">
        <v>1276</v>
      </c>
      <c r="F10" s="1625"/>
      <c r="G10" s="1625"/>
      <c r="H10" s="1625"/>
      <c r="I10" s="1279"/>
    </row>
    <row r="11" spans="1:12" ht="13.2">
      <c r="A11" s="3267"/>
      <c r="B11" s="3322"/>
      <c r="C11" s="3326"/>
      <c r="D11" s="3313"/>
      <c r="E11" s="123" t="s">
        <v>1277</v>
      </c>
      <c r="F11" s="1625"/>
      <c r="G11" s="1625"/>
      <c r="H11" s="1625"/>
      <c r="I11" s="1279"/>
    </row>
    <row r="12" spans="1:12" ht="13.2">
      <c r="A12" s="3267" t="s">
        <v>1278</v>
      </c>
      <c r="B12" s="3322">
        <v>15</v>
      </c>
      <c r="C12" s="3325"/>
      <c r="D12" s="3313"/>
      <c r="E12" s="123" t="s">
        <v>1279</v>
      </c>
      <c r="F12" s="1625"/>
      <c r="G12" s="1625"/>
      <c r="H12" s="1625"/>
      <c r="I12" s="1279"/>
    </row>
    <row r="13" spans="1:12" ht="13.2">
      <c r="A13" s="3267"/>
      <c r="B13" s="3322"/>
      <c r="C13" s="3326"/>
      <c r="D13" s="3313"/>
      <c r="E13" s="123" t="s">
        <v>1280</v>
      </c>
      <c r="F13" s="1625"/>
      <c r="G13" s="1625"/>
      <c r="H13" s="1625"/>
      <c r="I13" s="1279"/>
    </row>
    <row r="14" spans="1:12" ht="13.2">
      <c r="A14" s="3267" t="s">
        <v>1281</v>
      </c>
      <c r="B14" s="3322">
        <v>30</v>
      </c>
      <c r="C14" s="3325">
        <v>7</v>
      </c>
      <c r="D14" s="3313">
        <v>3</v>
      </c>
      <c r="E14" s="123" t="s">
        <v>1282</v>
      </c>
      <c r="F14" s="1625"/>
      <c r="G14" s="1625"/>
      <c r="H14" s="1625"/>
      <c r="I14" s="1279"/>
    </row>
    <row r="15" spans="1:12" ht="13.2">
      <c r="A15" s="3267"/>
      <c r="B15" s="3322"/>
      <c r="C15" s="3327"/>
      <c r="D15" s="3313"/>
      <c r="E15" s="123" t="s">
        <v>1283</v>
      </c>
      <c r="F15" s="1625"/>
      <c r="G15" s="1625"/>
      <c r="H15" s="1625"/>
      <c r="I15" s="1279"/>
    </row>
    <row r="16" spans="1:12" ht="13.2">
      <c r="A16" s="3267"/>
      <c r="B16" s="3322"/>
      <c r="C16" s="3326"/>
      <c r="D16" s="3313"/>
      <c r="E16" s="123" t="s">
        <v>1284</v>
      </c>
      <c r="F16" s="1625"/>
      <c r="G16" s="1625"/>
      <c r="H16" s="1625"/>
      <c r="I16" s="1279"/>
    </row>
    <row r="17" spans="1:36" ht="14.4">
      <c r="A17" s="1626" t="s">
        <v>1285</v>
      </c>
      <c r="B17" s="54"/>
      <c r="C17" s="124">
        <f>SUM(C5:C16)</f>
        <v>7</v>
      </c>
      <c r="D17" s="124">
        <f>SUM(D5:D16)</f>
        <v>3</v>
      </c>
      <c r="E17" s="121"/>
      <c r="F17" s="121"/>
      <c r="G17" s="121"/>
      <c r="H17" s="121"/>
      <c r="I17" s="121"/>
      <c r="K17" s="294"/>
      <c r="L17" s="294" t="s">
        <v>1286</v>
      </c>
      <c r="M17" s="294" t="s">
        <v>1287</v>
      </c>
    </row>
    <row r="18" spans="1:36" ht="31.95" customHeight="1" thickBot="1">
      <c r="A18" s="1627" t="s">
        <v>1288</v>
      </c>
      <c r="B18" s="1540"/>
      <c r="C18" s="125">
        <f>ROUND(C17/SUM(C17:D17),2)</f>
        <v>0.7</v>
      </c>
      <c r="D18" s="125">
        <f>1-C18</f>
        <v>0.30000000000000004</v>
      </c>
      <c r="E18" s="3344" t="s">
        <v>2129</v>
      </c>
      <c r="F18" s="3345"/>
      <c r="G18" s="3345"/>
      <c r="H18" s="3345"/>
      <c r="I18" s="3345"/>
      <c r="K18" s="294" t="s">
        <v>1289</v>
      </c>
      <c r="L18" s="294">
        <f>IF(C1="",'数据-汇总表'!E3,SUMIF(项目类型,C1,'数据-汇总表'!E17:E26)+SUMIF(项目类型,C1,'数据-汇总表'!I17:I26))</f>
        <v>247.16</v>
      </c>
      <c r="M18" s="294">
        <f>IF(C1="",'数据-汇总表'!E3,SUMIF(项目类型,C1,'数据-汇总表'!E17:E26))</f>
        <v>247.16</v>
      </c>
    </row>
    <row r="19" spans="1:36" ht="14.4">
      <c r="A19" s="1628" t="s">
        <v>1290</v>
      </c>
      <c r="B19" s="1629" t="s">
        <v>1291</v>
      </c>
      <c r="C19" s="126">
        <f ca="1">SUMIF(INDIRECT("'"&amp;C4&amp;"'"&amp;"!A:A"),结果表!B19,INDIRECT("'"&amp;C4&amp;"'"&amp;"!B:B"))</f>
        <v>639.3288</v>
      </c>
      <c r="D19" s="127">
        <f ca="1">SUMIF(INDIRECT("'"&amp;D4&amp;"'"&amp;"!A:A"),结果表!B19,INDIRECT("'"&amp;D4&amp;"'"&amp;"!B:B"))</f>
        <v>468.56180000000001</v>
      </c>
      <c r="E19" s="1628" t="s">
        <v>1292</v>
      </c>
      <c r="F19" s="1629" t="s">
        <v>1291</v>
      </c>
      <c r="G19" s="128">
        <f ca="1">ROUND(C19*$C$18+D19*$D$18,0)</f>
        <v>588</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25867</v>
      </c>
      <c r="D20" s="130">
        <f ca="1">SUMIF(INDIRECT("'"&amp;D4&amp;"'"&amp;"!A:A"),结果表!B20,INDIRECT("'"&amp;D4&amp;"'"&amp;"!B:B"))</f>
        <v>18958</v>
      </c>
      <c r="E20" s="1631"/>
      <c r="F20" s="43" t="s">
        <v>1295</v>
      </c>
      <c r="G20" s="131">
        <f ca="1">ROUND(C20*$C$18+D20*$D$18,0)</f>
        <v>23794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2" t="s">
        <v>1296</v>
      </c>
      <c r="I21" s="121"/>
    </row>
    <row r="22" spans="1:36" ht="15" thickBot="1">
      <c r="A22" s="1562" t="s">
        <v>1298</v>
      </c>
      <c r="B22" s="1633"/>
      <c r="C22" s="1634"/>
      <c r="D22" s="679">
        <f ca="1">IF(C19&lt;D19,D19/C19-1,C19/D19-1)</f>
        <v>0.36444925728046962</v>
      </c>
      <c r="E22" s="121"/>
      <c r="F22" s="121"/>
      <c r="G22" s="121"/>
      <c r="H22" s="121"/>
      <c r="I22" s="121"/>
    </row>
    <row r="23" spans="1:36" ht="13.8" thickBot="1">
      <c r="A23" s="645"/>
      <c r="B23" s="645"/>
      <c r="C23" s="645"/>
      <c r="D23" s="645"/>
      <c r="E23" s="121"/>
      <c r="F23" s="121"/>
      <c r="G23" s="121"/>
      <c r="H23" s="121"/>
      <c r="I23" s="121"/>
    </row>
    <row r="24" spans="1:36" ht="14.4">
      <c r="A24" s="3337" t="s">
        <v>1299</v>
      </c>
      <c r="B24" s="1629" t="s">
        <v>1291</v>
      </c>
      <c r="C24" s="128">
        <f>IF(B30=0,0,D30)</f>
        <v>0</v>
      </c>
      <c r="D24" s="1635"/>
      <c r="E24" s="121"/>
      <c r="F24" s="121"/>
      <c r="G24" s="121"/>
      <c r="H24" s="121"/>
      <c r="I24" s="121"/>
    </row>
    <row r="25" spans="1:36" ht="14.4">
      <c r="A25" s="3338"/>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5" t="s">
        <v>2130</v>
      </c>
      <c r="F30" s="121"/>
      <c r="G30" s="121"/>
      <c r="H30" s="121"/>
      <c r="I30" s="121"/>
    </row>
    <row r="31" spans="1:36" s="2131" customFormat="1" ht="26.4" customHeight="1" thickTop="1" thickBot="1">
      <c r="A31" s="2126"/>
      <c r="B31" s="2127"/>
      <c r="C31" s="2127"/>
      <c r="D31" s="2127"/>
      <c r="E31" s="2127"/>
      <c r="F31" s="2127"/>
      <c r="G31" s="2127"/>
      <c r="H31" s="2127"/>
      <c r="I31" s="2128" t="s">
        <v>2131</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6">
        <f ca="1">IF(D32="总价",G19-C24,G20-C25)</f>
        <v>23794</v>
      </c>
      <c r="D32" s="1639" t="s">
        <v>3543</v>
      </c>
      <c r="E32" s="121"/>
      <c r="F32" s="121"/>
      <c r="G32" s="121"/>
      <c r="H32" s="121"/>
      <c r="I32" s="121"/>
    </row>
    <row r="33" spans="1:15" ht="14.4">
      <c r="A33" s="739" t="s">
        <v>1306</v>
      </c>
      <c r="B33" s="123"/>
      <c r="C33" s="1640" t="s">
        <v>3544</v>
      </c>
      <c r="D33" s="1641"/>
      <c r="E33" s="1642" t="s">
        <v>1307</v>
      </c>
      <c r="F33" s="1643" t="str">
        <f>IF(D32="楼面单价","取值（单价）","取值（总价）")</f>
        <v>取值（单价）</v>
      </c>
      <c r="G33" s="121"/>
      <c r="H33" s="121"/>
      <c r="I33" s="121"/>
    </row>
    <row r="34" spans="1:15" ht="14.4">
      <c r="A34" s="1644"/>
      <c r="B34" s="1645" t="s">
        <v>1308</v>
      </c>
      <c r="C34" s="140">
        <f>IF(C33="自定义",F34,C32-C35)</f>
        <v>0</v>
      </c>
      <c r="D34" s="807">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14" t="s">
        <v>1312</v>
      </c>
      <c r="B36" s="1650" t="s">
        <v>1313</v>
      </c>
      <c r="C36" s="137"/>
      <c r="D36" s="1651"/>
      <c r="E36" s="1565"/>
      <c r="F36" s="1652"/>
      <c r="G36" s="121"/>
      <c r="H36" s="121"/>
      <c r="I36" s="121"/>
    </row>
    <row r="37" spans="1:15" ht="15" thickBot="1">
      <c r="A37" s="3315"/>
      <c r="B37" s="1553" t="s">
        <v>1314</v>
      </c>
      <c r="C37" s="139"/>
      <c r="D37" s="1069"/>
      <c r="E37" s="1069"/>
      <c r="F37" s="1652"/>
      <c r="G37" s="121"/>
      <c r="H37" s="121"/>
      <c r="I37" s="121"/>
    </row>
    <row r="38" spans="1:15" ht="15" thickBot="1">
      <c r="A38" s="3316"/>
      <c r="B38" s="1653" t="s">
        <v>1315</v>
      </c>
      <c r="C38" s="640"/>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34" t="s">
        <v>1326</v>
      </c>
      <c r="B45" s="3335"/>
      <c r="C45" s="3336"/>
      <c r="D45" s="147">
        <f ca="1">ROUND(H101*F45,0)</f>
        <v>588</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6"/>
      <c r="I46" s="151"/>
      <c r="J46" s="2307">
        <v>1</v>
      </c>
      <c r="K46" s="3255" t="s">
        <v>1331</v>
      </c>
      <c r="L46" s="3255"/>
      <c r="M46" s="3256"/>
      <c r="N46" s="3256"/>
      <c r="O46" s="3256"/>
    </row>
    <row r="47" spans="1:15" ht="12" customHeight="1">
      <c r="A47" s="152" t="s">
        <v>1332</v>
      </c>
      <c r="B47" s="153"/>
      <c r="C47" s="154"/>
      <c r="D47" s="1023" t="s">
        <v>1333</v>
      </c>
      <c r="E47" s="294" t="s">
        <v>1334</v>
      </c>
      <c r="F47" s="155" t="s">
        <v>1335</v>
      </c>
      <c r="G47" s="2330" t="s">
        <v>1336</v>
      </c>
      <c r="H47" s="2331"/>
      <c r="I47" s="151"/>
      <c r="J47" s="2307">
        <v>2</v>
      </c>
      <c r="K47" s="3255" t="s">
        <v>1337</v>
      </c>
      <c r="L47" s="3255"/>
      <c r="M47" s="3257">
        <f>'数据-取费表'!B2</f>
        <v>45638</v>
      </c>
      <c r="N47" s="3257"/>
      <c r="O47" s="3257"/>
    </row>
    <row r="48" spans="1:15" ht="26.4">
      <c r="A48" s="3317" t="s">
        <v>1338</v>
      </c>
      <c r="B48" s="3318"/>
      <c r="C48" s="3318"/>
      <c r="D48" s="12" t="b">
        <f>IF(H48="情况1",0,IF(H48="情况2",D52,IF(H48="情况3",D53,IF(H48="情况4",D54))))</f>
        <v>0</v>
      </c>
      <c r="E48" s="1254" t="str">
        <f>IF(H48="情况4","(销售额-原购置价)×税（费）率","销售额×税（费）率")</f>
        <v>销售额×税（费）率</v>
      </c>
      <c r="F48" s="2332">
        <f>IF(H48="情况1","免征",'数据-取费表'!B41)</f>
        <v>5.6000000000000001E-2</v>
      </c>
      <c r="G48" s="2333" t="s">
        <v>1339</v>
      </c>
      <c r="H48" s="2334"/>
      <c r="I48" s="1666"/>
      <c r="J48" s="2307">
        <v>3</v>
      </c>
      <c r="K48" s="3255" t="s">
        <v>1340</v>
      </c>
      <c r="L48" s="3255"/>
      <c r="M48" s="3258">
        <f ca="1">H101</f>
        <v>588</v>
      </c>
      <c r="N48" s="3258"/>
      <c r="O48" s="3258"/>
    </row>
    <row r="49" spans="1:35" ht="25.5" customHeight="1">
      <c r="A49" s="2150" t="s">
        <v>1341</v>
      </c>
      <c r="B49" s="3303" t="s">
        <v>1342</v>
      </c>
      <c r="C49" s="3303"/>
      <c r="D49" s="1476">
        <v>0</v>
      </c>
      <c r="E49" s="316" t="s">
        <v>1343</v>
      </c>
      <c r="F49" s="2230" t="s">
        <v>28</v>
      </c>
      <c r="G49" s="3286"/>
      <c r="H49" s="2132" t="s">
        <v>2132</v>
      </c>
      <c r="I49" s="2133"/>
      <c r="J49" s="2307">
        <v>4</v>
      </c>
      <c r="K49" s="3255" t="str">
        <f>IF(项目基本情况!E8="房地产抵押价值","房地产抵押价值","抵押担保权已注销时的房地产抵押价值")</f>
        <v>房地产抵押价值</v>
      </c>
      <c r="L49" s="3255"/>
      <c r="M49" s="3258">
        <f ca="1">IF(项目基本情况!E8="房地产抵押价值",H107,H109)</f>
        <v>588</v>
      </c>
      <c r="N49" s="3258"/>
      <c r="O49" s="3258"/>
    </row>
    <row r="50" spans="1:35" ht="25.5" customHeight="1">
      <c r="A50" s="2335"/>
      <c r="B50" s="3303" t="s">
        <v>1344</v>
      </c>
      <c r="C50" s="3303"/>
      <c r="D50" s="2187"/>
      <c r="E50" s="323"/>
      <c r="F50" s="2230"/>
      <c r="G50" s="3287"/>
      <c r="H50" s="2134" t="s">
        <v>2133</v>
      </c>
      <c r="I50" s="2133"/>
      <c r="J50" s="3254" t="s">
        <v>1345</v>
      </c>
      <c r="K50" s="3254"/>
      <c r="L50" s="3254"/>
      <c r="M50" s="3254"/>
      <c r="N50" s="3254"/>
      <c r="O50" s="3254"/>
    </row>
    <row r="51" spans="1:35" ht="20.399999999999999" customHeight="1">
      <c r="A51" s="2336"/>
      <c r="B51" s="3303" t="s">
        <v>1346</v>
      </c>
      <c r="C51" s="3303"/>
      <c r="D51" s="1023"/>
      <c r="E51" s="319"/>
      <c r="F51" s="2230"/>
      <c r="G51" s="3288"/>
      <c r="H51" s="2134" t="s">
        <v>2134</v>
      </c>
      <c r="I51" s="2133"/>
      <c r="J51" s="2308" t="s">
        <v>1347</v>
      </c>
      <c r="K51" s="3255" t="s">
        <v>1348</v>
      </c>
      <c r="L51" s="3255"/>
      <c r="M51" s="2308" t="s">
        <v>1349</v>
      </c>
      <c r="N51" s="2308" t="s">
        <v>1350</v>
      </c>
      <c r="O51" s="2308" t="s">
        <v>1351</v>
      </c>
    </row>
    <row r="52" spans="1:35" ht="24" customHeight="1">
      <c r="A52" s="2151" t="s">
        <v>1352</v>
      </c>
      <c r="B52" s="3303" t="s">
        <v>1353</v>
      </c>
      <c r="C52" s="3303"/>
      <c r="D52" s="1023">
        <f ca="1">ROUND(D45*'数据-取费表'!B41/(1+'数据-取费表'!C42),0)</f>
        <v>31</v>
      </c>
      <c r="E52" s="1254" t="s">
        <v>1354</v>
      </c>
      <c r="F52" s="2337">
        <f>'数据-取费表'!B41</f>
        <v>5.6000000000000001E-2</v>
      </c>
      <c r="G52" s="2338"/>
      <c r="H52" s="2328"/>
      <c r="I52" s="1667"/>
      <c r="J52" s="2307">
        <v>1</v>
      </c>
      <c r="K52" s="3280" t="s">
        <v>1355</v>
      </c>
      <c r="L52" s="3280"/>
      <c r="M52" s="2309" t="b">
        <f>D48</f>
        <v>0</v>
      </c>
      <c r="N52" s="2307" t="str">
        <f>E48</f>
        <v>销售额×税（费）率</v>
      </c>
      <c r="O52" s="2310">
        <f>F48</f>
        <v>5.6000000000000001E-2</v>
      </c>
    </row>
    <row r="53" spans="1:35" ht="12" customHeight="1">
      <c r="A53" s="2151" t="s">
        <v>1356</v>
      </c>
      <c r="B53" s="3304" t="s">
        <v>2289</v>
      </c>
      <c r="C53" s="3305"/>
      <c r="D53" s="1023">
        <f ca="1">ROUND(D45*'数据-取费表'!B41/(1+'数据-取费表'!C42),0)</f>
        <v>31</v>
      </c>
      <c r="E53" s="1254" t="s">
        <v>1354</v>
      </c>
      <c r="F53" s="2337">
        <f>'数据-取费表'!B41</f>
        <v>5.6000000000000001E-2</v>
      </c>
      <c r="G53" s="2338"/>
      <c r="H53" s="2328"/>
      <c r="I53" s="1667"/>
      <c r="J53" s="2307">
        <v>2</v>
      </c>
      <c r="K53" s="3280" t="s">
        <v>1357</v>
      </c>
      <c r="L53" s="3280"/>
      <c r="M53" s="2309">
        <f t="shared" ref="M53:O54" ca="1" si="0">D55</f>
        <v>0</v>
      </c>
      <c r="N53" s="2307" t="str">
        <f t="shared" si="0"/>
        <v>销售额×税（费）率</v>
      </c>
      <c r="O53" s="2310" t="str">
        <f t="shared" si="0"/>
        <v>免征</v>
      </c>
    </row>
    <row r="54" spans="1:35" ht="12" customHeight="1">
      <c r="A54" s="2151" t="s">
        <v>1358</v>
      </c>
      <c r="B54" s="3304" t="s">
        <v>2290</v>
      </c>
      <c r="C54" s="3305"/>
      <c r="D54" s="1023">
        <f ca="1">C68</f>
        <v>31</v>
      </c>
      <c r="E54" s="319" t="s">
        <v>1359</v>
      </c>
      <c r="F54" s="2337">
        <f>'数据-取费表'!B41</f>
        <v>5.6000000000000001E-2</v>
      </c>
      <c r="G54" s="2338"/>
      <c r="H54" s="2339"/>
      <c r="I54" s="1667"/>
      <c r="J54" s="2307">
        <v>3</v>
      </c>
      <c r="K54" s="3280" t="s">
        <v>1360</v>
      </c>
      <c r="L54" s="3280"/>
      <c r="M54" s="2309">
        <f t="shared" ca="1" si="0"/>
        <v>333</v>
      </c>
      <c r="N54" s="2307" t="str">
        <f t="shared" si="0"/>
        <v>增值额×税（费）率</v>
      </c>
      <c r="O54" s="2311" t="str">
        <f t="shared" si="0"/>
        <v>免征</v>
      </c>
    </row>
    <row r="55" spans="1:35" ht="24" customHeight="1">
      <c r="A55" s="3340" t="s">
        <v>1361</v>
      </c>
      <c r="B55" s="3318"/>
      <c r="C55" s="3318"/>
      <c r="D55" s="12">
        <f ca="1">IF(H55="个人住宅",0,ROUND(D45*I55,0))</f>
        <v>0</v>
      </c>
      <c r="E55" s="1254" t="s">
        <v>1362</v>
      </c>
      <c r="F55" s="2337" t="str">
        <f>IF(H55="正常",I55,"免征")</f>
        <v>免征</v>
      </c>
      <c r="G55" s="2338"/>
      <c r="H55" s="2334"/>
      <c r="I55" s="157">
        <f>'数据-取费表'!B49</f>
        <v>5.0000000000000001E-4</v>
      </c>
      <c r="J55" s="2307">
        <f>IF(H59="非个人房产","",4)</f>
        <v>4</v>
      </c>
      <c r="K55" s="3280" t="str">
        <f>IF(H59="非个人房产","——","个人所得税")</f>
        <v>个人所得税</v>
      </c>
      <c r="L55" s="3280"/>
      <c r="M55" s="2312">
        <f ca="1">D59</f>
        <v>6</v>
      </c>
      <c r="N55" s="1881" t="str">
        <f>E59</f>
        <v>差额计税</v>
      </c>
      <c r="O55" s="2313">
        <f>F59</f>
        <v>0.01</v>
      </c>
    </row>
    <row r="56" spans="1:35" ht="25.2">
      <c r="A56" s="3340" t="s">
        <v>1363</v>
      </c>
      <c r="B56" s="3318"/>
      <c r="C56" s="3318"/>
      <c r="D56" s="12">
        <f ca="1">IF(H56="个人住宅",D57,D58)</f>
        <v>333</v>
      </c>
      <c r="E56" s="1254" t="s">
        <v>1364</v>
      </c>
      <c r="F56" s="2337" t="str">
        <f>IF(H56="正常",F58,"免征")</f>
        <v>免征</v>
      </c>
      <c r="G56" s="2340" t="s">
        <v>1365</v>
      </c>
      <c r="H56" s="2341"/>
      <c r="I56" s="1668"/>
      <c r="J56" s="2307" t="str">
        <f>IF(项目基本情况!K6="上海银行",IF(J55="",4,J55+1),"")</f>
        <v/>
      </c>
      <c r="K56" s="3261" t="str">
        <f>IF(项目基本情况!K6="上海银行","其他处置费用","")</f>
        <v/>
      </c>
      <c r="L56" s="3262"/>
      <c r="M56" s="2309" t="str">
        <f>IF(项目基本情况!K6="上海银行",M69,"")</f>
        <v/>
      </c>
      <c r="N56" s="3261" t="str">
        <f>IF(项目基本情况!K6="上海银行","包含处置中涉及的律师、诉讼、拍卖、评估等费用","")</f>
        <v/>
      </c>
      <c r="O56" s="3264"/>
    </row>
    <row r="57" spans="1:35" ht="13.2">
      <c r="A57" s="2151" t="s">
        <v>1341</v>
      </c>
      <c r="B57" s="3304" t="s">
        <v>1366</v>
      </c>
      <c r="C57" s="3305"/>
      <c r="D57" s="1476">
        <v>0</v>
      </c>
      <c r="E57" s="316" t="s">
        <v>1343</v>
      </c>
      <c r="F57" s="294"/>
      <c r="G57" s="2338"/>
      <c r="H57" s="2342"/>
      <c r="I57" s="1668"/>
      <c r="J57" s="3280">
        <f>IF(AND(J55="",J56=""),4,IF(项目基本情况!K6="上海银行",结果表!J56+1,结果表!J55+1))</f>
        <v>5</v>
      </c>
      <c r="K57" s="3280" t="s">
        <v>1367</v>
      </c>
      <c r="L57" s="2314" t="s">
        <v>1368</v>
      </c>
      <c r="M57" s="2315"/>
      <c r="N57" s="2316">
        <f ca="1">SUMIF(M52:M56,"&lt;9e307")</f>
        <v>339</v>
      </c>
      <c r="O57" s="2317"/>
      <c r="P57" s="2461">
        <f ca="1">N57/M49</f>
        <v>0.57653061224489799</v>
      </c>
    </row>
    <row r="58" spans="1:35" ht="25.2">
      <c r="A58" s="2151" t="s">
        <v>1352</v>
      </c>
      <c r="B58" s="3304" t="s">
        <v>1369</v>
      </c>
      <c r="C58" s="3303"/>
      <c r="D58" s="12">
        <f ca="1">IF(H58="转让取得",C81,C97)</f>
        <v>333</v>
      </c>
      <c r="E58" s="1254" t="s">
        <v>1364</v>
      </c>
      <c r="F58" s="294" t="s">
        <v>28</v>
      </c>
      <c r="G58" s="2338"/>
      <c r="H58" s="2341"/>
      <c r="I58" s="1668"/>
      <c r="J58" s="3280"/>
      <c r="K58" s="3280"/>
      <c r="L58" s="2314" t="s">
        <v>1370</v>
      </c>
      <c r="M58" s="2318"/>
      <c r="N58" s="2319" t="str">
        <f ca="1">NUMBERSTRING(INT(N57*10000),2)&amp;"元整"</f>
        <v>叁佰叁拾玖万元整</v>
      </c>
      <c r="O58" s="2320"/>
    </row>
    <row r="59" spans="1:35" ht="24.6" thickBot="1">
      <c r="A59" s="3284" t="s">
        <v>1371</v>
      </c>
      <c r="B59" s="3285"/>
      <c r="C59" s="3285"/>
      <c r="D59" s="2343">
        <f ca="1">IF(H59="非个人房产","——",IF(H59="个人住宅（满五唯一有凭证）",0,IF(H59="个人其他（无凭证）",ROUND(D45*F59,0),ROUND(C67*F59,0))))</f>
        <v>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2135</v>
      </c>
      <c r="J59" s="3282">
        <f>J57+1</f>
        <v>6</v>
      </c>
      <c r="K59" s="3280" t="s">
        <v>1372</v>
      </c>
      <c r="L59" s="2307" t="s">
        <v>1368</v>
      </c>
      <c r="M59" s="2321"/>
      <c r="N59" s="2322">
        <f ca="1">M49-N57</f>
        <v>249</v>
      </c>
      <c r="O59" s="2323"/>
    </row>
    <row r="60" spans="1:35" ht="12" customHeight="1">
      <c r="A60" s="1669"/>
      <c r="B60" s="645"/>
      <c r="C60" s="645"/>
      <c r="D60" s="645"/>
      <c r="E60" s="1464"/>
      <c r="F60" s="1668"/>
      <c r="G60" s="1668"/>
      <c r="H60" s="151"/>
      <c r="I60" s="121"/>
      <c r="J60" s="3283"/>
      <c r="K60" s="3280"/>
      <c r="L60" s="2314" t="s">
        <v>1370</v>
      </c>
      <c r="M60" s="2318"/>
      <c r="N60" s="2319" t="str">
        <f ca="1">NUMBERSTRING(INT(N59*10000),2)&amp;"元整"</f>
        <v>贰佰肆拾玖万元整</v>
      </c>
      <c r="O60" s="2320"/>
    </row>
    <row r="61" spans="1:35" ht="13.8" thickBot="1">
      <c r="A61" s="3339" t="s">
        <v>1373</v>
      </c>
      <c r="B61" s="3339"/>
      <c r="C61" s="3339"/>
      <c r="D61" s="3339"/>
      <c r="E61" s="3339"/>
      <c r="F61" s="1668"/>
      <c r="G61" s="1668"/>
      <c r="H61" s="151"/>
      <c r="I61" s="121"/>
      <c r="J61" s="2307">
        <f>J59+1</f>
        <v>7</v>
      </c>
      <c r="K61" s="3280" t="s">
        <v>1374</v>
      </c>
      <c r="L61" s="3280"/>
      <c r="M61" s="2324"/>
      <c r="N61" s="2325">
        <f ca="1">ROUND(N59*10000/'数据-汇总表'!E3,0)</f>
        <v>10074</v>
      </c>
      <c r="O61" s="2326"/>
    </row>
    <row r="62" spans="1:35" ht="13.2">
      <c r="A62" s="3299" t="s">
        <v>1375</v>
      </c>
      <c r="B62" s="3300"/>
      <c r="C62" s="1863"/>
      <c r="D62" s="1863" t="s">
        <v>1376</v>
      </c>
      <c r="E62" s="158" t="s">
        <v>1377</v>
      </c>
      <c r="F62" s="1668"/>
      <c r="G62" s="1668"/>
      <c r="H62" s="151"/>
      <c r="I62" s="121"/>
    </row>
    <row r="63" spans="1:35" ht="13.2">
      <c r="A63" s="165" t="s">
        <v>330</v>
      </c>
      <c r="B63" s="159" t="s">
        <v>1378</v>
      </c>
      <c r="C63" s="2347">
        <f ca="1">ROUND((C64+C65)/(1+'数据-取费表'!C42),0)</f>
        <v>560</v>
      </c>
      <c r="D63" s="159"/>
      <c r="E63" s="160"/>
      <c r="F63" s="1668"/>
      <c r="G63" s="1668"/>
      <c r="H63" s="151"/>
      <c r="I63" s="121"/>
      <c r="J63" s="3263" t="s">
        <v>1379</v>
      </c>
      <c r="K63" s="1243" t="s">
        <v>1380</v>
      </c>
      <c r="L63" s="1243">
        <f ca="1">IF(M49&gt;10000,M49*0.5%,IF(AND(M49&gt;1000,M49&lt;=10000),M49*1%,IF(AND(M49&gt;100,M49&lt;=1000),M49*3%,IF(AND(M49&gt;10,M49&lt;=100),M49*5%,M49*8%))))</f>
        <v>17.64</v>
      </c>
      <c r="M63" s="294">
        <f ca="1">ROUND(L63,1)</f>
        <v>17.600000000000001</v>
      </c>
      <c r="N63" s="2327"/>
      <c r="Z63" s="1621"/>
      <c r="AI63" s="1559"/>
    </row>
    <row r="64" spans="1:35" ht="14.25" customHeight="1">
      <c r="A64" s="161" t="s">
        <v>325</v>
      </c>
      <c r="B64" s="162" t="s">
        <v>1381</v>
      </c>
      <c r="C64" s="2348">
        <f ca="1">D45</f>
        <v>588</v>
      </c>
      <c r="D64" s="162" t="s">
        <v>26</v>
      </c>
      <c r="E64" s="164"/>
      <c r="F64" s="1668"/>
      <c r="G64" s="1668"/>
      <c r="H64" s="151"/>
      <c r="I64" s="121"/>
      <c r="J64" s="3263"/>
      <c r="K64" s="1243" t="s">
        <v>1382</v>
      </c>
      <c r="L64" s="1243">
        <f ca="1">IF(M49&gt;2000,M49*0.5%,IF(AND(M49&gt;1000,M49&lt;=2000),M49*0.6%,IF(AND(M49&gt;500,M49&lt;=1000),M49*0.7%,IF(AND(M49&gt;200,M49&lt;=500),M49*0.8%,IF(AND(M49&gt;100,M49&lt;=200),M49*0.9%,IF(AND(M49&gt;50,M49&lt;=100),M49*1%,IF(AND(M49&gt;20,M49&lt;=50),M49*1.5%,IF(AND(M49&gt;10,M49&lt;=20),M49*2%,IF(AND(M49&gt;1,M49&lt;=10),M49*2.5%)))))))))</f>
        <v>4.1159999999999997</v>
      </c>
      <c r="M64" s="294">
        <f t="shared" ref="M64:M65" ca="1" si="1">ROUND(L64,1)</f>
        <v>4.0999999999999996</v>
      </c>
      <c r="N64" s="2328" t="s">
        <v>1383</v>
      </c>
      <c r="Z64" s="1621"/>
      <c r="AI64" s="1559"/>
    </row>
    <row r="65" spans="1:35" ht="14.25" customHeight="1">
      <c r="A65" s="161" t="s">
        <v>326</v>
      </c>
      <c r="B65" s="162" t="s">
        <v>1384</v>
      </c>
      <c r="C65" s="2349"/>
      <c r="D65" s="162"/>
      <c r="E65" s="164"/>
      <c r="F65" s="1668"/>
      <c r="G65" s="1668"/>
      <c r="H65" s="151"/>
      <c r="I65" s="121"/>
      <c r="J65" s="3263"/>
      <c r="K65" s="1243" t="s">
        <v>1385</v>
      </c>
      <c r="L65" s="1243">
        <f ca="1">IF(M49&gt;1000,M49*0.1%,IF(AND(M49&gt;500,M49&lt;=1000),M49*0.5%,IF(AND(M49&gt;50,M49&lt;=500),M49*1%,IF(AND(M49&gt;1,M49&lt;=50),M49*1.5%))))</f>
        <v>2.94</v>
      </c>
      <c r="M65" s="294">
        <f t="shared" ca="1" si="1"/>
        <v>2.9</v>
      </c>
      <c r="N65" s="2328" t="s">
        <v>1383</v>
      </c>
      <c r="Z65" s="1621"/>
      <c r="AI65" s="1559"/>
    </row>
    <row r="66" spans="1:35" ht="14.25" customHeight="1">
      <c r="A66" s="165" t="s">
        <v>327</v>
      </c>
      <c r="B66" s="166" t="s">
        <v>1386</v>
      </c>
      <c r="C66" s="2350"/>
      <c r="D66" s="166" t="s">
        <v>26</v>
      </c>
      <c r="E66" s="1249" t="s">
        <v>671</v>
      </c>
      <c r="F66" s="1668"/>
      <c r="G66" s="1668"/>
      <c r="H66" s="151"/>
      <c r="I66" s="121"/>
      <c r="J66" s="3263"/>
      <c r="K66" s="1243" t="s">
        <v>1387</v>
      </c>
      <c r="L66" s="1243">
        <f ca="1">M49*0.5%</f>
        <v>2.94</v>
      </c>
      <c r="M66" s="294">
        <f ca="1">IF(L66&gt;0.5,0.5,ROUND(L66,0))</f>
        <v>0.5</v>
      </c>
      <c r="N66" s="2328" t="s">
        <v>1388</v>
      </c>
      <c r="Z66" s="1621"/>
      <c r="AI66" s="1559"/>
    </row>
    <row r="67" spans="1:35" ht="14.25" customHeight="1">
      <c r="A67" s="165" t="s">
        <v>328</v>
      </c>
      <c r="B67" s="166" t="s">
        <v>1389</v>
      </c>
      <c r="C67" s="2351">
        <f ca="1">C63-C66</f>
        <v>560</v>
      </c>
      <c r="D67" s="162" t="s">
        <v>26</v>
      </c>
      <c r="E67" s="164"/>
      <c r="F67" s="1668"/>
      <c r="G67" s="1668"/>
      <c r="H67" s="151"/>
      <c r="I67" s="121"/>
      <c r="J67" s="3263"/>
      <c r="K67" s="1243" t="s">
        <v>1390</v>
      </c>
      <c r="L67" s="1243">
        <f ca="1">IF(M49&gt;=10000,(8.25+(M49-10000)*0.01%),IF(AND(M49&gt;=8000,M49&lt;10000),(7.85+(M49-8000)*0.02%),IF(AND(M49&gt;=5000,M49&lt;8000),(6.65+(M49-5000)*0.04%),IF(AND(M49&gt;=2000,M49&lt;5000),(4.25+(PM49-2000)*0.08%),IF(AND(M49&gt;=1000,M49&lt;2000),(2.75+(M49-1000)*0.15%),IF(AND(M49&gt;=100,M49&lt;1000),(0.5+(M49-100)*0.25%),IF(AND(M49&gt;0,M49&lt;100),M49*0.5%)))))))</f>
        <v>1.72</v>
      </c>
      <c r="M67" s="294">
        <f ca="1">ROUND(L67*0.9,1)</f>
        <v>1.5</v>
      </c>
      <c r="N67" s="2327"/>
      <c r="Z67" s="1621"/>
      <c r="AI67" s="1559"/>
    </row>
    <row r="68" spans="1:35" ht="14.25" customHeight="1" thickBot="1">
      <c r="A68" s="168" t="s">
        <v>329</v>
      </c>
      <c r="B68" s="169" t="s">
        <v>1391</v>
      </c>
      <c r="C68" s="2352">
        <f ca="1">IF(C67&lt;=0,0,ROUND(C67*D68,0))</f>
        <v>31</v>
      </c>
      <c r="D68" s="2353">
        <f>'数据-取费表'!B41</f>
        <v>5.6000000000000001E-2</v>
      </c>
      <c r="E68" s="170"/>
      <c r="F68" s="1668"/>
      <c r="G68" s="1668"/>
      <c r="H68" s="151"/>
      <c r="I68" s="121"/>
      <c r="J68" s="3263"/>
      <c r="K68" s="1243" t="s">
        <v>1392</v>
      </c>
      <c r="L68" s="1243">
        <f ca="1">IF(M49&gt;10000,M49*0.5%,IF(AND(M49&gt;5000,M49&lt;=10000),M49*1%,IF(AND(M49&gt;1000,M49&lt;=5000),M49*2%,IF(AND(M49&gt;200,M49&lt;=1000),M49*3%,M49*5%))))</f>
        <v>17.64</v>
      </c>
      <c r="M68" s="294">
        <f ca="1">ROUND(L68,1)</f>
        <v>17.600000000000001</v>
      </c>
      <c r="N68" s="2327"/>
      <c r="Z68" s="1621"/>
      <c r="AI68" s="1559"/>
    </row>
    <row r="69" spans="1:35" ht="16.5" customHeight="1">
      <c r="A69" s="1670"/>
      <c r="B69" s="1671"/>
      <c r="C69" s="1672"/>
      <c r="D69" s="1673"/>
      <c r="E69" s="1674"/>
      <c r="F69" s="1464"/>
      <c r="G69" s="1464"/>
      <c r="H69" s="1465"/>
      <c r="I69" s="645"/>
      <c r="J69" s="3263"/>
      <c r="K69" s="1243" t="s">
        <v>1393</v>
      </c>
      <c r="L69" s="1243"/>
      <c r="M69" s="294">
        <f ca="1">ROUND(SUM(M63:M68),0)</f>
        <v>44</v>
      </c>
      <c r="N69" s="2329">
        <f ca="1">M69/M49</f>
        <v>7.4829931972789115E-2</v>
      </c>
      <c r="Z69" s="1621"/>
      <c r="AI69" s="1559"/>
    </row>
    <row r="70" spans="1:35" s="641" customFormat="1" ht="14.4" thickBot="1">
      <c r="A70" s="3307" t="s">
        <v>1394</v>
      </c>
      <c r="B70" s="3308"/>
      <c r="C70" s="3308"/>
      <c r="D70" s="3308"/>
      <c r="E70" s="3308"/>
      <c r="F70" s="3308"/>
      <c r="G70" s="3308"/>
      <c r="H70" s="3308"/>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299" t="s">
        <v>1375</v>
      </c>
      <c r="B71" s="3300"/>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5" t="s">
        <v>330</v>
      </c>
      <c r="B72" s="166" t="s">
        <v>1395</v>
      </c>
      <c r="C72" s="2351">
        <f ca="1">ROUND(D45/(1+'数据-取费表'!C42),0)</f>
        <v>560</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5" t="s">
        <v>327</v>
      </c>
      <c r="B73" s="155" t="s">
        <v>1396</v>
      </c>
      <c r="C73" s="2351">
        <f ca="1">C74+C78</f>
        <v>3</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1" t="s">
        <v>331</v>
      </c>
      <c r="B75" s="162" t="s">
        <v>1398</v>
      </c>
      <c r="C75" s="2354"/>
      <c r="D75" s="162" t="s">
        <v>26</v>
      </c>
      <c r="E75" s="176" t="s">
        <v>1399</v>
      </c>
      <c r="F75" s="2355"/>
      <c r="G75" s="176" t="s">
        <v>1400</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7">
        <v>0.05</v>
      </c>
      <c r="E76" s="3304" t="s">
        <v>1402</v>
      </c>
      <c r="F76" s="3303"/>
      <c r="G76" s="3303"/>
      <c r="H76" s="330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59">
        <f ca="1">ROUND(D45*D78/(1+'数据-取费表'!C42),0)</f>
        <v>3</v>
      </c>
      <c r="D78" s="2360">
        <f>'数据-取费表'!B43</f>
        <v>6.000000000000001E-3</v>
      </c>
      <c r="E78" s="3296" t="s">
        <v>1406</v>
      </c>
      <c r="F78" s="3297"/>
      <c r="G78" s="3297"/>
      <c r="H78" s="329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5" t="s">
        <v>334</v>
      </c>
      <c r="B79" s="166" t="s">
        <v>1407</v>
      </c>
      <c r="C79" s="2351">
        <f ca="1">C72-C73</f>
        <v>557</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1">
        <f ca="1">IF(C79&lt;=0,0,C79/C73)</f>
        <v>185.66666666666666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8" t="s">
        <v>336</v>
      </c>
      <c r="B81" s="169" t="s">
        <v>1409</v>
      </c>
      <c r="C81" s="2362">
        <f ca="1">ROUND(IF(C79&lt;=0,0,IF(C80&gt;=200%,C79*60%-C73*35%,IF(C80&gt;=100%,C79*50%-C73*15%,IF(C80&gt;=50%,C79*40%-C73*5%,IF(C80&lt;50%,C79*30%,0))))),0)</f>
        <v>333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07" t="s">
        <v>1410</v>
      </c>
      <c r="B83" s="3308"/>
      <c r="C83" s="3308"/>
      <c r="D83" s="3308"/>
      <c r="E83" s="3308"/>
      <c r="F83" s="3308"/>
      <c r="G83" s="3308"/>
      <c r="H83" s="330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299" t="s">
        <v>1375</v>
      </c>
      <c r="B84" s="3300"/>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5" t="s">
        <v>330</v>
      </c>
      <c r="B85" s="166" t="s">
        <v>1395</v>
      </c>
      <c r="C85" s="2351">
        <f ca="1">ROUND(D45/(1+'数据-取费表'!C42),0)</f>
        <v>560</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5" t="s">
        <v>327</v>
      </c>
      <c r="B86" s="155" t="s">
        <v>1396</v>
      </c>
      <c r="C86" s="2351">
        <f ca="1">IF(H88="仅含出让金",C87+C90+C91+C92+C93+C94,C87+C91+C92+C93+C94)</f>
        <v>3</v>
      </c>
      <c r="D86" s="2364"/>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1" t="s">
        <v>331</v>
      </c>
      <c r="B88" s="162" t="s">
        <v>1412</v>
      </c>
      <c r="C88" s="2365"/>
      <c r="D88" s="2360"/>
      <c r="E88" s="185" t="s">
        <v>1413</v>
      </c>
      <c r="F88" s="2146"/>
      <c r="G88" s="186" t="s">
        <v>1414</v>
      </c>
      <c r="H88" s="1682"/>
      <c r="I88" s="1679"/>
      <c r="J88" s="2305" t="s">
        <v>2286</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1" t="s">
        <v>326</v>
      </c>
      <c r="B90" s="162" t="s">
        <v>1416</v>
      </c>
      <c r="C90" s="2365"/>
      <c r="D90" s="2360"/>
      <c r="E90" s="185" t="str">
        <f>IF(H88="-","土地取得成本中已包含该笔费用"," ")</f>
        <v xml:space="preserve"> </v>
      </c>
      <c r="F90" s="2146"/>
      <c r="G90" s="3265" t="s">
        <v>2127</v>
      </c>
      <c r="H90" s="3266"/>
      <c r="I90" s="1679"/>
      <c r="J90" s="2305" t="s">
        <v>2287</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59">
        <f>IF(H91="——",成本法!C33,I91)</f>
        <v>0</v>
      </c>
      <c r="D91" s="2360"/>
      <c r="E91" s="3296" t="s">
        <v>1419</v>
      </c>
      <c r="F91" s="3297"/>
      <c r="G91" s="329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59">
        <f>ROUND((C87+C90+C91)*D92,0)</f>
        <v>0</v>
      </c>
      <c r="D92" s="2366"/>
      <c r="E92" s="3296" t="s">
        <v>1422</v>
      </c>
      <c r="F92" s="3297"/>
      <c r="G92" s="3297"/>
      <c r="H92" s="3298"/>
      <c r="I92" s="1679"/>
      <c r="J92" s="2306" t="s">
        <v>2288</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59">
        <f ca="1">ROUND(D45*D93/(1+'数据-取费表'!C42),0)</f>
        <v>3</v>
      </c>
      <c r="D93" s="2360">
        <f>'数据-取费表'!B43</f>
        <v>6.000000000000001E-3</v>
      </c>
      <c r="E93" s="3296" t="s">
        <v>1406</v>
      </c>
      <c r="F93" s="3297"/>
      <c r="G93" s="3297"/>
      <c r="H93" s="329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5">
        <f>ROUND((C87+C90+C91)*D94,0)</f>
        <v>0</v>
      </c>
      <c r="D94" s="2360">
        <v>0.2</v>
      </c>
      <c r="E94" s="3341" t="s">
        <v>1426</v>
      </c>
      <c r="F94" s="3342"/>
      <c r="G94" s="3342"/>
      <c r="H94" s="334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5" t="s">
        <v>334</v>
      </c>
      <c r="B95" s="166" t="s">
        <v>1407</v>
      </c>
      <c r="C95" s="2351">
        <f ca="1">ROUND(C85-C86,0)</f>
        <v>557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1">
        <f ca="1">IF(C95&lt;=0,0,C95/C86)</f>
        <v>185.66666666666666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8" t="s">
        <v>336</v>
      </c>
      <c r="B97" s="169" t="s">
        <v>1409</v>
      </c>
      <c r="C97" s="2362">
        <f ca="1">ROUND(IF(C95&lt;=0,0,IF(C96&gt;=200%,C95*60%-C86*35%,IF(C96&gt;=100%,C95*50%-C86*15%,IF(C96&gt;=50%,C95*40%-C86*5%,IF(C96&lt;50%,C95*30%,0))))),0)</f>
        <v>333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8" t="str">
        <f>C4</f>
        <v>比较法-商业</v>
      </c>
      <c r="D101" s="2369" t="str">
        <f>D4</f>
        <v>收益法 (元)</v>
      </c>
      <c r="E101" s="3259" t="s">
        <v>1431</v>
      </c>
      <c r="F101" s="3260"/>
      <c r="G101" s="1685" t="s">
        <v>1432</v>
      </c>
      <c r="H101" s="2378">
        <f ca="1">H118</f>
        <v>588</v>
      </c>
      <c r="I101" s="121"/>
    </row>
    <row r="102" spans="1:35" ht="18.75" customHeight="1">
      <c r="A102" s="3291" t="s">
        <v>1433</v>
      </c>
      <c r="B102" s="2367" t="s">
        <v>1432</v>
      </c>
      <c r="C102" s="2368">
        <f ca="1">IF(D32="楼面单价",ROUND(C19,0),C19)</f>
        <v>639</v>
      </c>
      <c r="D102" s="2369">
        <f ca="1">IF(D32="楼面单价",ROUND(D19,0),D19)</f>
        <v>469</v>
      </c>
      <c r="E102" s="3259"/>
      <c r="F102" s="3260"/>
      <c r="G102" s="1685" t="s">
        <v>1434</v>
      </c>
      <c r="H102" s="2338">
        <f ca="1">I118</f>
        <v>23794</v>
      </c>
      <c r="I102" s="121"/>
    </row>
    <row r="103" spans="1:35" ht="42.75" customHeight="1">
      <c r="A103" s="3291"/>
      <c r="B103" s="2367" t="s">
        <v>1434</v>
      </c>
      <c r="C103" s="2370">
        <f ca="1">C20</f>
        <v>25867</v>
      </c>
      <c r="D103" s="2371">
        <f ca="1">D20</f>
        <v>18958</v>
      </c>
      <c r="E103" s="3252" t="s">
        <v>1435</v>
      </c>
      <c r="F103" s="3253"/>
      <c r="G103" s="1686" t="s">
        <v>1436</v>
      </c>
      <c r="H103" s="2378">
        <f>IF(D36="正常操作",H104+H105+H106,H105+H106)</f>
        <v>0</v>
      </c>
      <c r="I103" s="121"/>
    </row>
    <row r="104" spans="1:35" ht="18.75" customHeight="1">
      <c r="A104" s="3291" t="s">
        <v>1437</v>
      </c>
      <c r="B104" s="2372" t="s">
        <v>1432</v>
      </c>
      <c r="C104" s="2373">
        <f ca="1">H118</f>
        <v>588</v>
      </c>
      <c r="D104" s="2374"/>
      <c r="E104" s="1553" t="s">
        <v>1438</v>
      </c>
      <c r="F104" s="1546"/>
      <c r="G104" s="1686" t="s">
        <v>1436</v>
      </c>
      <c r="H104" s="2379">
        <f>IF(D36="同一抵押权人同一抵押物续贷",C36&amp;"（续贷，未扣减，详见特别提示）",C36)</f>
        <v>0</v>
      </c>
      <c r="I104" s="121"/>
    </row>
    <row r="105" spans="1:35" ht="18.75" customHeight="1" thickBot="1">
      <c r="A105" s="3301"/>
      <c r="B105" s="2375" t="s">
        <v>1434</v>
      </c>
      <c r="C105" s="2376">
        <f ca="1">I118</f>
        <v>23794</v>
      </c>
      <c r="D105" s="2377"/>
      <c r="E105" s="1553" t="s">
        <v>1439</v>
      </c>
      <c r="F105" s="1546"/>
      <c r="G105" s="1686" t="s">
        <v>1436</v>
      </c>
      <c r="H105" s="2380">
        <f>C37</f>
        <v>0</v>
      </c>
      <c r="I105" s="121"/>
    </row>
    <row r="106" spans="1:35" ht="18.75" customHeight="1">
      <c r="A106" s="645" t="s">
        <v>1440</v>
      </c>
      <c r="B106" s="645"/>
      <c r="C106" s="645"/>
      <c r="D106" s="645"/>
      <c r="E106" s="1687" t="s">
        <v>1441</v>
      </c>
      <c r="F106" s="1546"/>
      <c r="G106" s="1686" t="s">
        <v>1436</v>
      </c>
      <c r="H106" s="2380">
        <f>C38</f>
        <v>0</v>
      </c>
      <c r="I106" s="121"/>
    </row>
    <row r="107" spans="1:35" ht="18.75" customHeight="1">
      <c r="A107" s="121"/>
      <c r="B107" s="121"/>
      <c r="C107" s="121"/>
      <c r="D107" s="121"/>
      <c r="E107" s="3292" t="str">
        <f>IF(项目基本情况!E8="已注销","——","3.房地产抵押价值")</f>
        <v>3.房地产抵押价值</v>
      </c>
      <c r="F107" s="3260"/>
      <c r="G107" s="1685" t="s">
        <v>1432</v>
      </c>
      <c r="H107" s="2378">
        <f ca="1">IF(E107="——","——",H101-H103)</f>
        <v>588</v>
      </c>
      <c r="I107" s="121"/>
    </row>
    <row r="108" spans="1:35" ht="18.75" customHeight="1">
      <c r="A108" s="121"/>
      <c r="B108" s="121"/>
      <c r="C108" s="121"/>
      <c r="D108" s="121"/>
      <c r="E108" s="3292"/>
      <c r="F108" s="3260"/>
      <c r="G108" s="1685" t="s">
        <v>1434</v>
      </c>
      <c r="H108" s="2338">
        <f ca="1">IF(H107=H101,H102,ROUND(H107*10000/'数据-汇总表'!E3,0))</f>
        <v>23794</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5" t="s">
        <v>1432</v>
      </c>
      <c r="H109" s="2381" t="str">
        <f>IF(E109="——","——",H101-H105-H106)</f>
        <v>——</v>
      </c>
      <c r="I109" s="121"/>
    </row>
    <row r="110" spans="1:35" ht="18.75" customHeight="1">
      <c r="A110" s="121"/>
      <c r="B110" s="121"/>
      <c r="C110" s="121"/>
      <c r="D110" s="121"/>
      <c r="E110" s="3292"/>
      <c r="F110" s="3260"/>
      <c r="G110" s="1685" t="s">
        <v>1434</v>
      </c>
      <c r="H110" s="2338"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5" t="s">
        <v>1432</v>
      </c>
      <c r="H111" s="2378" t="str">
        <f>IF(E111="——","——",N59)</f>
        <v>——</v>
      </c>
      <c r="I111" s="121"/>
    </row>
    <row r="112" spans="1:35" ht="18.75" customHeight="1" thickBot="1">
      <c r="A112" s="121"/>
      <c r="B112" s="121"/>
      <c r="C112" s="121"/>
      <c r="D112" s="121"/>
      <c r="E112" s="3294"/>
      <c r="F112" s="3295"/>
      <c r="G112" s="1688" t="s">
        <v>1434</v>
      </c>
      <c r="H112" s="2382" t="str">
        <f>IF(E111="——","——",N61)</f>
        <v>——</v>
      </c>
      <c r="I112" s="121"/>
    </row>
    <row r="113" spans="1:27" ht="18.75" customHeight="1">
      <c r="A113" s="121"/>
      <c r="B113" s="121"/>
      <c r="C113" s="121"/>
      <c r="D113" s="121"/>
      <c r="E113" s="3302" t="s">
        <v>1440</v>
      </c>
      <c r="F113" s="3302"/>
      <c r="G113" s="3302"/>
      <c r="H113" s="3302"/>
      <c r="I113" s="121"/>
    </row>
    <row r="114" spans="1:27" ht="3.75" customHeight="1">
      <c r="A114" s="645"/>
      <c r="B114" s="645"/>
      <c r="C114" s="645"/>
      <c r="D114" s="645"/>
      <c r="E114" s="1669"/>
      <c r="F114" s="1669"/>
      <c r="G114" s="1669"/>
      <c r="H114" s="1669"/>
      <c r="I114" s="645"/>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48" t="s">
        <v>1449</v>
      </c>
      <c r="E117" s="2148" t="s">
        <v>1450</v>
      </c>
      <c r="F117" s="2148" t="s">
        <v>1449</v>
      </c>
      <c r="G117" s="2148" t="s">
        <v>1451</v>
      </c>
      <c r="H117" s="2148" t="s">
        <v>1449</v>
      </c>
      <c r="I117" s="2148" t="s">
        <v>1451</v>
      </c>
    </row>
    <row r="118" spans="1:27" ht="24.75" customHeight="1">
      <c r="A118" s="2383" t="str">
        <f>项目基本情况!S2</f>
        <v>北京市朝阳区天畅园6号楼2层等8套房地产</v>
      </c>
      <c r="B118" s="2148">
        <f>M18</f>
        <v>247.16</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588</v>
      </c>
      <c r="I118" s="2148">
        <f ca="1">ROUND(IF(D32="楼面单价",C32,H118*10000/B118),0)</f>
        <v>23794</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伍佰捌拾捌万元整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3" t="s">
        <v>1452</v>
      </c>
      <c r="B121" s="3275"/>
      <c r="C121" s="3274"/>
      <c r="D121" s="3273" t="str">
        <f>IF(D120=0,"零元整",NUMBERSTRING(INT(D120*10000),2)&amp;"元整")</f>
        <v>零元整</v>
      </c>
      <c r="E121" s="3275"/>
      <c r="F121" s="3275"/>
      <c r="G121" s="3275"/>
      <c r="H121" s="3275"/>
      <c r="I121" s="3274"/>
      <c r="AA121" s="683"/>
    </row>
    <row r="122" spans="1:27" ht="18.75" customHeight="1">
      <c r="A122" s="3279" t="str">
        <f>IF(项目基本情况!B9="房地产市场价值","",MID(E107,3,LEN(E107)-2))</f>
        <v>房地产抵押价值</v>
      </c>
      <c r="B122" s="3279"/>
      <c r="C122" s="3279"/>
      <c r="D122" s="3268">
        <f ca="1">H107</f>
        <v>588</v>
      </c>
      <c r="E122" s="3269"/>
      <c r="F122" s="3269"/>
      <c r="G122" s="3269"/>
      <c r="H122" s="3269"/>
      <c r="I122" s="3270"/>
      <c r="AA122" s="683"/>
    </row>
    <row r="123" spans="1:27" ht="18.75" customHeight="1">
      <c r="A123" s="3267" t="s">
        <v>1452</v>
      </c>
      <c r="B123" s="3267"/>
      <c r="C123" s="3267"/>
      <c r="D123" s="3273" t="str">
        <f ca="1">NUMBERSTRING(INT(D122*10000),2)&amp;"元整"</f>
        <v>伍佰捌拾捌万元整</v>
      </c>
      <c r="E123" s="3275"/>
      <c r="F123" s="3275"/>
      <c r="G123" s="3275"/>
      <c r="H123" s="3275"/>
      <c r="I123" s="3274"/>
      <c r="AA123" s="683"/>
    </row>
    <row r="124" spans="1:27" ht="18.75" customHeight="1">
      <c r="A124" s="3279" t="str">
        <f>IF(项目基本情况!B9="房地产市场价值","",MID(E109,3,LEN(E109)-2))</f>
        <v/>
      </c>
      <c r="B124" s="3279"/>
      <c r="C124" s="3279"/>
      <c r="D124" s="3268" t="str">
        <f>H109</f>
        <v>——</v>
      </c>
      <c r="E124" s="3269"/>
      <c r="F124" s="3269"/>
      <c r="G124" s="3269"/>
      <c r="H124" s="3269"/>
      <c r="I124" s="3270"/>
      <c r="AA124" s="683"/>
    </row>
    <row r="125" spans="1:27" ht="18.75" customHeight="1">
      <c r="A125" s="3267" t="s">
        <v>1452</v>
      </c>
      <c r="B125" s="3267"/>
      <c r="C125" s="3267"/>
      <c r="D125" s="3273" t="e">
        <f>NUMBERSTRING(INT(D124*10000),2)&amp;"元整"</f>
        <v>#VALUE!</v>
      </c>
      <c r="E125" s="3275"/>
      <c r="F125" s="3275"/>
      <c r="G125" s="3275"/>
      <c r="H125" s="3275"/>
      <c r="I125" s="3274"/>
      <c r="AA125" s="683"/>
    </row>
    <row r="126" spans="1:27" ht="18.75" customHeight="1">
      <c r="A126" s="3279" t="str">
        <f>IF(项目基本情况!B9="房地产市场价值","",MID(E111,3,LEN(E111)-2))</f>
        <v/>
      </c>
      <c r="B126" s="3279"/>
      <c r="C126" s="3279"/>
      <c r="D126" s="3268" t="str">
        <f>H111</f>
        <v>——</v>
      </c>
      <c r="E126" s="3269"/>
      <c r="F126" s="3269"/>
      <c r="G126" s="3269"/>
      <c r="H126" s="3269"/>
      <c r="I126" s="3270"/>
      <c r="AA126" s="683"/>
    </row>
    <row r="127" spans="1:27" ht="18.75" customHeight="1">
      <c r="A127" s="3267" t="s">
        <v>1452</v>
      </c>
      <c r="B127" s="3267"/>
      <c r="C127" s="3267"/>
      <c r="D127" s="3273" t="e">
        <f>NUMBERSTRING(INT(D126*10000),2)&amp;"元整"</f>
        <v>#VALUE!</v>
      </c>
      <c r="E127" s="3275"/>
      <c r="F127" s="3275"/>
      <c r="G127" s="3275"/>
      <c r="H127" s="3275"/>
      <c r="I127" s="3274"/>
      <c r="AA127" s="683"/>
    </row>
    <row r="128" spans="1:27" ht="21.75" customHeight="1">
      <c r="A128" s="3276" t="s">
        <v>1453</v>
      </c>
      <c r="B128" s="3276"/>
      <c r="C128" s="3276"/>
      <c r="D128" s="3276"/>
      <c r="E128" s="3276"/>
      <c r="F128" s="3276"/>
      <c r="G128" s="3276"/>
      <c r="H128" s="3276"/>
      <c r="I128" s="3276"/>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10" sqref="H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t="s">
        <v>3470</v>
      </c>
      <c r="C1" s="190"/>
      <c r="D1" s="190"/>
      <c r="E1" s="190"/>
      <c r="F1" s="190"/>
      <c r="G1" s="1061">
        <f>MATCH(B1,'数据-取费表'!A6:A16,0)+5</f>
        <v>6</v>
      </c>
    </row>
    <row r="2" spans="1:9" s="192" customFormat="1" ht="18" customHeight="1">
      <c r="A2" s="193" t="s">
        <v>1462</v>
      </c>
      <c r="B2" s="194">
        <f ca="1">IF(D2="——",C52,C52-E2)</f>
        <v>79</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3196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v>
      </c>
      <c r="D5" s="203" t="s">
        <v>1469</v>
      </c>
      <c r="E5" s="204" t="s">
        <v>1470</v>
      </c>
      <c r="F5" s="204" t="s">
        <v>1471</v>
      </c>
      <c r="G5" s="205"/>
    </row>
    <row r="6" spans="1:9" s="206" customFormat="1" ht="13.5" customHeight="1">
      <c r="A6" s="731" t="s">
        <v>1472</v>
      </c>
      <c r="B6" s="207" t="s">
        <v>1473</v>
      </c>
      <c r="C6" s="208">
        <f>基准地价修正!B2</f>
        <v>0</v>
      </c>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v>
      </c>
      <c r="D8" s="214"/>
      <c r="E8" s="212"/>
      <c r="F8" s="213"/>
      <c r="G8" s="1712" t="s">
        <v>3471</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3145">
        <f ca="1">C10</f>
        <v>5</v>
      </c>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247.16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247.16</v>
      </c>
      <c r="E19" s="203">
        <f>'数据-取费表'!B31</f>
        <v>200</v>
      </c>
      <c r="F19" s="223"/>
      <c r="G19" s="1712" t="s">
        <v>3472</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247.16</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46" t="s">
        <v>1544</v>
      </c>
    </row>
    <row r="43" spans="1:7" ht="13.5" customHeight="1">
      <c r="A43" s="733" t="s">
        <v>347</v>
      </c>
      <c r="B43" s="207" t="s">
        <v>1545</v>
      </c>
      <c r="C43" s="230">
        <f ca="1">ROUND(IF('数据-取费表'!B22&lt;=1,C39*F22*'数据-取费表'!B21/2,C39*(POWER((1+F22),'数据-取费表'!B21/2)-1)),0)</f>
        <v>0</v>
      </c>
      <c r="D43" s="230"/>
      <c r="E43" s="230"/>
      <c r="F43" s="231"/>
      <c r="G43" s="3347"/>
    </row>
    <row r="44" spans="1:7" ht="13.5" customHeight="1">
      <c r="A44" s="733" t="s">
        <v>348</v>
      </c>
      <c r="B44" s="207" t="s">
        <v>1546</v>
      </c>
      <c r="C44" s="230">
        <f ca="1">ROUND(IF('数据-取费表'!B22&lt;=1,C40*F22*'数据-取费表'!B21/2,C40*(POWER((1+F22),'数据-取费表'!B21/2)-1)),4)</f>
        <v>5.9999999999999995E-4</v>
      </c>
      <c r="D44" s="230"/>
      <c r="E44" s="230"/>
      <c r="F44" s="231"/>
      <c r="G44" s="3348"/>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3" t="s">
        <v>346</v>
      </c>
      <c r="B46" s="240" t="s">
        <v>1549</v>
      </c>
      <c r="C46" s="241">
        <f ca="1">ROUND((C33+C39)*F27,0)</f>
        <v>11</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92</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73</v>
      </c>
      <c r="D51" s="224"/>
      <c r="E51" s="224"/>
      <c r="F51" s="256"/>
      <c r="G51" s="226" t="s">
        <v>1560</v>
      </c>
    </row>
    <row r="52" spans="1:7" s="200" customFormat="1" ht="16.8" thickBot="1">
      <c r="A52" s="257" t="s">
        <v>1561</v>
      </c>
      <c r="B52" s="258"/>
      <c r="C52" s="259">
        <f ca="1">C31+C51</f>
        <v>79</v>
      </c>
      <c r="D52" s="258"/>
      <c r="E52" s="258"/>
      <c r="F52" s="258"/>
      <c r="G52" s="260"/>
    </row>
    <row r="55" spans="1:7" ht="15">
      <c r="B55" s="262" t="s">
        <v>1562</v>
      </c>
      <c r="C55" s="263"/>
    </row>
    <row r="56" spans="1:7">
      <c r="B56" s="265" t="s">
        <v>802</v>
      </c>
      <c r="C56" s="267">
        <f ca="1">1-C57</f>
        <v>7.5999999999999956E-2</v>
      </c>
    </row>
    <row r="57" spans="1:7">
      <c r="B57" s="265" t="s">
        <v>803</v>
      </c>
      <c r="C57" s="266">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4" t="str">
        <f>项目基本情况!B1</f>
        <v>北京市朝阳区天畅园6号楼2层等8套房地产抵押价值预评估</v>
      </c>
      <c r="C37" s="3164"/>
      <c r="D37" s="3164"/>
      <c r="E37" s="3164"/>
      <c r="F37" s="3164"/>
      <c r="G37" s="3164"/>
      <c r="H37" s="3164"/>
      <c r="I37" s="3164"/>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8"/>
      <c r="D1" s="1107"/>
      <c r="E1" s="2563"/>
      <c r="F1" s="2563"/>
      <c r="G1" s="2445"/>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247.16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247.16</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5.6799999999999962E-2</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247.16</v>
      </c>
      <c r="E20" s="21">
        <f>'数据-取费表'!B28</f>
        <v>200</v>
      </c>
      <c r="F20" s="755"/>
      <c r="G20" s="12"/>
      <c r="H20" s="760"/>
      <c r="I20" s="760"/>
      <c r="J20" s="760"/>
      <c r="K20" s="761"/>
    </row>
    <row r="21" spans="1:33" s="754" customFormat="1" ht="13.5" customHeight="1">
      <c r="A21" s="743" t="s">
        <v>357</v>
      </c>
      <c r="B21" s="764" t="s">
        <v>1628</v>
      </c>
      <c r="C21" s="765">
        <f ca="1">C16+C17+C18</f>
        <v>5.6799999999999962E-2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4"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2"/>
      <c r="C1" s="1285" t="s">
        <v>3470</v>
      </c>
      <c r="D1" s="1269" t="s">
        <v>43</v>
      </c>
      <c r="E1" s="1270" t="s">
        <v>678</v>
      </c>
      <c r="F1" s="998">
        <f ca="1">J53</f>
        <v>19.72</v>
      </c>
      <c r="G1" s="1284">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467</v>
      </c>
      <c r="C2" s="1287" t="s">
        <v>805</v>
      </c>
      <c r="D2" s="1287"/>
      <c r="E2" s="1293"/>
      <c r="F2" s="1294"/>
      <c r="G2" s="2475"/>
      <c r="H2" s="2465"/>
      <c r="I2" s="2465"/>
      <c r="J2" s="2465"/>
      <c r="K2" s="2466"/>
      <c r="L2" s="2465"/>
      <c r="M2" s="2465"/>
    </row>
    <row r="3" spans="1:37" ht="18" customHeight="1" thickBot="1">
      <c r="A3" s="1295" t="s">
        <v>806</v>
      </c>
      <c r="B3" s="1296">
        <f ca="1">IF(ISERROR(B2*10000/F43),0,ROUND(B2*10000/F43,0))</f>
        <v>18895</v>
      </c>
      <c r="C3" s="1287" t="s">
        <v>807</v>
      </c>
      <c r="D3" s="1287"/>
      <c r="E3" s="1293"/>
      <c r="F3" s="1294"/>
      <c r="G3" s="2475"/>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41</v>
      </c>
      <c r="D5" s="1271" t="s">
        <v>693</v>
      </c>
      <c r="E5" s="1007"/>
      <c r="F5" s="1008"/>
      <c r="G5" s="1290"/>
      <c r="H5" s="291">
        <v>1</v>
      </c>
      <c r="I5" s="292" t="s">
        <v>692</v>
      </c>
      <c r="J5" s="1006">
        <f ca="1">J6+J10+J12</f>
        <v>0</v>
      </c>
      <c r="K5" s="1271" t="s">
        <v>693</v>
      </c>
      <c r="L5" s="1007"/>
      <c r="M5" s="1008"/>
    </row>
    <row r="6" spans="1:37" ht="18" customHeight="1">
      <c r="A6" s="1005" t="s">
        <v>398</v>
      </c>
      <c r="B6" s="3351" t="s">
        <v>694</v>
      </c>
      <c r="C6" s="1010">
        <f ca="1">ROUND(F6*F8*F7*(1-F9)/10000,0)</f>
        <v>41</v>
      </c>
      <c r="D6" s="147" t="s">
        <v>2107</v>
      </c>
      <c r="E6" s="294" t="s">
        <v>696</v>
      </c>
      <c r="F6" s="295">
        <f ca="1">INDIRECT("'数据-取费表'!u"&amp;$G$1)</f>
        <v>5</v>
      </c>
      <c r="G6" s="1290"/>
      <c r="H6" s="1005" t="s">
        <v>398</v>
      </c>
      <c r="I6" s="3351" t="s">
        <v>694</v>
      </c>
      <c r="J6" s="293">
        <f ca="1">ROUND(M6*M8*M7*(1-M9)/10000,0)</f>
        <v>0</v>
      </c>
      <c r="K6" s="147" t="s">
        <v>2106</v>
      </c>
      <c r="L6" s="294" t="s">
        <v>696</v>
      </c>
      <c r="M6" s="295">
        <f ca="1">INDIRECT("'数据-取费表'!z"&amp;$G$1)</f>
        <v>0</v>
      </c>
    </row>
    <row r="7" spans="1:37" ht="18" customHeight="1">
      <c r="A7" s="1009"/>
      <c r="B7" s="3352"/>
      <c r="C7" s="1011"/>
      <c r="D7" s="299"/>
      <c r="E7" s="1012" t="s">
        <v>697</v>
      </c>
      <c r="F7" s="295">
        <f ca="1">IF(INDIRECT("'数据-取费表'!ah"&amp;$G$1)="",INDIRECT("'数据-取费表'!k"&amp;$G$1),INDIRECT("'数据-取费表'!ah"&amp;$G$1))</f>
        <v>247.16</v>
      </c>
      <c r="G7" s="1290"/>
      <c r="H7" s="296"/>
      <c r="I7" s="3352"/>
      <c r="J7" s="298"/>
      <c r="K7" s="299"/>
      <c r="L7" s="294" t="s">
        <v>697</v>
      </c>
      <c r="M7" s="295">
        <f ca="1">F7</f>
        <v>247.16</v>
      </c>
    </row>
    <row r="8" spans="1:37" ht="18" customHeight="1">
      <c r="A8" s="296"/>
      <c r="B8" s="3352"/>
      <c r="C8" s="298"/>
      <c r="D8" s="299"/>
      <c r="E8" s="294" t="s">
        <v>698</v>
      </c>
      <c r="F8" s="295">
        <f ca="1">INDIRECT("'数据-取费表'!ai"&amp;$G$1)</f>
        <v>365</v>
      </c>
      <c r="G8" s="1290"/>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0"/>
      <c r="H9" s="296"/>
      <c r="I9" s="3353"/>
      <c r="J9" s="298"/>
      <c r="K9" s="299"/>
      <c r="L9" s="305" t="s">
        <v>699</v>
      </c>
      <c r="M9" s="306">
        <f ca="1">INDIRECT("'数据-取费表'!ab"&amp;$G$1)</f>
        <v>0</v>
      </c>
    </row>
    <row r="10" spans="1:37" ht="18" customHeight="1">
      <c r="A10" s="1005" t="s">
        <v>402</v>
      </c>
      <c r="B10" s="1272" t="s">
        <v>700</v>
      </c>
      <c r="C10" s="308">
        <f ca="1">ROUND(IF(F10="押一",C6/12*F11,IF(F10="押二",C6/12*2*F11,IF(F10="押三",C6/12*3*F11,C11*F11))),0)</f>
        <v>0</v>
      </c>
      <c r="D10" s="150" t="s">
        <v>2115</v>
      </c>
      <c r="E10" s="305" t="s">
        <v>701</v>
      </c>
      <c r="F10" s="1052" t="s">
        <v>3452</v>
      </c>
      <c r="G10" s="1290"/>
      <c r="H10" s="1005" t="s">
        <v>402</v>
      </c>
      <c r="I10" s="1272" t="s">
        <v>700</v>
      </c>
      <c r="J10" s="293">
        <f ca="1">ROUND(IF(M10="押一",J6/12*M11,IF(M10="押二",J6/12*2*M11,IF(M10="押三",J6/12*3*M11,J11*M11))),0)</f>
        <v>0</v>
      </c>
      <c r="K10" s="150" t="s">
        <v>2114</v>
      </c>
      <c r="L10" s="305" t="s">
        <v>701</v>
      </c>
      <c r="M10" s="1052"/>
    </row>
    <row r="11" spans="1:37" ht="18" customHeight="1">
      <c r="A11" s="300"/>
      <c r="B11" s="1273" t="s">
        <v>679</v>
      </c>
      <c r="C11" s="904"/>
      <c r="D11" s="1274"/>
      <c r="E11" s="305" t="s">
        <v>702</v>
      </c>
      <c r="F11" s="306">
        <f ca="1">'数据-取费表'!B39</f>
        <v>1.4999999999999999E-2</v>
      </c>
      <c r="G11" s="1290"/>
      <c r="H11" s="1013"/>
      <c r="I11" s="1273" t="s">
        <v>679</v>
      </c>
      <c r="J11" s="904"/>
      <c r="K11" s="645"/>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73</v>
      </c>
      <c r="D13" s="1017" t="s">
        <v>705</v>
      </c>
      <c r="E13" s="1017" t="s">
        <v>706</v>
      </c>
      <c r="F13" s="1018">
        <f ca="1">INDIRECT("'数据-取费表'!y"&amp;$G$1)</f>
        <v>0.79</v>
      </c>
      <c r="G13" s="1290"/>
      <c r="H13" s="1015">
        <v>2</v>
      </c>
      <c r="I13" s="1016" t="s">
        <v>704</v>
      </c>
      <c r="J13" s="1004">
        <f ca="1">ROUND(J14*J15,0)</f>
        <v>0</v>
      </c>
      <c r="K13" s="1023" t="s">
        <v>705</v>
      </c>
      <c r="L13" s="1297"/>
      <c r="M13" s="1298"/>
    </row>
    <row r="14" spans="1:37" ht="18" customHeight="1">
      <c r="A14" s="927" t="s">
        <v>397</v>
      </c>
      <c r="B14" s="294" t="s">
        <v>707</v>
      </c>
      <c r="C14" s="310">
        <f ca="1">INDIRECT("'数据-取费表'!m"&amp;$G$1)+INDIRECT("'数据-取费表'!t"&amp;$G$1)</f>
        <v>62</v>
      </c>
      <c r="D14" s="1255" t="s">
        <v>708</v>
      </c>
      <c r="E14" s="1253"/>
      <c r="F14" s="311"/>
      <c r="G14" s="1290"/>
      <c r="H14" s="927" t="s">
        <v>398</v>
      </c>
      <c r="I14" s="294" t="s">
        <v>709</v>
      </c>
      <c r="J14" s="21">
        <f ca="1">C29</f>
        <v>92</v>
      </c>
      <c r="K14" s="12"/>
      <c r="L14" s="758"/>
      <c r="M14" s="759"/>
    </row>
    <row r="15" spans="1:37" s="1302" customFormat="1" ht="18" customHeight="1" thickBot="1">
      <c r="A15" s="927" t="s">
        <v>399</v>
      </c>
      <c r="B15" s="294" t="s">
        <v>710</v>
      </c>
      <c r="C15" s="21">
        <f ca="1">ROUND(C14*F15,0)</f>
        <v>3</v>
      </c>
      <c r="D15" s="312" t="s">
        <v>711</v>
      </c>
      <c r="E15" s="312" t="s">
        <v>712</v>
      </c>
      <c r="F15" s="313">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5" t="s">
        <v>393</v>
      </c>
      <c r="I16" s="1016" t="s">
        <v>714</v>
      </c>
      <c r="J16" s="302">
        <f ca="1">ROUND(J17+J22+J23+J24,0)</f>
        <v>0</v>
      </c>
      <c r="K16" s="1023" t="s">
        <v>715</v>
      </c>
      <c r="L16" s="1024"/>
      <c r="M16" s="1008"/>
    </row>
    <row r="17" spans="1:37" s="1302" customFormat="1" ht="18" customHeight="1">
      <c r="A17" s="927" t="s">
        <v>681</v>
      </c>
      <c r="B17" s="294" t="s">
        <v>716</v>
      </c>
      <c r="C17" s="21">
        <f ca="1">ROUND(F17*(F43+INDIRECT("'数据-取费表'!S"&amp;$G$1))/10000,0)</f>
        <v>5</v>
      </c>
      <c r="D17" s="294" t="s">
        <v>717</v>
      </c>
      <c r="E17" s="294" t="s">
        <v>718</v>
      </c>
      <c r="F17" s="23">
        <f>'数据-取费表'!B35</f>
        <v>200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1</v>
      </c>
      <c r="D18" s="294" t="s">
        <v>711</v>
      </c>
      <c r="E18" s="294" t="s">
        <v>712</v>
      </c>
      <c r="F18" s="314">
        <f>'数据-取费表'!B36</f>
        <v>0.02</v>
      </c>
      <c r="G18" s="1301"/>
      <c r="H18" s="927"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71</v>
      </c>
      <c r="D19" s="123" t="s">
        <v>726</v>
      </c>
      <c r="E19" s="1267"/>
      <c r="F19" s="23"/>
      <c r="G19" s="1290"/>
      <c r="H19" s="927" t="s">
        <v>399</v>
      </c>
      <c r="I19" s="294" t="s">
        <v>727</v>
      </c>
      <c r="J19" s="21">
        <f ca="1">IF(K19="按租金收入计税",ROUND(J6*M19/(1+'数据-取费表'!C42),2),ROUND(C29*M19*0.7,2))</f>
        <v>0</v>
      </c>
      <c r="K19" s="1276" t="s">
        <v>3335</v>
      </c>
      <c r="L19" s="294" t="s">
        <v>712</v>
      </c>
      <c r="M19" s="314">
        <f>IF(K19="按租金收入计税",'数据-取费表'!B51,'数据-取费表'!B50)</f>
        <v>0.12</v>
      </c>
    </row>
    <row r="20" spans="1:37" s="1302" customFormat="1" ht="18" customHeight="1">
      <c r="A20" s="927" t="s">
        <v>402</v>
      </c>
      <c r="B20" s="294" t="s">
        <v>728</v>
      </c>
      <c r="C20" s="21">
        <f ca="1">ROUND(C19*F20,0)</f>
        <v>1</v>
      </c>
      <c r="D20" s="315" t="s">
        <v>729</v>
      </c>
      <c r="E20" s="294" t="s">
        <v>712</v>
      </c>
      <c r="F20" s="314">
        <f>'数据-取费表'!B37</f>
        <v>0.02</v>
      </c>
      <c r="G20" s="1301"/>
      <c r="H20" s="927"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0.46</v>
      </c>
      <c r="K22" s="1254" t="s">
        <v>739</v>
      </c>
      <c r="L22" s="294" t="s">
        <v>712</v>
      </c>
      <c r="M22" s="320">
        <f ca="1">INDIRECT("'数据-取费表'!Ak"&amp;$G$1)</f>
        <v>5.0000000000000001E-3</v>
      </c>
    </row>
    <row r="23" spans="1:37" s="1302" customFormat="1" ht="18" customHeight="1">
      <c r="A23" s="927"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1"/>
      <c r="H23" s="927"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5" t="s">
        <v>684</v>
      </c>
      <c r="I24" s="1026" t="s">
        <v>728</v>
      </c>
      <c r="J24" s="1027">
        <f ca="1">ROUND(J5*M24,2)</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f ca="1">J5-J16</f>
        <v>0</v>
      </c>
      <c r="K25" s="1031" t="s">
        <v>753</v>
      </c>
      <c r="L25" s="1032"/>
      <c r="M25" s="1033"/>
    </row>
    <row r="26" spans="1:37">
      <c r="A26" s="927" t="s">
        <v>397</v>
      </c>
      <c r="B26" s="294" t="s">
        <v>754</v>
      </c>
      <c r="C26" s="21">
        <f ca="1">ROUND((C19+C20)*F26,0)</f>
        <v>11</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92</v>
      </c>
      <c r="D29" s="1028"/>
      <c r="E29" s="1026"/>
      <c r="F29" s="1029"/>
      <c r="G29" s="1301"/>
      <c r="H29" s="325" t="s">
        <v>396</v>
      </c>
      <c r="I29" s="326" t="s">
        <v>768</v>
      </c>
      <c r="J29" s="327">
        <f ca="1">ROUND(J26/(1+F40)^F41,0)</f>
        <v>0</v>
      </c>
      <c r="K29" s="328" t="s">
        <v>769</v>
      </c>
      <c r="L29" s="329"/>
      <c r="M29" s="330">
        <f ca="1">INDIRECT("'数据-取费表'!k"&amp;$G$1)</f>
        <v>247.16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8</v>
      </c>
      <c r="D30" s="1023" t="s">
        <v>715</v>
      </c>
      <c r="E30" s="1024"/>
      <c r="F30" s="1008"/>
      <c r="G30" s="1290"/>
      <c r="H30" s="2467"/>
      <c r="I30" s="1303"/>
      <c r="J30" s="1304"/>
      <c r="K30" s="121"/>
      <c r="L30" s="2468"/>
      <c r="M30" s="2469"/>
    </row>
    <row r="31" spans="1:37" ht="18" customHeight="1">
      <c r="A31" s="927" t="s">
        <v>398</v>
      </c>
      <c r="B31" s="294" t="s">
        <v>719</v>
      </c>
      <c r="C31" s="2138">
        <f ca="1">ROUND(IF(AND(项目基本情况!B11="自然人",项目基本情况!B10="北京市"),C6*F31/(1+'数据-取费表'!C42),C32+C33+C34),2)</f>
        <v>6.88</v>
      </c>
      <c r="D31" s="1255" t="s">
        <v>720</v>
      </c>
      <c r="E31" s="1254" t="s">
        <v>770</v>
      </c>
      <c r="F31" s="2137" t="str">
        <f>IF(项目基本情况!B11="企业","——",IF(M47="住宅",IF(F6*F7*F8/12/(1+'数据-取费表'!F30)&gt;100000,4%,2.5%),IF(F6*F7*F8/12/(1+'数据-取费表'!F30)&gt;100000,12%,7%)))</f>
        <v>——</v>
      </c>
      <c r="G31" s="1290"/>
      <c r="H31" s="2565" t="s">
        <v>2306</v>
      </c>
      <c r="I31" s="1303"/>
      <c r="J31" s="1304"/>
      <c r="K31" s="121"/>
      <c r="L31" s="2468"/>
      <c r="M31" s="2469"/>
    </row>
    <row r="32" spans="1:37" ht="18" customHeight="1">
      <c r="A32" s="927" t="s">
        <v>397</v>
      </c>
      <c r="B32" s="294" t="s">
        <v>723</v>
      </c>
      <c r="C32" s="21">
        <f ca="1">IF(项目基本情况!B11="自然人","——",ROUND(C6*F32/(1+'数据-取费表'!C42),2))</f>
        <v>2.19</v>
      </c>
      <c r="D32" s="1254" t="s">
        <v>724</v>
      </c>
      <c r="E32" s="294" t="s">
        <v>712</v>
      </c>
      <c r="F32" s="322">
        <f>'数据-取费表'!B41</f>
        <v>5.6000000000000001E-2</v>
      </c>
      <c r="G32" s="1290"/>
      <c r="H32" s="2467"/>
      <c r="I32" s="1303"/>
      <c r="J32" s="1304"/>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4.6900000000000004</v>
      </c>
      <c r="D33" s="1276" t="s">
        <v>3335</v>
      </c>
      <c r="E33" s="294" t="s">
        <v>712</v>
      </c>
      <c r="F33" s="314">
        <f>IF(D33="按票据","——",IF(D33="按租金收入计税",'数据-取费表'!B51,'数据-取费表'!B50))</f>
        <v>0.12</v>
      </c>
      <c r="G33" s="1290"/>
      <c r="H33" s="2470"/>
      <c r="I33" s="1303"/>
      <c r="J33" s="1304"/>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3</v>
      </c>
      <c r="G34" s="1290"/>
      <c r="H34" s="2467"/>
      <c r="I34" s="1303"/>
      <c r="J34" s="1304"/>
      <c r="K34" s="2472"/>
      <c r="L34" s="2473"/>
      <c r="M34" s="2473"/>
    </row>
    <row r="35" spans="1:18" ht="18" customHeight="1">
      <c r="A35" s="1039"/>
      <c r="B35" s="1037"/>
      <c r="C35" s="26"/>
      <c r="D35" s="319"/>
      <c r="E35" s="294" t="s">
        <v>736</v>
      </c>
      <c r="F35" s="295">
        <f ca="1">INDIRECT("'数据-取费表'!r"&amp;$G$1)</f>
        <v>0</v>
      </c>
      <c r="G35" s="1290"/>
      <c r="H35" s="2467"/>
      <c r="I35" s="1303"/>
      <c r="J35" s="1304"/>
      <c r="K35" s="2471"/>
      <c r="L35" s="2470"/>
      <c r="M35" s="2470"/>
    </row>
    <row r="36" spans="1:18" ht="18" customHeight="1">
      <c r="A36" s="1038" t="s">
        <v>402</v>
      </c>
      <c r="B36" s="294" t="s">
        <v>738</v>
      </c>
      <c r="C36" s="21">
        <f ca="1">ROUND(C29*F36,2)</f>
        <v>0.46</v>
      </c>
      <c r="D36" s="1254" t="s">
        <v>771</v>
      </c>
      <c r="E36" s="294" t="s">
        <v>712</v>
      </c>
      <c r="F36" s="320">
        <f ca="1">INDIRECT("'数据-取费表'!Ak"&amp;$G$1)</f>
        <v>5.0000000000000001E-3</v>
      </c>
      <c r="G36" s="1290"/>
      <c r="H36" s="2470"/>
      <c r="I36" s="1303"/>
      <c r="J36" s="1304"/>
      <c r="K36" s="2328"/>
      <c r="L36" s="2470"/>
      <c r="M36" s="2470"/>
    </row>
    <row r="37" spans="1:18" ht="18" customHeight="1">
      <c r="A37" s="927" t="s">
        <v>437</v>
      </c>
      <c r="B37" s="294" t="s">
        <v>742</v>
      </c>
      <c r="C37" s="21">
        <f ca="1">ROUND(C13*F37,2)</f>
        <v>7.0000000000000007E-2</v>
      </c>
      <c r="D37" s="1254" t="s">
        <v>743</v>
      </c>
      <c r="E37" s="294" t="s">
        <v>744</v>
      </c>
      <c r="F37" s="321">
        <f ca="1">INDIRECT("'数据-取费表'!Al"&amp;$G$1)</f>
        <v>1E-3</v>
      </c>
      <c r="G37" s="1290"/>
      <c r="H37" s="2470"/>
      <c r="I37" s="1303"/>
      <c r="J37" s="1304"/>
      <c r="K37" s="2328"/>
      <c r="L37" s="2470"/>
      <c r="M37" s="2470"/>
    </row>
    <row r="38" spans="1:18" ht="18" customHeight="1" thickBot="1">
      <c r="A38" s="1025" t="s">
        <v>684</v>
      </c>
      <c r="B38" s="1026" t="s">
        <v>728</v>
      </c>
      <c r="C38" s="1027">
        <f ca="1">ROUND(C5*F38,2)</f>
        <v>0.21</v>
      </c>
      <c r="D38" s="1028" t="s">
        <v>748</v>
      </c>
      <c r="E38" s="1026" t="s">
        <v>744</v>
      </c>
      <c r="F38" s="1022">
        <f ca="1">INDIRECT("'数据-取费表'!Am"&amp;$G$1)</f>
        <v>5.0000000000000001E-3</v>
      </c>
      <c r="G38" s="1290"/>
      <c r="H38" s="2470"/>
      <c r="I38" s="1303"/>
      <c r="J38" s="1304"/>
      <c r="K38" s="2468"/>
      <c r="L38" s="2470"/>
      <c r="M38" s="2470"/>
    </row>
    <row r="39" spans="1:18" ht="24.6" customHeight="1" thickTop="1">
      <c r="A39" s="1015" t="s">
        <v>394</v>
      </c>
      <c r="B39" s="1030" t="s">
        <v>772</v>
      </c>
      <c r="C39" s="302">
        <f ca="1">C5-C30</f>
        <v>33</v>
      </c>
      <c r="D39" s="1031" t="s">
        <v>773</v>
      </c>
      <c r="E39" s="1032"/>
      <c r="F39" s="1033"/>
      <c r="G39" s="1290"/>
      <c r="H39" s="2470"/>
      <c r="I39" s="1303"/>
      <c r="J39" s="1304"/>
      <c r="K39" s="2468"/>
      <c r="L39" s="2470"/>
      <c r="M39" s="2470"/>
    </row>
    <row r="40" spans="1:18" ht="18" customHeight="1">
      <c r="A40" s="291" t="s">
        <v>395</v>
      </c>
      <c r="B40" s="292" t="s">
        <v>774</v>
      </c>
      <c r="C40" s="293">
        <f ca="1">ROUND(C39*(1-((1+F42)/(1+F40))^F41)/(F40-F42),0)</f>
        <v>458</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19.72</v>
      </c>
      <c r="G41" s="1290"/>
      <c r="H41" s="121"/>
      <c r="I41" s="1303"/>
      <c r="J41" s="1304"/>
      <c r="K41" s="2328"/>
      <c r="L41" s="121"/>
      <c r="M41" s="121"/>
    </row>
    <row r="42" spans="1:18" ht="18" customHeight="1">
      <c r="A42" s="300"/>
      <c r="B42" s="301"/>
      <c r="C42" s="302"/>
      <c r="D42" s="319"/>
      <c r="E42" s="294" t="s">
        <v>766</v>
      </c>
      <c r="F42" s="304">
        <f ca="1">INDIRECT("'数据-取费表'!v"&amp;$G$1)</f>
        <v>0.02</v>
      </c>
      <c r="G42" s="1290"/>
      <c r="H42" s="121"/>
      <c r="I42" s="1303"/>
      <c r="J42" s="1304"/>
      <c r="K42" s="2328"/>
      <c r="L42" s="121"/>
      <c r="M42" s="121"/>
    </row>
    <row r="43" spans="1:18" ht="18" customHeight="1" thickBot="1">
      <c r="A43" s="325" t="s">
        <v>396</v>
      </c>
      <c r="B43" s="326" t="s">
        <v>776</v>
      </c>
      <c r="C43" s="327">
        <f ca="1">ROUND(C40*10000/F43,0)</f>
        <v>18531</v>
      </c>
      <c r="D43" s="328" t="s">
        <v>777</v>
      </c>
      <c r="E43" s="329" t="s">
        <v>778</v>
      </c>
      <c r="F43" s="330">
        <f ca="1">INDIRECT("'数据-取费表'!k"&amp;$G$1)</f>
        <v>247.16</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4" t="s">
        <v>808</v>
      </c>
      <c r="P45" s="1364"/>
      <c r="Q45" s="1364"/>
      <c r="R45" s="1364"/>
    </row>
    <row r="46" spans="1:18" s="1290" customFormat="1" ht="13.8" thickBot="1">
      <c r="A46" s="1309" t="s">
        <v>809</v>
      </c>
      <c r="C46" s="1310">
        <f ca="1">C68-C40</f>
        <v>-470</v>
      </c>
      <c r="D46" s="1311" t="str">
        <f>C2</f>
        <v>万元</v>
      </c>
      <c r="E46" s="1305"/>
      <c r="F46" s="1305"/>
      <c r="I46" s="1312" t="s">
        <v>810</v>
      </c>
      <c r="J46" s="1313"/>
      <c r="K46" s="1314"/>
      <c r="L46" s="1315">
        <f ca="1">IF(M47="住宅",0,IF(L48&gt;J51,L60,J60))</f>
        <v>9</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0"/>
      <c r="I47" s="1319" t="s">
        <v>815</v>
      </c>
      <c r="J47" s="1320" t="s">
        <v>3453</v>
      </c>
      <c r="K47" s="1321" t="s">
        <v>816</v>
      </c>
      <c r="L47" s="1322">
        <f ca="1">INDIRECT("'数据-取费表'!d"&amp;$G$1)</f>
        <v>40</v>
      </c>
      <c r="M47" s="1286" t="str">
        <f>IF(ISNUMBER(FIND("住宅",C1)),"住宅","非住宅")</f>
        <v>非住宅</v>
      </c>
      <c r="O47" s="1323" t="s">
        <v>403</v>
      </c>
      <c r="P47" s="1324" t="s">
        <v>817</v>
      </c>
      <c r="Q47" s="1325">
        <f ca="1">C40+J29</f>
        <v>458</v>
      </c>
      <c r="R47" s="1325" t="s">
        <v>818</v>
      </c>
    </row>
    <row r="48" spans="1:18" s="1290" customFormat="1" ht="40.200000000000003" thickBot="1">
      <c r="A48" s="1046" t="s">
        <v>438</v>
      </c>
      <c r="B48" s="292" t="s">
        <v>692</v>
      </c>
      <c r="C48" s="1266">
        <f ca="1">C49+C53+C55</f>
        <v>0</v>
      </c>
      <c r="D48" s="1048"/>
      <c r="E48" s="1049"/>
      <c r="F48" s="907"/>
      <c r="G48" s="680"/>
      <c r="H48" s="681"/>
      <c r="I48" s="1326" t="s">
        <v>819</v>
      </c>
      <c r="J48" s="1327" t="s">
        <v>3454</v>
      </c>
      <c r="K48" s="1328" t="s">
        <v>820</v>
      </c>
      <c r="L48" s="1329">
        <f ca="1">INDIRECT("'数据-取费表'!f"&amp;$G$1)</f>
        <v>19.72</v>
      </c>
      <c r="O48" s="1323" t="s">
        <v>404</v>
      </c>
      <c r="P48" s="1324" t="s">
        <v>821</v>
      </c>
      <c r="Q48" s="1325">
        <f ca="1">J60</f>
        <v>9</v>
      </c>
      <c r="R48" s="1325" t="s">
        <v>822</v>
      </c>
    </row>
    <row r="49" spans="1:18" s="1290" customFormat="1" ht="13.8" thickBot="1">
      <c r="A49" s="920" t="s">
        <v>439</v>
      </c>
      <c r="B49" s="1277" t="s">
        <v>779</v>
      </c>
      <c r="C49" s="1050">
        <f ca="1">ROUND(F49*F51*F50*(1-F52)/10000,0)</f>
        <v>0</v>
      </c>
      <c r="D49" s="991" t="s">
        <v>2108</v>
      </c>
      <c r="E49" s="1278" t="s">
        <v>780</v>
      </c>
      <c r="F49" s="996"/>
      <c r="H49" s="681"/>
      <c r="I49" s="1326" t="s">
        <v>823</v>
      </c>
      <c r="J49" s="1330">
        <f>'数据-取费表'!N18</f>
        <v>2008</v>
      </c>
      <c r="K49" s="1328" t="s">
        <v>824</v>
      </c>
      <c r="L49" s="1331"/>
      <c r="O49" s="1332" t="s">
        <v>405</v>
      </c>
      <c r="P49" s="1324" t="s">
        <v>825</v>
      </c>
      <c r="Q49" s="1325">
        <f ca="1">C29</f>
        <v>92</v>
      </c>
      <c r="R49" s="1325" t="s">
        <v>818</v>
      </c>
    </row>
    <row r="50" spans="1:18" s="1290" customFormat="1" ht="13.8" thickBot="1">
      <c r="A50" s="921"/>
      <c r="B50" s="924"/>
      <c r="C50" s="1054"/>
      <c r="D50" s="898"/>
      <c r="E50" s="992" t="s">
        <v>697</v>
      </c>
      <c r="F50" s="993">
        <f ca="1">F7</f>
        <v>247.16</v>
      </c>
      <c r="H50" s="681"/>
      <c r="I50" s="1326" t="s">
        <v>826</v>
      </c>
      <c r="J50" s="1333">
        <f>SUMPRODUCT((I63:I65=J47)*(J62:L62=J48)*(J63:L65))</f>
        <v>60</v>
      </c>
      <c r="K50" s="1328" t="s">
        <v>827</v>
      </c>
      <c r="L50" s="1331"/>
      <c r="M50" s="1334"/>
      <c r="O50" s="1332" t="s">
        <v>406</v>
      </c>
      <c r="P50" s="1324" t="s">
        <v>828</v>
      </c>
      <c r="Q50" s="1335">
        <f ca="1">J58</f>
        <v>0.40500000000000003</v>
      </c>
      <c r="R50" s="1325"/>
    </row>
    <row r="51" spans="1:18" s="1290" customFormat="1" ht="13.8" thickBot="1">
      <c r="A51" s="922"/>
      <c r="B51" s="924"/>
      <c r="C51" s="925"/>
      <c r="D51" s="898"/>
      <c r="E51" s="926" t="s">
        <v>698</v>
      </c>
      <c r="F51" s="295">
        <f ca="1">F8</f>
        <v>365</v>
      </c>
      <c r="I51" s="1336" t="s">
        <v>829</v>
      </c>
      <c r="J51" s="1329">
        <f>IF(J49="",J50,J49+J50-YEAR('数据-取费表'!B2))</f>
        <v>44</v>
      </c>
      <c r="K51" s="1337" t="s">
        <v>830</v>
      </c>
      <c r="L51" s="1338">
        <f ca="1">ROUND(-PV(INDIRECT("'数据-取费表'!h"&amp;$G$1),J51,(C39-C13*C76),0),0)</f>
        <v>493</v>
      </c>
      <c r="M51" s="1339"/>
      <c r="O51" s="1332" t="s">
        <v>407</v>
      </c>
      <c r="P51" s="1324" t="s">
        <v>831</v>
      </c>
      <c r="Q51" s="1335">
        <f>J52</f>
        <v>7.4999999999999997E-2</v>
      </c>
      <c r="R51" s="1325"/>
    </row>
    <row r="52" spans="1:18" s="1290" customFormat="1" ht="13.8" thickBot="1">
      <c r="A52" s="922"/>
      <c r="B52" s="924"/>
      <c r="C52" s="925"/>
      <c r="D52" s="898"/>
      <c r="E52" s="926" t="s">
        <v>699</v>
      </c>
      <c r="F52" s="990"/>
      <c r="I52" s="1340" t="s">
        <v>832</v>
      </c>
      <c r="J52" s="1341">
        <v>7.4999999999999997E-2</v>
      </c>
      <c r="K52" s="1340" t="s">
        <v>833</v>
      </c>
      <c r="L52" s="1341"/>
      <c r="O52" s="1332" t="s">
        <v>408</v>
      </c>
      <c r="P52" s="1324" t="s">
        <v>834</v>
      </c>
      <c r="Q52" s="1325">
        <f ca="1">J53</f>
        <v>19.72</v>
      </c>
      <c r="R52" s="1325" t="s">
        <v>835</v>
      </c>
    </row>
    <row r="53" spans="1:18" s="1290" customFormat="1" ht="36.6" thickBot="1">
      <c r="A53" s="1077" t="s">
        <v>440</v>
      </c>
      <c r="B53" s="1279" t="s">
        <v>700</v>
      </c>
      <c r="C53" s="308">
        <f ca="1">ROUND(IF(F53="押一",C49/12*F11,IF(F53="押二",C49/12*2*F11,IF(F53="押三",C49/12*3*F11,C54*F11))),0)</f>
        <v>0</v>
      </c>
      <c r="D53" s="150" t="s">
        <v>2114</v>
      </c>
      <c r="E53" s="305" t="s">
        <v>701</v>
      </c>
      <c r="F53" s="1052"/>
      <c r="I53" s="1342" t="s">
        <v>836</v>
      </c>
      <c r="J53" s="2004">
        <f ca="1">IF(M47="住宅",IF(D1="——",MAX(J51,L48),MAX(J51,L48-'数据-取费表'!B24)),IF(D1="——",MIN(J51,L48),MIN(J51,L48-'数据-取费表'!B24)))</f>
        <v>19.72</v>
      </c>
      <c r="K53" s="3349" t="s">
        <v>837</v>
      </c>
      <c r="L53" s="3350"/>
      <c r="O53" s="1323" t="s">
        <v>409</v>
      </c>
      <c r="P53" s="1324" t="s">
        <v>838</v>
      </c>
      <c r="Q53" s="1325">
        <f ca="1">Q47+Q48</f>
        <v>467</v>
      </c>
      <c r="R53" s="1325" t="s">
        <v>410</v>
      </c>
    </row>
    <row r="54" spans="1:18" s="1290" customFormat="1" ht="24.6"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f ca="1">ROUND(IF(J47="钢混",J57/J50,1-(1-2%)*(J50-J57)/J50),3)</f>
        <v>0.40500000000000003</v>
      </c>
      <c r="K55" s="1348" t="s">
        <v>841</v>
      </c>
      <c r="L55" s="1349"/>
      <c r="O55" s="1316" t="s">
        <v>811</v>
      </c>
      <c r="P55" s="1317" t="s">
        <v>812</v>
      </c>
      <c r="Q55" s="1318" t="s">
        <v>813</v>
      </c>
      <c r="R55" s="1318" t="s">
        <v>814</v>
      </c>
    </row>
    <row r="56" spans="1:18" s="1290" customFormat="1" ht="37.200000000000003" thickTop="1" thickBot="1">
      <c r="A56" s="902">
        <v>2</v>
      </c>
      <c r="B56" s="903" t="s">
        <v>704</v>
      </c>
      <c r="C56" s="224">
        <f ca="1">C13</f>
        <v>73</v>
      </c>
      <c r="D56" s="1350"/>
      <c r="E56" s="1351"/>
      <c r="F56" s="1343"/>
      <c r="I56" s="1352" t="s">
        <v>842</v>
      </c>
      <c r="J56" s="1353" t="s">
        <v>3473</v>
      </c>
      <c r="K56" s="1326" t="s">
        <v>843</v>
      </c>
      <c r="L56" s="1329" t="str">
        <f ca="1">IF(L48&lt;J51,"——",L48-J53)</f>
        <v>——</v>
      </c>
      <c r="O56" s="1323" t="s">
        <v>403</v>
      </c>
      <c r="P56" s="1324" t="s">
        <v>817</v>
      </c>
      <c r="Q56" s="1325">
        <f ca="1">C40+J29</f>
        <v>458</v>
      </c>
      <c r="R56" s="1325" t="s">
        <v>818</v>
      </c>
    </row>
    <row r="57" spans="1:18" s="1290" customFormat="1" ht="24.6" thickBot="1">
      <c r="A57" s="1354"/>
      <c r="B57" s="895" t="s">
        <v>767</v>
      </c>
      <c r="C57" s="230">
        <f ca="1">C29</f>
        <v>92</v>
      </c>
      <c r="D57" s="1355"/>
      <c r="E57" s="1356"/>
      <c r="F57" s="1357"/>
      <c r="I57" s="1358" t="s">
        <v>844</v>
      </c>
      <c r="J57" s="1359">
        <f ca="1">IF(OR(M47="住宅",J51&lt;L48,J56="是"),"——",J51-L48)</f>
        <v>24.28</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3" t="s">
        <v>714</v>
      </c>
      <c r="C58" s="308">
        <f ca="1">ROUND(C59+C64+C65+C66,0)</f>
        <v>1</v>
      </c>
      <c r="D58" s="905" t="s">
        <v>715</v>
      </c>
      <c r="E58" s="906"/>
      <c r="F58" s="907"/>
      <c r="I58" s="1358" t="s">
        <v>848</v>
      </c>
      <c r="J58" s="1360">
        <f ca="1">IF(J55&lt;0.4,0.4,J55)</f>
        <v>0.40500000000000003</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37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1" t="s">
        <v>853</v>
      </c>
      <c r="J60" s="1362">
        <f ca="1">IF(OR(M47="住宅",J51&lt;L48,J56="是"),"0",ROUND(J59/(1+J52)^J53,0))</f>
        <v>9</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IF(项目基本情况!B11="自然人","——",IF(D61="按租金收入计税",ROUND(C49*F61/(1+'数据-取费表'!C42),2),IF(D61="按房产原值计税",ROUND(C57*F61*0.7,2),INDIRECT("'数据-取费表'!Aj"&amp;$G$1))))</f>
        <v>0</v>
      </c>
      <c r="D61" s="1276" t="s">
        <v>3335</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IF(项目基本情况!B11="自然人","——",ROUND(F62*F63/10000,2))</f>
        <v>0</v>
      </c>
      <c r="D62" s="910" t="s">
        <v>786</v>
      </c>
      <c r="E62" s="895" t="s">
        <v>787</v>
      </c>
      <c r="F62" s="317">
        <f t="shared" si="0"/>
        <v>3</v>
      </c>
      <c r="I62" s="1365" t="s">
        <v>858</v>
      </c>
      <c r="J62" s="610" t="s">
        <v>859</v>
      </c>
      <c r="K62" s="610" t="s">
        <v>860</v>
      </c>
      <c r="L62" s="610" t="s">
        <v>861</v>
      </c>
      <c r="M62" s="1366" t="s">
        <v>862</v>
      </c>
      <c r="O62" s="1323" t="s">
        <v>409</v>
      </c>
      <c r="P62" s="1324" t="s">
        <v>863</v>
      </c>
      <c r="Q62" s="1325">
        <f ca="1">Q56+Q57</f>
        <v>458</v>
      </c>
      <c r="R62" s="1325" t="s">
        <v>410</v>
      </c>
    </row>
    <row r="63" spans="1:18" s="1290" customFormat="1" ht="13.8"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ROUND(C57*F64,2)</f>
        <v>0.46</v>
      </c>
      <c r="D64" s="909" t="s">
        <v>791</v>
      </c>
      <c r="E64" s="895"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ROUND(C56*F65,2)</f>
        <v>7.0000000000000007E-2</v>
      </c>
      <c r="D65" s="909" t="s">
        <v>743</v>
      </c>
      <c r="E65" s="895" t="s">
        <v>744</v>
      </c>
      <c r="F65" s="321">
        <f t="shared" ca="1" si="0"/>
        <v>1E-3</v>
      </c>
      <c r="I65" s="1365" t="s">
        <v>867</v>
      </c>
      <c r="J65" s="610">
        <v>40</v>
      </c>
      <c r="K65" s="610">
        <v>30</v>
      </c>
      <c r="L65" s="610">
        <v>50</v>
      </c>
      <c r="M65" s="1367">
        <v>0.02</v>
      </c>
      <c r="O65" s="1323" t="s">
        <v>403</v>
      </c>
      <c r="P65" s="1324" t="s">
        <v>868</v>
      </c>
      <c r="Q65" s="1325">
        <f ca="1">C40+J29</f>
        <v>458</v>
      </c>
      <c r="R65" s="1325" t="s">
        <v>818</v>
      </c>
    </row>
    <row r="66" spans="1:18" s="1290" customFormat="1" ht="16.2" thickBot="1">
      <c r="A66" s="927" t="s">
        <v>793</v>
      </c>
      <c r="B66" s="895" t="s">
        <v>728</v>
      </c>
      <c r="C66" s="21">
        <f ca="1">ROUND(C48*F66,2)</f>
        <v>0</v>
      </c>
      <c r="D66" s="909" t="s">
        <v>794</v>
      </c>
      <c r="E66" s="895" t="s">
        <v>712</v>
      </c>
      <c r="F66" s="304">
        <f t="shared" ca="1" si="0"/>
        <v>5.0000000000000001E-3</v>
      </c>
      <c r="O66" s="1323" t="s">
        <v>404</v>
      </c>
      <c r="P66" s="1324" t="s">
        <v>846</v>
      </c>
      <c r="Q66" s="1325">
        <f ca="1">L60</f>
        <v>0</v>
      </c>
      <c r="R66" s="1325" t="s">
        <v>869</v>
      </c>
    </row>
    <row r="67" spans="1:18" s="1290" customFormat="1" ht="24.6" thickBot="1">
      <c r="A67" s="902" t="s">
        <v>394</v>
      </c>
      <c r="B67" s="912" t="s">
        <v>752</v>
      </c>
      <c r="C67" s="308">
        <f ca="1">C48-C58</f>
        <v>-1</v>
      </c>
      <c r="D67" s="908" t="s">
        <v>753</v>
      </c>
      <c r="E67" s="913"/>
      <c r="F67" s="914"/>
      <c r="O67" s="1332" t="s">
        <v>405</v>
      </c>
      <c r="P67" s="1324" t="s">
        <v>850</v>
      </c>
      <c r="Q67" s="1368">
        <f ca="1">L51</f>
        <v>493</v>
      </c>
      <c r="R67" s="1325" t="s">
        <v>870</v>
      </c>
    </row>
    <row r="68" spans="1:18" s="1290" customFormat="1" ht="16.2" thickBot="1">
      <c r="A68" s="892" t="s">
        <v>395</v>
      </c>
      <c r="B68" s="893" t="s">
        <v>774</v>
      </c>
      <c r="C68" s="293">
        <f ca="1">ROUND(C67*(1-((1+F70)/(1+F68))^F69)/(F68-F70),0)</f>
        <v>-12</v>
      </c>
      <c r="D68" s="910" t="s">
        <v>758</v>
      </c>
      <c r="E68" s="895" t="s">
        <v>759</v>
      </c>
      <c r="F68" s="304">
        <f ca="1">F40</f>
        <v>5.5E-2</v>
      </c>
      <c r="O68" s="1332" t="s">
        <v>406</v>
      </c>
      <c r="P68" s="1369" t="s">
        <v>871</v>
      </c>
      <c r="Q68" s="1325">
        <f ca="1">ROUND(Q69-Q70*Q71,0)</f>
        <v>28</v>
      </c>
      <c r="R68" s="1325" t="s">
        <v>414</v>
      </c>
    </row>
    <row r="69" spans="1:18" s="1290" customFormat="1" ht="13.8" thickBot="1">
      <c r="A69" s="896"/>
      <c r="B69" s="897"/>
      <c r="C69" s="298"/>
      <c r="D69" s="915" t="s">
        <v>762</v>
      </c>
      <c r="E69" s="895" t="s">
        <v>763</v>
      </c>
      <c r="F69" s="324">
        <f ca="1">F41</f>
        <v>19.72</v>
      </c>
      <c r="O69" s="1332" t="s">
        <v>411</v>
      </c>
      <c r="P69" s="1369" t="s">
        <v>872</v>
      </c>
      <c r="Q69" s="1325">
        <f ca="1">C39</f>
        <v>33</v>
      </c>
      <c r="R69" s="1325" t="s">
        <v>818</v>
      </c>
    </row>
    <row r="70" spans="1:18" s="1290" customFormat="1" ht="13.8" thickBot="1">
      <c r="A70" s="899"/>
      <c r="B70" s="900"/>
      <c r="C70" s="302"/>
      <c r="D70" s="911"/>
      <c r="E70" s="895" t="s">
        <v>766</v>
      </c>
      <c r="F70" s="990"/>
      <c r="O70" s="1332" t="s">
        <v>412</v>
      </c>
      <c r="P70" s="1369" t="s">
        <v>873</v>
      </c>
      <c r="Q70" s="1325">
        <f ca="1">C13</f>
        <v>73</v>
      </c>
      <c r="R70" s="1325" t="s">
        <v>818</v>
      </c>
    </row>
    <row r="71" spans="1:18" s="1290" customFormat="1" ht="13.8" thickBot="1">
      <c r="A71" s="916" t="s">
        <v>396</v>
      </c>
      <c r="B71" s="917" t="s">
        <v>776</v>
      </c>
      <c r="C71" s="327">
        <f ca="1">ROUND(C68*10000/F71,0)</f>
        <v>-486</v>
      </c>
      <c r="D71" s="918" t="s">
        <v>777</v>
      </c>
      <c r="E71" s="919" t="s">
        <v>778</v>
      </c>
      <c r="F71" s="330">
        <f ca="1">F43</f>
        <v>247.16</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5</v>
      </c>
      <c r="D75" s="1290"/>
      <c r="E75" s="1290"/>
      <c r="F75" s="1290"/>
      <c r="K75" s="1307"/>
      <c r="L75" s="1290"/>
      <c r="O75" s="1323" t="s">
        <v>409</v>
      </c>
      <c r="P75" s="1324" t="s">
        <v>838</v>
      </c>
      <c r="Q75" s="1325">
        <f ca="1">Q65+Q66</f>
        <v>458</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0.84799999999999998</v>
      </c>
    </row>
    <row r="80" spans="1:18">
      <c r="B80" s="331" t="s">
        <v>800</v>
      </c>
      <c r="C80" s="266">
        <f ca="1">ROUND(C75/C39,3)</f>
        <v>0.152</v>
      </c>
    </row>
    <row r="81" spans="2:3">
      <c r="B81" s="262" t="s">
        <v>801</v>
      </c>
      <c r="C81" s="230"/>
    </row>
    <row r="82" spans="2:3">
      <c r="B82" s="265" t="s">
        <v>802</v>
      </c>
      <c r="C82" s="267">
        <f ca="1">1-C83</f>
        <v>0.84099999999999997</v>
      </c>
    </row>
    <row r="83" spans="2:3">
      <c r="B83" s="265" t="s">
        <v>803</v>
      </c>
      <c r="C83" s="266">
        <f ca="1">ROUND(C13/C40,3)</f>
        <v>0.159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M39" sqref="M3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t="s">
        <v>3470</v>
      </c>
      <c r="E1" s="3119" t="s">
        <v>3476</v>
      </c>
      <c r="F1" s="1733" t="s">
        <v>3477</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639.3288</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0"/>
      <c r="M2" s="2501"/>
      <c r="N2" s="2501"/>
      <c r="O2" s="2501"/>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25867</v>
      </c>
      <c r="C3" s="344" t="s">
        <v>1768</v>
      </c>
      <c r="D3" s="343">
        <f>IF(D1="",'数据-汇总表'!E3,SUMIF('数据-汇总表'!$C19:$C33,D1,'数据-汇总表'!$E19:$E33))</f>
        <v>247.16</v>
      </c>
      <c r="E3" s="1803"/>
      <c r="F3" s="855"/>
      <c r="G3" s="854"/>
      <c r="H3" s="854"/>
      <c r="I3" s="854"/>
      <c r="J3" s="854"/>
      <c r="K3" s="856"/>
      <c r="L3" s="2500"/>
      <c r="M3" s="2501"/>
      <c r="N3" s="2501"/>
      <c r="O3" s="2501"/>
      <c r="P3" s="1802"/>
      <c r="Q3" s="858"/>
      <c r="R3" s="858"/>
      <c r="S3" s="858"/>
      <c r="T3" s="858"/>
      <c r="U3" s="858"/>
      <c r="V3" s="858"/>
      <c r="W3" s="858"/>
      <c r="X3" s="858"/>
      <c r="Y3" s="858"/>
      <c r="Z3" s="858"/>
      <c r="AA3" s="858"/>
      <c r="AB3" s="858"/>
      <c r="AC3" s="1803"/>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60" t="s">
        <v>1771</v>
      </c>
      <c r="S4" s="3361"/>
      <c r="T4" s="3360" t="s">
        <v>1772</v>
      </c>
      <c r="U4" s="3361"/>
      <c r="V4" s="3357" t="s">
        <v>1773</v>
      </c>
      <c r="W4" s="3357"/>
      <c r="X4" s="1263"/>
      <c r="Y4" s="3360" t="s">
        <v>1775</v>
      </c>
      <c r="Z4" s="3361"/>
      <c r="AA4" s="3354" t="s">
        <v>1771</v>
      </c>
      <c r="AB4" s="3357" t="s">
        <v>1772</v>
      </c>
      <c r="AC4" s="3354" t="s">
        <v>1773</v>
      </c>
    </row>
    <row r="5" spans="1:29">
      <c r="A5" s="348"/>
      <c r="B5" s="349"/>
      <c r="C5" s="3366" t="s">
        <v>3478</v>
      </c>
      <c r="D5" s="3367"/>
      <c r="E5" s="3364" t="str">
        <f>C5</f>
        <v>天畅园</v>
      </c>
      <c r="F5" s="3365"/>
      <c r="G5" s="3370" t="str">
        <f>C5</f>
        <v>天畅园</v>
      </c>
      <c r="H5" s="3367"/>
      <c r="I5" s="3370" t="str">
        <f>C5</f>
        <v>天畅园</v>
      </c>
      <c r="J5" s="3367"/>
      <c r="K5" s="537"/>
      <c r="L5" s="2483"/>
      <c r="M5" s="2484"/>
      <c r="N5" s="2484"/>
      <c r="O5" s="2484"/>
      <c r="P5" s="3380"/>
      <c r="Q5" s="3381"/>
      <c r="R5" s="3362"/>
      <c r="S5" s="3363"/>
      <c r="T5" s="3362"/>
      <c r="U5" s="3363"/>
      <c r="V5" s="3357"/>
      <c r="W5" s="3357"/>
      <c r="X5" s="1263"/>
      <c r="Y5" s="3362"/>
      <c r="Z5" s="3363"/>
      <c r="AA5" s="3355"/>
      <c r="AB5" s="3357"/>
      <c r="AC5" s="3355"/>
    </row>
    <row r="6" spans="1:29" ht="15" thickBot="1">
      <c r="A6" s="350"/>
      <c r="B6" s="351"/>
      <c r="C6" s="3368" t="s">
        <v>1677</v>
      </c>
      <c r="D6" s="3369"/>
      <c r="E6" s="3371"/>
      <c r="F6" s="3372"/>
      <c r="G6" s="3368" t="s">
        <v>1677</v>
      </c>
      <c r="H6" s="3369"/>
      <c r="I6" s="3368" t="s">
        <v>1677</v>
      </c>
      <c r="J6" s="3369"/>
      <c r="K6" s="537" t="s">
        <v>1678</v>
      </c>
      <c r="L6" s="2483"/>
      <c r="M6" s="2484"/>
      <c r="N6" s="2484"/>
      <c r="O6" s="2484"/>
      <c r="P6" s="3382"/>
      <c r="Q6" s="3383"/>
      <c r="R6" s="3362"/>
      <c r="S6" s="3363"/>
      <c r="T6" s="3384"/>
      <c r="U6" s="3385"/>
      <c r="V6" s="3357"/>
      <c r="W6" s="3357"/>
      <c r="X6" s="1263"/>
      <c r="Y6" s="3384"/>
      <c r="Z6" s="3385"/>
      <c r="AA6" s="3356"/>
      <c r="AB6" s="3357"/>
      <c r="AC6" s="3356"/>
    </row>
    <row r="7" spans="1:29" s="102" customFormat="1" ht="15" thickBot="1">
      <c r="A7" s="352" t="s">
        <v>1679</v>
      </c>
      <c r="B7" s="353"/>
      <c r="C7" s="354">
        <f>'数据-取费表'!B2</f>
        <v>45638</v>
      </c>
      <c r="D7" s="355">
        <v>100</v>
      </c>
      <c r="E7" s="356">
        <f>C7</f>
        <v>45638</v>
      </c>
      <c r="F7" s="357">
        <f>SUMIF(58:58,YEAR(E7)&amp;"-"&amp;MONTH(E7),59:59)</f>
        <v>100</v>
      </c>
      <c r="G7" s="356">
        <f>C7</f>
        <v>45638</v>
      </c>
      <c r="H7" s="355">
        <f>SUMIF(58:58,YEAR(G7)&amp;"-"&amp;MONTH(G7),59:59)</f>
        <v>100</v>
      </c>
      <c r="I7" s="356">
        <f>C7</f>
        <v>45638</v>
      </c>
      <c r="J7" s="355">
        <f>SUMIF(58:58,YEAR(I7)&amp;"-"&amp;MONTH(I7),59:59)</f>
        <v>100</v>
      </c>
      <c r="K7" s="38"/>
      <c r="L7" s="2485"/>
      <c r="M7" s="2437"/>
      <c r="N7" s="2437"/>
      <c r="O7" s="2437"/>
      <c r="P7" s="3358" t="s">
        <v>1680</v>
      </c>
      <c r="Q7" s="3386"/>
      <c r="R7" s="663" t="s">
        <v>14</v>
      </c>
      <c r="S7" s="664">
        <f t="shared" ref="S7:S15" si="0">F7</f>
        <v>100</v>
      </c>
      <c r="T7" s="663" t="s">
        <v>14</v>
      </c>
      <c r="U7" s="664">
        <f t="shared" ref="U7:U15" si="1">H7</f>
        <v>100</v>
      </c>
      <c r="V7" s="663" t="s">
        <v>14</v>
      </c>
      <c r="W7" s="664">
        <f t="shared" ref="W7:W15" si="2">J7</f>
        <v>100</v>
      </c>
      <c r="X7" s="665"/>
      <c r="Y7" s="3358" t="s">
        <v>1680</v>
      </c>
      <c r="Z7" s="3359"/>
      <c r="AA7" s="50">
        <f>D7/F7</f>
        <v>1</v>
      </c>
      <c r="AB7" s="50">
        <f>D7/H7</f>
        <v>1</v>
      </c>
      <c r="AC7" s="50">
        <f>D7/J7</f>
        <v>1</v>
      </c>
    </row>
    <row r="8" spans="1:29" s="102" customFormat="1" ht="15" thickBot="1">
      <c r="A8" s="352" t="s">
        <v>1681</v>
      </c>
      <c r="B8" s="353"/>
      <c r="C8" s="358" t="s">
        <v>3486</v>
      </c>
      <c r="D8" s="355">
        <v>100</v>
      </c>
      <c r="E8" s="358" t="s">
        <v>3487</v>
      </c>
      <c r="F8" s="357">
        <f>SUMIF(61:61,E8,62:62)-SUMIF(61:61,C8,62:62)+100</f>
        <v>102</v>
      </c>
      <c r="G8" s="358" t="s">
        <v>3487</v>
      </c>
      <c r="H8" s="355">
        <f>SUMIF(61:61,G8,62:62)-SUMIF(61:61,C8,62:62)+100</f>
        <v>102</v>
      </c>
      <c r="I8" s="358" t="s">
        <v>3487</v>
      </c>
      <c r="J8" s="355">
        <f>SUMIF(61:61,I8,62:62)-SUMIF(61:61,C8,62:62)+100</f>
        <v>102</v>
      </c>
      <c r="K8" s="38"/>
      <c r="L8" s="2485"/>
      <c r="M8" s="2437"/>
      <c r="N8" s="2437"/>
      <c r="O8" s="2437"/>
      <c r="P8" s="3358" t="s">
        <v>1683</v>
      </c>
      <c r="Q8" s="3359"/>
      <c r="R8" s="663" t="s">
        <v>14</v>
      </c>
      <c r="S8" s="664">
        <f t="shared" si="0"/>
        <v>102</v>
      </c>
      <c r="T8" s="663" t="s">
        <v>14</v>
      </c>
      <c r="U8" s="664">
        <f t="shared" si="1"/>
        <v>102</v>
      </c>
      <c r="V8" s="663" t="s">
        <v>14</v>
      </c>
      <c r="W8" s="664">
        <f t="shared" si="2"/>
        <v>102</v>
      </c>
      <c r="X8" s="665"/>
      <c r="Y8" s="3358" t="s">
        <v>1683</v>
      </c>
      <c r="Z8" s="3359"/>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147" t="s">
        <v>3489</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373"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6" customFormat="1" ht="29.4" thickTop="1">
      <c r="A10" s="363"/>
      <c r="B10" s="364" t="s">
        <v>1688</v>
      </c>
      <c r="C10" s="3148" t="s">
        <v>3494</v>
      </c>
      <c r="D10" s="119">
        <v>100</v>
      </c>
      <c r="E10" s="3148" t="s">
        <v>3494</v>
      </c>
      <c r="F10" s="364">
        <f>SUMIF(65:65,E10,66:66)-SUMIF(65:65,C10,66:66)+100</f>
        <v>100</v>
      </c>
      <c r="G10" s="3148" t="s">
        <v>3494</v>
      </c>
      <c r="H10" s="119">
        <f>SUMIF(65:65,G10,66:66)-SUMIF(65:65,C10,66:66)+100</f>
        <v>100</v>
      </c>
      <c r="I10" s="3148" t="s">
        <v>3494</v>
      </c>
      <c r="J10" s="119">
        <f>SUMIF(65:65,I10,66:66)-SUMIF(65:65,C10,66:66)+100</f>
        <v>100</v>
      </c>
      <c r="K10" s="38"/>
      <c r="L10" s="2486"/>
      <c r="M10" s="2487"/>
      <c r="N10" s="2487"/>
      <c r="O10" s="2487"/>
      <c r="P10" s="3373"/>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73"/>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73"/>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3"/>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3"/>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9"/>
      <c r="M15" s="2484"/>
      <c r="N15" s="2484"/>
      <c r="O15" s="2484"/>
      <c r="P15" s="3387" t="s">
        <v>1691</v>
      </c>
      <c r="Q15" s="1261" t="str">
        <f t="shared" si="6"/>
        <v>商业繁华度</v>
      </c>
      <c r="R15" s="666" t="s">
        <v>14</v>
      </c>
      <c r="S15" s="667">
        <f t="shared" si="0"/>
        <v>100</v>
      </c>
      <c r="T15" s="666" t="s">
        <v>14</v>
      </c>
      <c r="U15" s="667">
        <f t="shared" si="1"/>
        <v>100</v>
      </c>
      <c r="V15" s="666" t="s">
        <v>14</v>
      </c>
      <c r="W15" s="667">
        <f t="shared" si="2"/>
        <v>100</v>
      </c>
      <c r="X15" s="1263"/>
      <c r="Y15" s="3389" t="s">
        <v>1691</v>
      </c>
      <c r="Z15" s="1262" t="str">
        <f t="shared" si="7"/>
        <v>商业繁华度</v>
      </c>
      <c r="AA15" s="1262">
        <f t="shared" si="3"/>
        <v>1</v>
      </c>
      <c r="AB15" s="1262">
        <f t="shared" si="4"/>
        <v>1</v>
      </c>
      <c r="AC15" s="1262">
        <f t="shared" si="5"/>
        <v>1</v>
      </c>
    </row>
    <row r="16" spans="1:29" ht="15">
      <c r="A16" s="367"/>
      <c r="B16" s="385"/>
      <c r="C16" s="386" t="s">
        <v>3467</v>
      </c>
      <c r="D16" s="387"/>
      <c r="E16" s="386" t="s">
        <v>3467</v>
      </c>
      <c r="F16" s="388"/>
      <c r="G16" s="386" t="s">
        <v>3467</v>
      </c>
      <c r="H16" s="389"/>
      <c r="I16" s="386" t="s">
        <v>3467</v>
      </c>
      <c r="J16" s="387"/>
      <c r="K16" s="541"/>
      <c r="L16" s="2489"/>
      <c r="M16" s="2484"/>
      <c r="N16" s="2484"/>
      <c r="O16" s="2484"/>
      <c r="P16" s="3388"/>
      <c r="Q16" s="1261"/>
      <c r="R16" s="666"/>
      <c r="S16" s="667"/>
      <c r="T16" s="666"/>
      <c r="U16" s="667"/>
      <c r="V16" s="666"/>
      <c r="W16" s="667"/>
      <c r="X16" s="1263"/>
      <c r="Y16" s="3390"/>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388"/>
      <c r="Q17" s="1261" t="str">
        <f>B17</f>
        <v>交通便捷度</v>
      </c>
      <c r="R17" s="666" t="s">
        <v>14</v>
      </c>
      <c r="S17" s="667">
        <f>F17</f>
        <v>100</v>
      </c>
      <c r="T17" s="666" t="s">
        <v>14</v>
      </c>
      <c r="U17" s="667">
        <f>H17</f>
        <v>100</v>
      </c>
      <c r="V17" s="666" t="s">
        <v>14</v>
      </c>
      <c r="W17" s="667">
        <f>J17</f>
        <v>100</v>
      </c>
      <c r="X17" s="1263"/>
      <c r="Y17" s="3390"/>
      <c r="Z17" s="1262" t="str">
        <f>Q17</f>
        <v>交通便捷度</v>
      </c>
      <c r="AA17" s="1262">
        <f t="shared" si="3"/>
        <v>1</v>
      </c>
      <c r="AB17" s="1262">
        <f t="shared" si="4"/>
        <v>1</v>
      </c>
      <c r="AC17" s="1262">
        <f t="shared" si="5"/>
        <v>1</v>
      </c>
    </row>
    <row r="18" spans="1:29" ht="15">
      <c r="A18" s="367"/>
      <c r="B18" s="395"/>
      <c r="C18" s="1753" t="s">
        <v>3468</v>
      </c>
      <c r="D18" s="389"/>
      <c r="E18" s="1755" t="s">
        <v>3468</v>
      </c>
      <c r="F18" s="392"/>
      <c r="G18" s="1754" t="s">
        <v>3468</v>
      </c>
      <c r="H18" s="387"/>
      <c r="I18" s="1755" t="s">
        <v>3468</v>
      </c>
      <c r="J18" s="387"/>
      <c r="K18" s="541"/>
      <c r="L18" s="2489"/>
      <c r="M18" s="2484"/>
      <c r="N18" s="2484"/>
      <c r="O18" s="2484"/>
      <c r="P18" s="3388"/>
      <c r="Q18" s="1261"/>
      <c r="R18" s="666"/>
      <c r="S18" s="667"/>
      <c r="T18" s="666"/>
      <c r="U18" s="667"/>
      <c r="V18" s="666"/>
      <c r="W18" s="667"/>
      <c r="X18" s="1263"/>
      <c r="Y18" s="3390"/>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388"/>
      <c r="Q19" s="1261" t="str">
        <f>B19</f>
        <v>公共配套设施</v>
      </c>
      <c r="R19" s="666" t="s">
        <v>14</v>
      </c>
      <c r="S19" s="667">
        <f>F19</f>
        <v>100</v>
      </c>
      <c r="T19" s="666" t="s">
        <v>14</v>
      </c>
      <c r="U19" s="667">
        <f>H19</f>
        <v>100</v>
      </c>
      <c r="V19" s="666" t="s">
        <v>14</v>
      </c>
      <c r="W19" s="667">
        <f>J19</f>
        <v>100</v>
      </c>
      <c r="X19" s="1263"/>
      <c r="Y19" s="3390"/>
      <c r="Z19" s="1262" t="str">
        <f>Q19</f>
        <v>公共配套设施</v>
      </c>
      <c r="AA19" s="1262">
        <f t="shared" si="3"/>
        <v>1</v>
      </c>
      <c r="AB19" s="1262">
        <f t="shared" si="4"/>
        <v>1</v>
      </c>
      <c r="AC19" s="1262">
        <f t="shared" si="5"/>
        <v>1</v>
      </c>
    </row>
    <row r="20" spans="1:29" ht="15">
      <c r="A20" s="367"/>
      <c r="B20" s="395"/>
      <c r="C20" s="386" t="s">
        <v>3468</v>
      </c>
      <c r="D20" s="387"/>
      <c r="E20" s="1750" t="s">
        <v>3468</v>
      </c>
      <c r="F20" s="388"/>
      <c r="G20" s="1749" t="s">
        <v>3468</v>
      </c>
      <c r="H20" s="387"/>
      <c r="I20" s="1750" t="s">
        <v>3468</v>
      </c>
      <c r="J20" s="387"/>
      <c r="K20" s="541"/>
      <c r="L20" s="2489"/>
      <c r="M20" s="2484"/>
      <c r="N20" s="2484"/>
      <c r="O20" s="2484"/>
      <c r="P20" s="3388"/>
      <c r="Q20" s="1261"/>
      <c r="R20" s="666"/>
      <c r="S20" s="667"/>
      <c r="T20" s="666"/>
      <c r="U20" s="667"/>
      <c r="V20" s="666"/>
      <c r="W20" s="667"/>
      <c r="X20" s="1263"/>
      <c r="Y20" s="3390"/>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388"/>
      <c r="Q21" s="1261" t="str">
        <f>B21</f>
        <v>基础设施水平</v>
      </c>
      <c r="R21" s="666" t="s">
        <v>14</v>
      </c>
      <c r="S21" s="667">
        <f>F21</f>
        <v>100</v>
      </c>
      <c r="T21" s="666" t="s">
        <v>14</v>
      </c>
      <c r="U21" s="667">
        <f>H21</f>
        <v>100</v>
      </c>
      <c r="V21" s="666" t="s">
        <v>14</v>
      </c>
      <c r="W21" s="667">
        <f>J21</f>
        <v>100</v>
      </c>
      <c r="X21" s="1263"/>
      <c r="Y21" s="3390"/>
      <c r="Z21" s="1262" t="str">
        <f>Q21</f>
        <v>基础设施水平</v>
      </c>
      <c r="AA21" s="1262">
        <f t="shared" ref="AA21" si="8">D21/F21</f>
        <v>1</v>
      </c>
      <c r="AB21" s="1262">
        <f t="shared" ref="AB21" si="9">D21/H21</f>
        <v>1</v>
      </c>
      <c r="AC21" s="1262">
        <f t="shared" ref="AC21" si="10">D21/J21</f>
        <v>1</v>
      </c>
    </row>
    <row r="22" spans="1:29" ht="15">
      <c r="A22" s="367"/>
      <c r="B22" s="586"/>
      <c r="C22" s="1753" t="s">
        <v>3523</v>
      </c>
      <c r="D22" s="387"/>
      <c r="E22" s="386" t="s">
        <v>3523</v>
      </c>
      <c r="F22" s="388"/>
      <c r="G22" s="386" t="s">
        <v>3523</v>
      </c>
      <c r="H22" s="387"/>
      <c r="I22" s="386" t="s">
        <v>3523</v>
      </c>
      <c r="J22" s="387"/>
      <c r="K22" s="1063"/>
      <c r="L22" s="2489"/>
      <c r="M22" s="2484"/>
      <c r="N22" s="2484"/>
      <c r="O22" s="2484"/>
      <c r="P22" s="3388"/>
      <c r="Q22" s="1261"/>
      <c r="R22" s="666"/>
      <c r="S22" s="667"/>
      <c r="T22" s="666"/>
      <c r="U22" s="667"/>
      <c r="V22" s="666"/>
      <c r="W22" s="667"/>
      <c r="X22" s="1263"/>
      <c r="Y22" s="3390"/>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388"/>
      <c r="Q23" s="1261" t="str">
        <f>B23</f>
        <v>自然及人文环境</v>
      </c>
      <c r="R23" s="666" t="s">
        <v>14</v>
      </c>
      <c r="S23" s="667">
        <f>F23</f>
        <v>100</v>
      </c>
      <c r="T23" s="666" t="s">
        <v>14</v>
      </c>
      <c r="U23" s="667">
        <f>H23</f>
        <v>100</v>
      </c>
      <c r="V23" s="666" t="s">
        <v>14</v>
      </c>
      <c r="W23" s="667">
        <f>J23</f>
        <v>100</v>
      </c>
      <c r="X23" s="1263"/>
      <c r="Y23" s="3390"/>
      <c r="Z23" s="1262" t="str">
        <f>Q23</f>
        <v>自然及人文环境</v>
      </c>
      <c r="AA23" s="1262">
        <f t="shared" si="3"/>
        <v>1</v>
      </c>
      <c r="AB23" s="1262">
        <f t="shared" si="4"/>
        <v>1</v>
      </c>
      <c r="AC23" s="1262">
        <f t="shared" si="5"/>
        <v>1</v>
      </c>
    </row>
    <row r="24" spans="1:29" ht="15">
      <c r="A24" s="367"/>
      <c r="B24" s="395"/>
      <c r="C24" s="386" t="s">
        <v>3468</v>
      </c>
      <c r="D24" s="387"/>
      <c r="E24" s="1750" t="s">
        <v>3468</v>
      </c>
      <c r="F24" s="388"/>
      <c r="G24" s="1749" t="s">
        <v>3468</v>
      </c>
      <c r="H24" s="387"/>
      <c r="I24" s="1750" t="s">
        <v>3468</v>
      </c>
      <c r="J24" s="387"/>
      <c r="K24" s="541"/>
      <c r="L24" s="2489"/>
      <c r="M24" s="2484"/>
      <c r="N24" s="2484"/>
      <c r="O24" s="2484"/>
      <c r="P24" s="3388"/>
      <c r="Q24" s="1261"/>
      <c r="R24" s="666"/>
      <c r="S24" s="667"/>
      <c r="T24" s="666"/>
      <c r="U24" s="667"/>
      <c r="V24" s="666"/>
      <c r="W24" s="667"/>
      <c r="X24" s="1263"/>
      <c r="Y24" s="3390"/>
      <c r="Z24" s="1262"/>
      <c r="AA24" s="1262">
        <v>1</v>
      </c>
      <c r="AB24" s="1262">
        <v>1</v>
      </c>
      <c r="AC24" s="1262">
        <v>1</v>
      </c>
    </row>
    <row r="25" spans="1:29" ht="15">
      <c r="A25" s="367"/>
      <c r="B25" s="364" t="s">
        <v>1780</v>
      </c>
      <c r="C25" s="542" t="s">
        <v>3524</v>
      </c>
      <c r="D25" s="374">
        <v>100</v>
      </c>
      <c r="E25" s="542" t="s">
        <v>3524</v>
      </c>
      <c r="F25" s="400">
        <f>SUMIF(86:86,E25,87:87)-SUMIF(86:86,C25,87:87)+100</f>
        <v>100</v>
      </c>
      <c r="G25" s="542" t="s">
        <v>3524</v>
      </c>
      <c r="H25" s="374">
        <f>SUMIF(86:86,G25,87:87)-SUMIF(86:86,C25,87:87)+100</f>
        <v>100</v>
      </c>
      <c r="I25" s="542" t="s">
        <v>3524</v>
      </c>
      <c r="J25" s="374">
        <f>SUMIF(86:86,I25,87:87)-SUMIF(86:86,C25,87:87)+100</f>
        <v>100</v>
      </c>
      <c r="K25" s="538">
        <v>5</v>
      </c>
      <c r="L25" s="2489"/>
      <c r="M25" s="2484"/>
      <c r="N25" s="2484"/>
      <c r="O25" s="2484"/>
      <c r="P25" s="3388"/>
      <c r="Q25" s="1261" t="str">
        <f t="shared" ref="Q25:Q46" si="11">B25</f>
        <v>临街状况</v>
      </c>
      <c r="R25" s="666" t="s">
        <v>14</v>
      </c>
      <c r="S25" s="667">
        <f>F25</f>
        <v>100</v>
      </c>
      <c r="T25" s="666" t="s">
        <v>14</v>
      </c>
      <c r="U25" s="667">
        <f>H25</f>
        <v>100</v>
      </c>
      <c r="V25" s="666" t="s">
        <v>14</v>
      </c>
      <c r="W25" s="667">
        <f>J25</f>
        <v>100</v>
      </c>
      <c r="X25" s="1263"/>
      <c r="Y25" s="3390"/>
      <c r="Z25" s="1262" t="str">
        <f>Q25</f>
        <v>临街状况</v>
      </c>
      <c r="AA25" s="1262">
        <f t="shared" si="3"/>
        <v>1</v>
      </c>
      <c r="AB25" s="1262">
        <f t="shared" si="4"/>
        <v>1</v>
      </c>
      <c r="AC25" s="1262">
        <f t="shared" si="5"/>
        <v>1</v>
      </c>
    </row>
    <row r="26" spans="1:29" ht="15">
      <c r="A26" s="367"/>
      <c r="B26" s="1065" t="s">
        <v>1781</v>
      </c>
      <c r="C26" s="3154" t="s">
        <v>3526</v>
      </c>
      <c r="D26" s="374">
        <v>100</v>
      </c>
      <c r="E26" s="3154" t="s">
        <v>3526</v>
      </c>
      <c r="F26" s="400">
        <f>SUMIF(88:88,E26,89:89)-SUMIF(88:88,C26,89:89)+100</f>
        <v>100</v>
      </c>
      <c r="G26" s="3154" t="s">
        <v>3526</v>
      </c>
      <c r="H26" s="374">
        <f>SUMIF(88:88,G26,89:89)-SUMIF(88:88,C26,89:89)+100</f>
        <v>100</v>
      </c>
      <c r="I26" s="3154" t="s">
        <v>3526</v>
      </c>
      <c r="J26" s="374">
        <f>SUMIF(88:88,I26,89:89)-SUMIF(88:88,C26,89:89)+100</f>
        <v>100</v>
      </c>
      <c r="K26" s="539"/>
      <c r="L26" s="2489"/>
      <c r="M26" s="2484"/>
      <c r="N26" s="2484"/>
      <c r="O26" s="2484"/>
      <c r="P26" s="3388"/>
      <c r="Q26" s="1261" t="str">
        <f t="shared" si="11"/>
        <v>平面位置/可视性</v>
      </c>
      <c r="R26" s="666" t="s">
        <v>14</v>
      </c>
      <c r="S26" s="667">
        <f>F26</f>
        <v>100</v>
      </c>
      <c r="T26" s="666" t="s">
        <v>14</v>
      </c>
      <c r="U26" s="667">
        <f>H26</f>
        <v>100</v>
      </c>
      <c r="V26" s="666" t="s">
        <v>14</v>
      </c>
      <c r="W26" s="667">
        <f>J26</f>
        <v>100</v>
      </c>
      <c r="X26" s="1263"/>
      <c r="Y26" s="3390"/>
      <c r="Z26" s="1262" t="str">
        <f>Q26</f>
        <v>平面位置/可视性</v>
      </c>
      <c r="AA26" s="1262">
        <f t="shared" si="3"/>
        <v>1</v>
      </c>
      <c r="AB26" s="1262">
        <f t="shared" si="4"/>
        <v>1</v>
      </c>
      <c r="AC26" s="1262">
        <f t="shared" si="5"/>
        <v>1</v>
      </c>
    </row>
    <row r="27" spans="1:29" s="102" customFormat="1" ht="15">
      <c r="A27" s="370"/>
      <c r="B27" s="390" t="s">
        <v>1782</v>
      </c>
      <c r="C27" s="1805" t="s">
        <v>3527</v>
      </c>
      <c r="D27" s="401">
        <v>100</v>
      </c>
      <c r="E27" s="1805" t="s">
        <v>3527</v>
      </c>
      <c r="F27" s="395">
        <f>SUMIF(90:90,E27,91:91)-SUMIF(90:90,C27,91:91)+100</f>
        <v>100</v>
      </c>
      <c r="G27" s="1805" t="s">
        <v>3527</v>
      </c>
      <c r="H27" s="401">
        <f>SUMIF(90:90,G27,91:91)-SUMIF(90:90,C27,91:91)+100</f>
        <v>100</v>
      </c>
      <c r="I27" s="1805" t="s">
        <v>3527</v>
      </c>
      <c r="J27" s="401">
        <f>SUMIF(90:90,I27,91:91)-SUMIF(90:90,C27,91:91)+100</f>
        <v>100</v>
      </c>
      <c r="K27" s="538">
        <v>5</v>
      </c>
      <c r="L27" s="2485"/>
      <c r="M27" s="2437"/>
      <c r="N27" s="2437"/>
      <c r="O27" s="2437"/>
      <c r="P27" s="3388"/>
      <c r="Q27" s="530" t="str">
        <f t="shared" si="11"/>
        <v>人流量</v>
      </c>
      <c r="R27" s="663" t="s">
        <v>14</v>
      </c>
      <c r="S27" s="664">
        <f>F27</f>
        <v>100</v>
      </c>
      <c r="T27" s="663" t="s">
        <v>14</v>
      </c>
      <c r="U27" s="664">
        <f>H27</f>
        <v>100</v>
      </c>
      <c r="V27" s="663" t="s">
        <v>14</v>
      </c>
      <c r="W27" s="664">
        <f>J27</f>
        <v>100</v>
      </c>
      <c r="X27" s="665"/>
      <c r="Y27" s="3390"/>
      <c r="Z27" s="50" t="str">
        <f>Q27</f>
        <v>人流量</v>
      </c>
      <c r="AA27" s="1262">
        <f>D27/F27</f>
        <v>1</v>
      </c>
      <c r="AB27" s="1262">
        <f>D27/H27</f>
        <v>1</v>
      </c>
      <c r="AC27" s="1262">
        <f>D27/J27</f>
        <v>1</v>
      </c>
    </row>
    <row r="28" spans="1:29" ht="15">
      <c r="A28" s="367"/>
      <c r="B28" s="364" t="s">
        <v>1783</v>
      </c>
      <c r="C28" s="542" t="s">
        <v>3509</v>
      </c>
      <c r="D28" s="374">
        <v>100</v>
      </c>
      <c r="E28" s="542" t="s">
        <v>3509</v>
      </c>
      <c r="F28" s="400">
        <f>SUMIF(92:92,E28,93:93)-SUMIF(92:92,C28,93:93)+100</f>
        <v>100</v>
      </c>
      <c r="G28" s="542" t="s">
        <v>3509</v>
      </c>
      <c r="H28" s="374">
        <f>SUMIF(92:92,G28,93:93)-SUMIF(92:92,C28,93:93)+100</f>
        <v>100</v>
      </c>
      <c r="I28" s="542" t="s">
        <v>3509</v>
      </c>
      <c r="J28" s="374">
        <f>SUMIF(92:92,I28,93:93)-SUMIF(92:92,C28,93:93)+100</f>
        <v>100</v>
      </c>
      <c r="K28" s="539"/>
      <c r="L28" s="2489"/>
      <c r="M28" s="2484"/>
      <c r="N28" s="2484"/>
      <c r="O28" s="2484"/>
      <c r="P28" s="3388"/>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390"/>
      <c r="Z28" s="1262" t="str">
        <f t="shared" ref="Z28:Z46" si="15">Q28</f>
        <v>楼层</v>
      </c>
      <c r="AA28" s="1262">
        <f t="shared" si="3"/>
        <v>1</v>
      </c>
      <c r="AB28" s="1262">
        <f t="shared" si="4"/>
        <v>1</v>
      </c>
      <c r="AC28" s="1262">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88"/>
      <c r="Q29" s="1261">
        <f t="shared" si="11"/>
        <v>111</v>
      </c>
      <c r="R29" s="666" t="s">
        <v>14</v>
      </c>
      <c r="S29" s="667">
        <f t="shared" si="12"/>
        <v>100</v>
      </c>
      <c r="T29" s="666" t="s">
        <v>14</v>
      </c>
      <c r="U29" s="667">
        <f t="shared" si="13"/>
        <v>100</v>
      </c>
      <c r="V29" s="666" t="s">
        <v>14</v>
      </c>
      <c r="W29" s="667">
        <f t="shared" si="14"/>
        <v>100</v>
      </c>
      <c r="X29" s="1263"/>
      <c r="Y29" s="3390"/>
      <c r="Z29" s="1262">
        <f t="shared" si="15"/>
        <v>111</v>
      </c>
      <c r="AA29" s="1262">
        <f t="shared" si="3"/>
        <v>1</v>
      </c>
      <c r="AB29" s="1262">
        <f t="shared" si="4"/>
        <v>1</v>
      </c>
      <c r="AC29" s="1262">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88"/>
      <c r="Q30" s="1261">
        <f t="shared" si="11"/>
        <v>111</v>
      </c>
      <c r="R30" s="666" t="s">
        <v>14</v>
      </c>
      <c r="S30" s="667">
        <f t="shared" si="12"/>
        <v>100</v>
      </c>
      <c r="T30" s="666" t="s">
        <v>14</v>
      </c>
      <c r="U30" s="667">
        <f t="shared" si="13"/>
        <v>100</v>
      </c>
      <c r="V30" s="666" t="s">
        <v>14</v>
      </c>
      <c r="W30" s="667">
        <f t="shared" si="14"/>
        <v>100</v>
      </c>
      <c r="X30" s="1263"/>
      <c r="Y30" s="3390"/>
      <c r="Z30" s="1262">
        <f t="shared" si="15"/>
        <v>111</v>
      </c>
      <c r="AA30" s="1262">
        <f t="shared" si="3"/>
        <v>1</v>
      </c>
      <c r="AB30" s="1262">
        <f t="shared" si="4"/>
        <v>1</v>
      </c>
      <c r="AC30" s="1262">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88"/>
      <c r="Q31" s="1261">
        <f t="shared" si="11"/>
        <v>111</v>
      </c>
      <c r="R31" s="666" t="s">
        <v>14</v>
      </c>
      <c r="S31" s="667">
        <f t="shared" si="12"/>
        <v>100</v>
      </c>
      <c r="T31" s="666" t="s">
        <v>14</v>
      </c>
      <c r="U31" s="667">
        <f t="shared" si="13"/>
        <v>100</v>
      </c>
      <c r="V31" s="666" t="s">
        <v>14</v>
      </c>
      <c r="W31" s="667">
        <f t="shared" si="14"/>
        <v>100</v>
      </c>
      <c r="X31" s="1263"/>
      <c r="Y31" s="3390"/>
      <c r="Z31" s="1262">
        <f t="shared" si="15"/>
        <v>111</v>
      </c>
      <c r="AA31" s="1262">
        <f t="shared" si="3"/>
        <v>1</v>
      </c>
      <c r="AB31" s="1262">
        <f t="shared" si="4"/>
        <v>1</v>
      </c>
      <c r="AC31" s="1262">
        <f t="shared" si="5"/>
        <v>1</v>
      </c>
    </row>
    <row r="32" spans="1:29" ht="15">
      <c r="A32" s="379" t="s">
        <v>1694</v>
      </c>
      <c r="B32" s="60" t="s">
        <v>1784</v>
      </c>
      <c r="C32" s="1762" t="s">
        <v>3510</v>
      </c>
      <c r="D32" s="405">
        <v>100</v>
      </c>
      <c r="E32" s="1762" t="s">
        <v>3510</v>
      </c>
      <c r="F32" s="400">
        <f>SUMIF(100:100,E32,101:101)-SUMIF(100:100,C32,101:101)+100</f>
        <v>100</v>
      </c>
      <c r="G32" s="1762" t="s">
        <v>3510</v>
      </c>
      <c r="H32" s="374">
        <f>SUMIF(100:100,G32,101:101)-SUMIF(100:100,C32,101:101)+100</f>
        <v>100</v>
      </c>
      <c r="I32" s="1762" t="s">
        <v>3510</v>
      </c>
      <c r="J32" s="405">
        <f>SUMIF(100:100,I32,101:101)-SUMIF(100:100,C32,101:101)+100</f>
        <v>100</v>
      </c>
      <c r="K32" s="538">
        <v>2</v>
      </c>
      <c r="L32" s="2489"/>
      <c r="M32" s="2484"/>
      <c r="N32" s="2484"/>
      <c r="O32" s="3155"/>
      <c r="P32" s="3391" t="s">
        <v>1696</v>
      </c>
      <c r="Q32" s="1261" t="str">
        <f t="shared" si="11"/>
        <v>商业类型</v>
      </c>
      <c r="R32" s="666" t="s">
        <v>14</v>
      </c>
      <c r="S32" s="667">
        <f t="shared" si="12"/>
        <v>100</v>
      </c>
      <c r="T32" s="666" t="s">
        <v>14</v>
      </c>
      <c r="U32" s="667">
        <f t="shared" si="13"/>
        <v>100</v>
      </c>
      <c r="V32" s="666" t="s">
        <v>14</v>
      </c>
      <c r="W32" s="667">
        <f t="shared" si="14"/>
        <v>100</v>
      </c>
      <c r="X32" s="1263"/>
      <c r="Y32" s="3394"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247.16</v>
      </c>
      <c r="D33" s="119">
        <v>100</v>
      </c>
      <c r="E33" s="369">
        <f>案例!O22</f>
        <v>147</v>
      </c>
      <c r="F33" s="364">
        <f>LOOKUP(E33,103:103,104:104)-LOOKUP(C33,103:103,104:104)+100</f>
        <v>104</v>
      </c>
      <c r="G33" s="368">
        <f>案例!O23</f>
        <v>55.92</v>
      </c>
      <c r="H33" s="119">
        <f>LOOKUP(G33,103:103,104:104)-LOOKUP(C33,103:103,104:104)+100</f>
        <v>106</v>
      </c>
      <c r="I33" s="368">
        <f>案例!O24</f>
        <v>51.76</v>
      </c>
      <c r="J33" s="119">
        <f>LOOKUP(I33,103:103,104:104)-LOOKUP(C33,103:103,104:104)+100</f>
        <v>106</v>
      </c>
      <c r="K33" s="539"/>
      <c r="L33" s="2488"/>
      <c r="M33" s="1403"/>
      <c r="N33"/>
      <c r="O33"/>
      <c r="P33" s="3392"/>
      <c r="Q33" s="531" t="str">
        <f t="shared" si="11"/>
        <v>项目建筑规模</v>
      </c>
      <c r="R33" s="668" t="s">
        <v>14</v>
      </c>
      <c r="S33" s="669">
        <f t="shared" si="12"/>
        <v>104</v>
      </c>
      <c r="T33" s="668" t="s">
        <v>14</v>
      </c>
      <c r="U33" s="669">
        <f t="shared" si="13"/>
        <v>106</v>
      </c>
      <c r="V33" s="668" t="s">
        <v>14</v>
      </c>
      <c r="W33" s="669">
        <f t="shared" si="14"/>
        <v>106</v>
      </c>
      <c r="X33" s="670"/>
      <c r="Y33" s="3394"/>
      <c r="Z33" s="671" t="str">
        <f t="shared" si="15"/>
        <v>项目建筑规模</v>
      </c>
      <c r="AA33" s="1262">
        <f t="shared" si="3"/>
        <v>0.96153846153846156</v>
      </c>
      <c r="AB33" s="1262">
        <f t="shared" si="4"/>
        <v>0.94339622641509435</v>
      </c>
      <c r="AC33" s="1262">
        <f t="shared" si="5"/>
        <v>0.94339622641509435</v>
      </c>
    </row>
    <row r="34" spans="1:29" ht="15">
      <c r="A34" s="409"/>
      <c r="B34" s="364" t="s">
        <v>1698</v>
      </c>
      <c r="C34" s="399" t="s">
        <v>3453</v>
      </c>
      <c r="D34" s="374">
        <v>100</v>
      </c>
      <c r="E34" s="399" t="s">
        <v>3453</v>
      </c>
      <c r="F34" s="400">
        <f>SUMIF(105:105,E34,106:106)-SUMIF(105:105,C34,106:106)+100</f>
        <v>100</v>
      </c>
      <c r="G34" s="399" t="s">
        <v>3453</v>
      </c>
      <c r="H34" s="374">
        <f>SUMIF(105:105,G34,106:106)-SUMIF(105:105,C34,106:106)+100</f>
        <v>100</v>
      </c>
      <c r="I34" s="399" t="s">
        <v>3453</v>
      </c>
      <c r="J34" s="374">
        <f>SUMIF(105:105,I34,106:106)-SUMIF(105:105,C34,106:106)+100</f>
        <v>100</v>
      </c>
      <c r="K34" s="538">
        <v>2</v>
      </c>
      <c r="L34" s="2489"/>
      <c r="M34" s="1403"/>
      <c r="N34"/>
      <c r="O34"/>
      <c r="P34" s="3392"/>
      <c r="Q34" s="1261" t="str">
        <f t="shared" si="11"/>
        <v>建筑结构</v>
      </c>
      <c r="R34" s="666" t="s">
        <v>14</v>
      </c>
      <c r="S34" s="667">
        <f t="shared" si="12"/>
        <v>100</v>
      </c>
      <c r="T34" s="666" t="s">
        <v>14</v>
      </c>
      <c r="U34" s="667">
        <f t="shared" si="13"/>
        <v>100</v>
      </c>
      <c r="V34" s="666" t="s">
        <v>14</v>
      </c>
      <c r="W34" s="667">
        <f t="shared" si="14"/>
        <v>100</v>
      </c>
      <c r="X34" s="1263"/>
      <c r="Y34" s="3394"/>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392"/>
      <c r="Q35" s="1261" t="str">
        <f t="shared" si="11"/>
        <v>公共部分装修</v>
      </c>
      <c r="R35" s="666" t="s">
        <v>14</v>
      </c>
      <c r="S35" s="667">
        <f t="shared" si="12"/>
        <v>100</v>
      </c>
      <c r="T35" s="666" t="s">
        <v>14</v>
      </c>
      <c r="U35" s="667">
        <f t="shared" si="13"/>
        <v>100</v>
      </c>
      <c r="V35" s="666" t="s">
        <v>14</v>
      </c>
      <c r="W35" s="667">
        <f t="shared" si="14"/>
        <v>100</v>
      </c>
      <c r="X35" s="1263"/>
      <c r="Y35" s="3394"/>
      <c r="Z35" s="1262" t="str">
        <f t="shared" si="15"/>
        <v>公共部分装修</v>
      </c>
      <c r="AA35" s="1262">
        <f t="shared" si="3"/>
        <v>1</v>
      </c>
      <c r="AB35" s="1262">
        <f t="shared" si="4"/>
        <v>1</v>
      </c>
      <c r="AC35" s="1262">
        <f t="shared" si="5"/>
        <v>1</v>
      </c>
    </row>
    <row r="36" spans="1:29" ht="15">
      <c r="A36" s="409"/>
      <c r="B36" s="364" t="s">
        <v>1786</v>
      </c>
      <c r="C36" s="411">
        <f>'数据-取费表'!N6</f>
        <v>0.79</v>
      </c>
      <c r="D36" s="374">
        <v>100</v>
      </c>
      <c r="E36" s="411">
        <f>C36</f>
        <v>0.79</v>
      </c>
      <c r="F36" s="400">
        <f>LOOKUP(E36,110:110,111:111)-LOOKUP(C36,110:110,111:111)+100</f>
        <v>100</v>
      </c>
      <c r="G36" s="411">
        <f>C36</f>
        <v>0.79</v>
      </c>
      <c r="H36" s="400">
        <f>LOOKUP(G36,110:110,111:111)-LOOKUP(C36,110:110,111:111)+100</f>
        <v>100</v>
      </c>
      <c r="I36" s="411">
        <f>C36</f>
        <v>0.79</v>
      </c>
      <c r="J36" s="374">
        <f>LOOKUP(I36,110:110,111:111)-LOOKUP(C36,110:110,111:111)+100</f>
        <v>100</v>
      </c>
      <c r="K36" s="538">
        <v>2</v>
      </c>
      <c r="L36" s="2489"/>
      <c r="M36" s="2484" t="s">
        <v>3536</v>
      </c>
      <c r="N36" s="3158" t="s">
        <v>3537</v>
      </c>
      <c r="O36" s="2484"/>
      <c r="P36" s="3392"/>
      <c r="Q36" s="1261" t="str">
        <f t="shared" si="11"/>
        <v>成新度</v>
      </c>
      <c r="R36" s="666" t="s">
        <v>14</v>
      </c>
      <c r="S36" s="667">
        <f t="shared" si="12"/>
        <v>100</v>
      </c>
      <c r="T36" s="666" t="s">
        <v>14</v>
      </c>
      <c r="U36" s="667">
        <f t="shared" si="13"/>
        <v>100</v>
      </c>
      <c r="V36" s="666" t="s">
        <v>14</v>
      </c>
      <c r="W36" s="667">
        <f t="shared" si="14"/>
        <v>100</v>
      </c>
      <c r="X36" s="1263"/>
      <c r="Y36" s="3394"/>
      <c r="Z36" s="1262" t="str">
        <f t="shared" si="15"/>
        <v>成新度</v>
      </c>
      <c r="AA36" s="1262">
        <f t="shared" si="3"/>
        <v>1</v>
      </c>
      <c r="AB36" s="1262">
        <f t="shared" si="4"/>
        <v>1</v>
      </c>
      <c r="AC36" s="1262">
        <f t="shared" si="5"/>
        <v>1</v>
      </c>
    </row>
    <row r="37" spans="1:29" s="102" customFormat="1" ht="15">
      <c r="A37" s="410"/>
      <c r="B37" s="364" t="s">
        <v>1787</v>
      </c>
      <c r="C37" s="1758" t="s">
        <v>3530</v>
      </c>
      <c r="D37" s="119">
        <v>100</v>
      </c>
      <c r="E37" s="1758" t="s">
        <v>3530</v>
      </c>
      <c r="F37" s="400">
        <f>SUMIF(112:112,E37,113:113)-SUMIF(112:112,C37,113:113)+100</f>
        <v>100</v>
      </c>
      <c r="G37" s="1758" t="s">
        <v>3530</v>
      </c>
      <c r="H37" s="374">
        <f>SUMIF(112:112,G37,113:113)-SUMIF(112:112,C37,113:113)+100</f>
        <v>100</v>
      </c>
      <c r="I37" s="1758" t="s">
        <v>3530</v>
      </c>
      <c r="J37" s="374">
        <f>SUMIF(112:112,I37,113:113)-SUMIF(112:112,C37,113:113)+100</f>
        <v>100</v>
      </c>
      <c r="K37" s="538">
        <v>1</v>
      </c>
      <c r="L37" s="3156" t="s">
        <v>3533</v>
      </c>
      <c r="M37" s="2437">
        <f>案例!Q22</f>
        <v>40751</v>
      </c>
      <c r="N37" s="2437">
        <f>ROUND(M37*$N$44/100,0)</f>
        <v>28526</v>
      </c>
      <c r="O37" s="2437"/>
      <c r="P37" s="3392"/>
      <c r="Q37" s="530" t="str">
        <f t="shared" si="11"/>
        <v>市政基础设施</v>
      </c>
      <c r="R37" s="663" t="s">
        <v>14</v>
      </c>
      <c r="S37" s="664">
        <f t="shared" si="12"/>
        <v>100</v>
      </c>
      <c r="T37" s="663" t="s">
        <v>14</v>
      </c>
      <c r="U37" s="664">
        <f t="shared" si="13"/>
        <v>100</v>
      </c>
      <c r="V37" s="663" t="s">
        <v>14</v>
      </c>
      <c r="W37" s="664">
        <f t="shared" si="14"/>
        <v>100</v>
      </c>
      <c r="X37" s="665"/>
      <c r="Y37" s="3394"/>
      <c r="Z37" s="50" t="str">
        <f t="shared" si="15"/>
        <v>市政基础设施</v>
      </c>
      <c r="AA37" s="50">
        <f t="shared" si="3"/>
        <v>1</v>
      </c>
      <c r="AB37" s="50">
        <f t="shared" si="4"/>
        <v>1</v>
      </c>
      <c r="AC37" s="50">
        <f t="shared" si="5"/>
        <v>1</v>
      </c>
    </row>
    <row r="38" spans="1:29" ht="15">
      <c r="A38" s="409"/>
      <c r="B38" s="364" t="s">
        <v>1788</v>
      </c>
      <c r="C38" s="1758" t="s">
        <v>3531</v>
      </c>
      <c r="D38" s="374">
        <v>100</v>
      </c>
      <c r="E38" s="1758" t="s">
        <v>3531</v>
      </c>
      <c r="F38" s="400">
        <f>SUMIF(114:114,E38,115:115)-SUMIF(114:114,C38,115:115)+100</f>
        <v>100</v>
      </c>
      <c r="G38" s="1758" t="s">
        <v>3531</v>
      </c>
      <c r="H38" s="374">
        <f>SUMIF(114:114,G38,115:115)-SUMIF(114:114,C38,115:115)+100</f>
        <v>100</v>
      </c>
      <c r="I38" s="1758" t="s">
        <v>3531</v>
      </c>
      <c r="J38" s="374">
        <f>SUMIF(114:114,I38,115:115)-SUMIF(114:114,C38,115:115)+100</f>
        <v>100</v>
      </c>
      <c r="K38" s="538">
        <v>5</v>
      </c>
      <c r="L38" s="3157" t="s">
        <v>3534</v>
      </c>
      <c r="M38" s="2437">
        <f>案例!Q23</f>
        <v>42919</v>
      </c>
      <c r="N38" s="2437">
        <f t="shared" ref="N38:N39" si="16">ROUND(M38*$N$44/100,0)</f>
        <v>30043</v>
      </c>
      <c r="O38" s="2484"/>
      <c r="P38" s="3392" t="s">
        <v>1696</v>
      </c>
      <c r="Q38" s="1261" t="str">
        <f t="shared" si="11"/>
        <v>业态</v>
      </c>
      <c r="R38" s="666" t="s">
        <v>14</v>
      </c>
      <c r="S38" s="667">
        <f t="shared" si="12"/>
        <v>100</v>
      </c>
      <c r="T38" s="666" t="s">
        <v>14</v>
      </c>
      <c r="U38" s="667">
        <f t="shared" si="13"/>
        <v>100</v>
      </c>
      <c r="V38" s="666" t="s">
        <v>14</v>
      </c>
      <c r="W38" s="667">
        <f t="shared" si="14"/>
        <v>100</v>
      </c>
      <c r="X38" s="1263"/>
      <c r="Y38" s="3394" t="s">
        <v>1696</v>
      </c>
      <c r="Z38" s="1262" t="str">
        <f t="shared" si="15"/>
        <v>业态</v>
      </c>
      <c r="AA38" s="1262">
        <f t="shared" si="3"/>
        <v>1</v>
      </c>
      <c r="AB38" s="1262">
        <f t="shared" si="4"/>
        <v>1</v>
      </c>
      <c r="AC38" s="1262">
        <f t="shared" si="5"/>
        <v>1</v>
      </c>
    </row>
    <row r="39" spans="1:29" ht="15">
      <c r="A39" s="409"/>
      <c r="B39" s="364" t="s">
        <v>1789</v>
      </c>
      <c r="C39" s="1758" t="s">
        <v>3532</v>
      </c>
      <c r="D39" s="374">
        <v>100</v>
      </c>
      <c r="E39" s="1758" t="s">
        <v>3532</v>
      </c>
      <c r="F39" s="400">
        <f>SUMIF(116:116,E39,117:117)-SUMIF(116:116,C39,117:117)+100</f>
        <v>100</v>
      </c>
      <c r="G39" s="1758" t="s">
        <v>3532</v>
      </c>
      <c r="H39" s="374">
        <f>SUMIF(116:116,G39,117:117)-SUMIF(116:116,C39,117:117)+100</f>
        <v>100</v>
      </c>
      <c r="I39" s="1758" t="s">
        <v>3532</v>
      </c>
      <c r="J39" s="374">
        <f>SUMIF(116:116,I39,117:117)-SUMIF(116:116,C39,117:117)+100</f>
        <v>100</v>
      </c>
      <c r="K39" s="538">
        <v>5</v>
      </c>
      <c r="L39" s="3157" t="s">
        <v>3535</v>
      </c>
      <c r="M39" s="2437">
        <f>案例!Q24</f>
        <v>36322</v>
      </c>
      <c r="N39" s="2437">
        <f t="shared" si="16"/>
        <v>25425</v>
      </c>
      <c r="O39" s="2484"/>
      <c r="P39" s="3392"/>
      <c r="Q39" s="1261" t="str">
        <f t="shared" si="11"/>
        <v>层高</v>
      </c>
      <c r="R39" s="666" t="s">
        <v>14</v>
      </c>
      <c r="S39" s="667">
        <f t="shared" si="12"/>
        <v>100</v>
      </c>
      <c r="T39" s="666" t="s">
        <v>14</v>
      </c>
      <c r="U39" s="667">
        <f t="shared" si="13"/>
        <v>100</v>
      </c>
      <c r="V39" s="666" t="s">
        <v>14</v>
      </c>
      <c r="W39" s="667">
        <f t="shared" si="14"/>
        <v>100</v>
      </c>
      <c r="X39" s="1263"/>
      <c r="Y39" s="3394"/>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2"/>
      <c r="Q40" s="1261" t="str">
        <f t="shared" si="11"/>
        <v>单套建筑面积</v>
      </c>
      <c r="R40" s="666" t="s">
        <v>14</v>
      </c>
      <c r="S40" s="667">
        <f t="shared" si="12"/>
        <v>100</v>
      </c>
      <c r="T40" s="666" t="s">
        <v>14</v>
      </c>
      <c r="U40" s="667">
        <f t="shared" si="13"/>
        <v>100</v>
      </c>
      <c r="V40" s="666" t="s">
        <v>14</v>
      </c>
      <c r="W40" s="667">
        <f t="shared" si="14"/>
        <v>100</v>
      </c>
      <c r="X40" s="1263"/>
      <c r="Y40" s="3394"/>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92"/>
      <c r="Q41" s="531" t="str">
        <f t="shared" si="11"/>
        <v>进深比</v>
      </c>
      <c r="R41" s="668" t="s">
        <v>14</v>
      </c>
      <c r="S41" s="669">
        <f t="shared" si="12"/>
        <v>100</v>
      </c>
      <c r="T41" s="668" t="s">
        <v>14</v>
      </c>
      <c r="U41" s="669">
        <f t="shared" si="13"/>
        <v>100</v>
      </c>
      <c r="V41" s="668" t="s">
        <v>14</v>
      </c>
      <c r="W41" s="669">
        <f t="shared" si="14"/>
        <v>100</v>
      </c>
      <c r="X41" s="670"/>
      <c r="Y41" s="3394"/>
      <c r="Z41" s="671" t="str">
        <f t="shared" si="15"/>
        <v>进深比</v>
      </c>
      <c r="AA41" s="1262">
        <f t="shared" si="3"/>
        <v>1</v>
      </c>
      <c r="AB41" s="1262">
        <f t="shared" si="4"/>
        <v>1</v>
      </c>
      <c r="AC41" s="1262">
        <f t="shared" si="5"/>
        <v>1</v>
      </c>
    </row>
    <row r="42" spans="1:29" ht="15">
      <c r="A42" s="409"/>
      <c r="B42" s="364" t="s">
        <v>1792</v>
      </c>
      <c r="C42" s="1758" t="s">
        <v>3529</v>
      </c>
      <c r="D42" s="374">
        <v>100</v>
      </c>
      <c r="E42" s="1758" t="s">
        <v>3484</v>
      </c>
      <c r="F42" s="400">
        <f>SUMIF(122:122,E42,123:123)-SUMIF(122:122,C42,123:123)+100</f>
        <v>102</v>
      </c>
      <c r="G42" s="1758" t="s">
        <v>3484</v>
      </c>
      <c r="H42" s="374">
        <f>SUMIF(122:122,G42,123:123)-SUMIF(122:122,C42,123:123)+100</f>
        <v>102</v>
      </c>
      <c r="I42" s="1758" t="s">
        <v>3528</v>
      </c>
      <c r="J42" s="374">
        <f>SUMIF(122:122,I42,123:123)-SUMIF(122:122,C42,123:123)+100</f>
        <v>98</v>
      </c>
      <c r="K42" s="538">
        <v>2</v>
      </c>
      <c r="L42" s="2489"/>
      <c r="M42" s="2484"/>
      <c r="N42" s="2484"/>
      <c r="O42" s="2484"/>
      <c r="P42" s="3392"/>
      <c r="Q42" s="1261" t="str">
        <f t="shared" si="11"/>
        <v>内部装修</v>
      </c>
      <c r="R42" s="666" t="s">
        <v>14</v>
      </c>
      <c r="S42" s="667">
        <f t="shared" si="12"/>
        <v>102</v>
      </c>
      <c r="T42" s="666" t="s">
        <v>14</v>
      </c>
      <c r="U42" s="667">
        <f t="shared" si="13"/>
        <v>102</v>
      </c>
      <c r="V42" s="666" t="s">
        <v>14</v>
      </c>
      <c r="W42" s="667">
        <f t="shared" si="14"/>
        <v>98</v>
      </c>
      <c r="X42" s="1263"/>
      <c r="Y42" s="3394"/>
      <c r="Z42" s="1262" t="str">
        <f t="shared" si="15"/>
        <v>内部装修</v>
      </c>
      <c r="AA42" s="1262">
        <f t="shared" si="3"/>
        <v>0.98039215686274506</v>
      </c>
      <c r="AB42" s="1262">
        <f t="shared" si="4"/>
        <v>0.98039215686274506</v>
      </c>
      <c r="AC42" s="1262">
        <f t="shared" si="5"/>
        <v>1.0204081632653061</v>
      </c>
    </row>
    <row r="43" spans="1:29" ht="28.8">
      <c r="A43" s="409"/>
      <c r="B43" s="364" t="s">
        <v>1707</v>
      </c>
      <c r="C43" s="1758" t="s">
        <v>3468</v>
      </c>
      <c r="D43" s="374">
        <v>100</v>
      </c>
      <c r="E43" s="1758" t="s">
        <v>3468</v>
      </c>
      <c r="F43" s="400">
        <f>SUMIF(124:124,E43,125:125)-SUMIF(124:124,C43,125:125)+100</f>
        <v>100</v>
      </c>
      <c r="G43" s="1758" t="s">
        <v>3468</v>
      </c>
      <c r="H43" s="374">
        <f>SUMIF(124:124,G43,125:125)-SUMIF(124:124,C43,125:125)+100</f>
        <v>100</v>
      </c>
      <c r="I43" s="1758" t="s">
        <v>3468</v>
      </c>
      <c r="J43" s="374">
        <f>SUMIF(124:124,I43,125:125)-SUMIF(124:124,C43,125:125)+100</f>
        <v>100</v>
      </c>
      <c r="K43" s="538">
        <v>2</v>
      </c>
      <c r="L43" s="2489"/>
      <c r="M43" s="2484" t="s">
        <v>3566</v>
      </c>
      <c r="N43" s="2484">
        <v>100</v>
      </c>
      <c r="O43" s="2484"/>
      <c r="P43" s="3392"/>
      <c r="Q43" s="1261" t="str">
        <f t="shared" si="11"/>
        <v>内部装修维护情况</v>
      </c>
      <c r="R43" s="666" t="s">
        <v>14</v>
      </c>
      <c r="S43" s="667">
        <f t="shared" si="12"/>
        <v>100</v>
      </c>
      <c r="T43" s="666" t="s">
        <v>14</v>
      </c>
      <c r="U43" s="667">
        <f t="shared" si="13"/>
        <v>100</v>
      </c>
      <c r="V43" s="666" t="s">
        <v>14</v>
      </c>
      <c r="W43" s="667">
        <f t="shared" si="14"/>
        <v>100</v>
      </c>
      <c r="X43" s="1263"/>
      <c r="Y43" s="3394"/>
      <c r="Z43" s="1262" t="str">
        <f t="shared" si="15"/>
        <v>内部装修维护情况</v>
      </c>
      <c r="AA43" s="1262">
        <f t="shared" si="3"/>
        <v>1</v>
      </c>
      <c r="AB43" s="1262">
        <f t="shared" si="4"/>
        <v>1</v>
      </c>
      <c r="AC43" s="1262">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t="s">
        <v>3567</v>
      </c>
      <c r="N44" s="2437">
        <v>70</v>
      </c>
      <c r="O44" s="2437"/>
      <c r="P44" s="3392"/>
      <c r="Q44" s="530">
        <f t="shared" si="11"/>
        <v>111</v>
      </c>
      <c r="R44" s="663" t="s">
        <v>14</v>
      </c>
      <c r="S44" s="664">
        <f t="shared" si="12"/>
        <v>100</v>
      </c>
      <c r="T44" s="663" t="s">
        <v>14</v>
      </c>
      <c r="U44" s="664">
        <f t="shared" si="13"/>
        <v>100</v>
      </c>
      <c r="V44" s="663" t="s">
        <v>14</v>
      </c>
      <c r="W44" s="664">
        <f t="shared" si="14"/>
        <v>100</v>
      </c>
      <c r="X44" s="665"/>
      <c r="Y44" s="339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2"/>
      <c r="Q45" s="1261">
        <f t="shared" si="11"/>
        <v>111</v>
      </c>
      <c r="R45" s="666" t="s">
        <v>14</v>
      </c>
      <c r="S45" s="667">
        <f t="shared" si="12"/>
        <v>100</v>
      </c>
      <c r="T45" s="666" t="s">
        <v>14</v>
      </c>
      <c r="U45" s="667">
        <f t="shared" si="13"/>
        <v>100</v>
      </c>
      <c r="V45" s="666" t="s">
        <v>14</v>
      </c>
      <c r="W45" s="667">
        <f t="shared" si="14"/>
        <v>100</v>
      </c>
      <c r="X45" s="1263"/>
      <c r="Y45" s="3394"/>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93"/>
      <c r="Q46" s="1261">
        <f t="shared" si="11"/>
        <v>111</v>
      </c>
      <c r="R46" s="666" t="s">
        <v>14</v>
      </c>
      <c r="S46" s="667">
        <f t="shared" si="12"/>
        <v>100</v>
      </c>
      <c r="T46" s="666" t="s">
        <v>14</v>
      </c>
      <c r="U46" s="667">
        <f t="shared" si="13"/>
        <v>100</v>
      </c>
      <c r="V46" s="666" t="s">
        <v>14</v>
      </c>
      <c r="W46" s="667">
        <f t="shared" si="14"/>
        <v>100</v>
      </c>
      <c r="X46" s="1263"/>
      <c r="Y46" s="3395"/>
      <c r="Z46" s="1262">
        <f t="shared" si="15"/>
        <v>111</v>
      </c>
      <c r="AA46" s="1262">
        <f t="shared" si="3"/>
        <v>1</v>
      </c>
      <c r="AB46" s="1262">
        <f t="shared" si="4"/>
        <v>1</v>
      </c>
      <c r="AC46" s="1262">
        <f t="shared" si="5"/>
        <v>1</v>
      </c>
    </row>
    <row r="47" spans="1:29" ht="14.4">
      <c r="A47" s="416" t="s">
        <v>1708</v>
      </c>
      <c r="B47" s="417"/>
      <c r="C47" s="1079" t="s">
        <v>0</v>
      </c>
      <c r="D47" s="418"/>
      <c r="E47" s="419">
        <f>N37</f>
        <v>28526</v>
      </c>
      <c r="F47" s="420"/>
      <c r="G47" s="421">
        <f>N38</f>
        <v>30043</v>
      </c>
      <c r="H47" s="422"/>
      <c r="I47" s="419">
        <f>N39</f>
        <v>25425</v>
      </c>
      <c r="J47" s="422"/>
      <c r="K47" s="673"/>
      <c r="L47" s="2491"/>
      <c r="M47" s="2484"/>
      <c r="N47" s="2484"/>
      <c r="O47" s="2484"/>
      <c r="P47" s="3396" t="str">
        <f>A47</f>
        <v>成交单价（元/平方米）</v>
      </c>
      <c r="Q47" s="3396"/>
      <c r="R47" s="3357">
        <f>E47</f>
        <v>28526</v>
      </c>
      <c r="S47" s="3357"/>
      <c r="T47" s="3357">
        <f>G47</f>
        <v>30043</v>
      </c>
      <c r="U47" s="3357"/>
      <c r="V47" s="3357">
        <f>I47</f>
        <v>25425</v>
      </c>
      <c r="W47" s="3357"/>
      <c r="X47" s="385"/>
      <c r="Y47" s="672"/>
      <c r="Z47" s="385"/>
      <c r="AA47" s="385"/>
      <c r="AB47" s="385"/>
      <c r="AC47" s="385"/>
    </row>
    <row r="48" spans="1:29" ht="15" thickBot="1">
      <c r="A48" s="423" t="s">
        <v>1793</v>
      </c>
      <c r="B48" s="424"/>
      <c r="C48" s="1080">
        <f>R49</f>
        <v>25867</v>
      </c>
      <c r="D48" s="2139" t="s">
        <v>2136</v>
      </c>
      <c r="E48" s="1081">
        <f>R48</f>
        <v>26364</v>
      </c>
      <c r="F48" s="2140"/>
      <c r="G48" s="1080">
        <f>T48</f>
        <v>27242</v>
      </c>
      <c r="H48" s="2140"/>
      <c r="I48" s="1081">
        <f>V48</f>
        <v>23995</v>
      </c>
      <c r="J48" s="2140"/>
      <c r="K48" s="2142">
        <f>F48+H48+J48</f>
        <v>0</v>
      </c>
      <c r="L48" s="2491"/>
      <c r="M48" s="2484"/>
      <c r="N48" s="2484"/>
      <c r="O48" s="2484"/>
      <c r="P48" s="3396" t="str">
        <f>A48</f>
        <v>比较价值（元/平方米）</v>
      </c>
      <c r="Q48" s="3396"/>
      <c r="R48" s="3357">
        <f>IF(F1="售价",ROUND(PRODUCT(R47,AA7:AA46),0),ROUND(PRODUCT(R47,AA7:AA46),1))</f>
        <v>26364</v>
      </c>
      <c r="S48" s="3357"/>
      <c r="T48" s="3357">
        <f>IF(F1="售价",ROUND(PRODUCT(T47,AB7:AB46),0),ROUND(PRODUCT(T47,AB7:AB46),1))</f>
        <v>27242</v>
      </c>
      <c r="U48" s="3357"/>
      <c r="V48" s="3357">
        <f>IF(F1="售价",ROUND(PRODUCT(V47,AC7:AC46),0),ROUND(PRODUCT(V47,AC7:AC46),1))</f>
        <v>23995</v>
      </c>
      <c r="W48" s="3357"/>
      <c r="X48" s="385"/>
      <c r="Y48" s="385"/>
      <c r="Z48" s="385"/>
      <c r="AA48" s="385"/>
      <c r="AB48" s="385"/>
      <c r="AC48" s="385"/>
    </row>
    <row r="49" spans="1:29" ht="15" thickBot="1">
      <c r="A49" s="427" t="s">
        <v>1794</v>
      </c>
      <c r="B49" s="428"/>
      <c r="C49" s="351">
        <f>R49</f>
        <v>25867</v>
      </c>
      <c r="D49" s="351"/>
      <c r="E49" s="351"/>
      <c r="F49" s="351"/>
      <c r="G49" s="351"/>
      <c r="H49" s="351"/>
      <c r="I49" s="351"/>
      <c r="J49" s="351"/>
      <c r="K49" s="674"/>
      <c r="L49" s="2491"/>
      <c r="M49" s="2484"/>
      <c r="N49" s="2484"/>
      <c r="O49" s="2484"/>
      <c r="P49" s="3397" t="str">
        <f>A49</f>
        <v>估价对象XX用房的比较价值（楼面单价，元/平方米）</v>
      </c>
      <c r="Q49" s="3398"/>
      <c r="R49" s="3399">
        <f>IF(F1="售价",ROUND(IF(D48="简单平均",AVERAGE(R48:V48),R48*F48+T48*H48+V48*J48),0),ROUND(IF(D48="简单平均",AVERAGE(R48:V48),R48*F48+T48*H48+V48*J48),1))</f>
        <v>25867</v>
      </c>
      <c r="S49" s="3399"/>
      <c r="T49" s="3399"/>
      <c r="U49" s="3399"/>
      <c r="V49" s="3399"/>
      <c r="W49" s="3399"/>
      <c r="X49" s="385"/>
      <c r="Y49" s="385"/>
      <c r="Z49" s="385"/>
      <c r="AA49" s="385"/>
      <c r="AB49" s="385"/>
      <c r="AC49" s="385"/>
    </row>
    <row r="50" spans="1:29" ht="14.4">
      <c r="A50" s="2484"/>
      <c r="B50" s="2484"/>
      <c r="C50" s="3155"/>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8.2005765437718203E-2</v>
      </c>
      <c r="F52" s="435" t="str">
        <f>IF(OR(E52&gt;=0.3,E52&lt;=-0.3),"超过30%","")</f>
        <v/>
      </c>
      <c r="G52" s="434">
        <f>IF(G47&lt;G48,G48/G47-1,G47/G48-1)</f>
        <v>0.10281917627193304</v>
      </c>
      <c r="H52" s="435" t="str">
        <f>IF(OR(G52&gt;=0.3,G52&lt;=-0.3),"超过30%","")</f>
        <v/>
      </c>
      <c r="I52" s="434">
        <f>IF(I47&lt;I48,I48/I47-1,I47/I48-1)</f>
        <v>5.9595749114398799E-2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3.3302988924290622E-2</v>
      </c>
      <c r="F53" s="435" t="str">
        <f>IF(OR(E53&gt;=0.2,E53&lt;=-0.2),"超过20%","")</f>
        <v/>
      </c>
      <c r="G53" s="434">
        <f>IF(G48&lt;I48,I48/G48-1,G48/I48-1)</f>
        <v>0.13531985830381332</v>
      </c>
      <c r="H53" s="435" t="str">
        <f>IF(OR(G53&gt;=0.2,G53&lt;=-0.2),"超过20%","")</f>
        <v/>
      </c>
      <c r="I53" s="434">
        <f>IF(I48&lt;E48,E48/I48-1,I48/E48-1)</f>
        <v>9.8728901854552964E-2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5.3179555493234165E-2</v>
      </c>
      <c r="F54" s="435" t="str">
        <f>IF(OR(E54&gt;=0.3,E54&lt;=-0.3),"超过30%","")</f>
        <v/>
      </c>
      <c r="G54" s="434">
        <f>IF(G47&lt;I47,I47/G47-1,G47/I47-1)</f>
        <v>0.18163225172074737</v>
      </c>
      <c r="H54" s="435" t="str">
        <f>IF(OR(G54&gt;=0.3,G54&lt;=-0.3),"超过30%","")</f>
        <v/>
      </c>
      <c r="I54" s="434">
        <f>IF(I47&lt;E47,E47/I47-1,I47/E47-1)</f>
        <v>0.12196656833824981</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4.4">
      <c r="A58" s="440" t="s">
        <v>1679</v>
      </c>
      <c r="B58" s="441"/>
      <c r="C58" s="1101" t="str">
        <f>YEAR(C7)&amp;"-"&amp;MONTH(C7)</f>
        <v>2024-12</v>
      </c>
      <c r="D58" s="1102">
        <f>EDATE(C58,-1)</f>
        <v>45597</v>
      </c>
      <c r="E58" s="1102">
        <f t="shared" ref="E58:N58" si="17">EDATE(D58,-1)</f>
        <v>45566</v>
      </c>
      <c r="F58" s="1102">
        <f t="shared" si="17"/>
        <v>45536</v>
      </c>
      <c r="G58" s="1102">
        <f t="shared" si="17"/>
        <v>45505</v>
      </c>
      <c r="H58" s="1102">
        <f t="shared" si="17"/>
        <v>45474</v>
      </c>
      <c r="I58" s="1102">
        <f t="shared" si="17"/>
        <v>45444</v>
      </c>
      <c r="J58" s="1102">
        <f t="shared" si="17"/>
        <v>45413</v>
      </c>
      <c r="K58" s="1102">
        <f t="shared" si="17"/>
        <v>45383</v>
      </c>
      <c r="L58" s="1102">
        <f t="shared" si="17"/>
        <v>45352</v>
      </c>
      <c r="M58" s="1102">
        <f t="shared" si="17"/>
        <v>45323</v>
      </c>
      <c r="N58" s="1102">
        <f t="shared" si="17"/>
        <v>45292</v>
      </c>
      <c r="O58" s="1102">
        <f>EDATE(N58,-1)</f>
        <v>45261</v>
      </c>
      <c r="P58" s="2506"/>
      <c r="Q58" s="2507"/>
      <c r="R58" s="2507"/>
      <c r="S58" s="2507"/>
      <c r="T58" s="2507"/>
      <c r="U58" s="2507"/>
      <c r="V58" s="2507"/>
      <c r="W58" s="2507"/>
      <c r="X58" s="2507"/>
      <c r="Y58" s="2507"/>
      <c r="Z58" s="2507"/>
      <c r="AA58" s="2507"/>
      <c r="AB58" s="2507"/>
      <c r="AC58" s="2507"/>
    </row>
    <row r="59" spans="1:29" s="102" customFormat="1">
      <c r="A59" s="443"/>
      <c r="B59" s="444"/>
      <c r="C59" s="1100">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46" t="s">
        <v>3488</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3148" t="s">
        <v>3490</v>
      </c>
      <c r="D65" s="3148" t="s">
        <v>3491</v>
      </c>
      <c r="E65" s="3148" t="s">
        <v>3492</v>
      </c>
      <c r="F65" s="3148" t="s">
        <v>3493</v>
      </c>
      <c r="G65" s="3148" t="s">
        <v>3494</v>
      </c>
      <c r="H65" s="3148" t="s">
        <v>3495</v>
      </c>
      <c r="I65" s="3148" t="s">
        <v>3496</v>
      </c>
      <c r="J65" s="3148" t="s">
        <v>3497</v>
      </c>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3149">
        <v>100</v>
      </c>
      <c r="D66" s="3149">
        <f>C66-$N$66</f>
        <v>100</v>
      </c>
      <c r="E66" s="3149">
        <f t="shared" ref="E66:J66" si="18">D66-$N$66</f>
        <v>100</v>
      </c>
      <c r="F66" s="3149">
        <f t="shared" si="18"/>
        <v>100</v>
      </c>
      <c r="G66" s="3149">
        <f t="shared" si="18"/>
        <v>100</v>
      </c>
      <c r="H66" s="3149">
        <f t="shared" si="18"/>
        <v>100</v>
      </c>
      <c r="I66" s="3149">
        <f t="shared" si="18"/>
        <v>100</v>
      </c>
      <c r="J66" s="3149">
        <f t="shared" si="18"/>
        <v>100</v>
      </c>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0（含）-2</v>
      </c>
      <c r="D67" s="478" t="str">
        <f t="shared" ref="D67:L67" si="19">D68&amp;"（含）"&amp;"-"&amp;E68</f>
        <v>2（含）-</v>
      </c>
      <c r="E67" s="478" t="str">
        <f t="shared" si="19"/>
        <v>（含）-</v>
      </c>
      <c r="F67" s="478" t="str">
        <f t="shared" si="19"/>
        <v>（含）-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2</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21">D83-$K21</f>
        <v>98</v>
      </c>
      <c r="F83" s="475">
        <f t="shared" si="21"/>
        <v>97</v>
      </c>
      <c r="G83" s="475">
        <f t="shared" si="21"/>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3150" t="s">
        <v>3498</v>
      </c>
      <c r="D86" s="3150" t="s">
        <v>3499</v>
      </c>
      <c r="E86" s="3150" t="s">
        <v>3525</v>
      </c>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2">C87-$K25</f>
        <v>95</v>
      </c>
      <c r="E87" s="475">
        <f t="shared" si="22"/>
        <v>90</v>
      </c>
      <c r="F87" s="475">
        <f t="shared" si="22"/>
        <v>85</v>
      </c>
      <c r="G87" s="475">
        <f t="shared" si="22"/>
        <v>80</v>
      </c>
      <c r="H87" s="475">
        <f t="shared" si="22"/>
        <v>75</v>
      </c>
      <c r="I87" s="475">
        <f t="shared" si="22"/>
        <v>70</v>
      </c>
      <c r="J87" s="475">
        <f t="shared" si="22"/>
        <v>65</v>
      </c>
      <c r="K87" s="475">
        <f t="shared" si="22"/>
        <v>60</v>
      </c>
      <c r="L87" s="475">
        <f t="shared" si="22"/>
        <v>55</v>
      </c>
      <c r="M87" s="475">
        <f t="shared" si="22"/>
        <v>50</v>
      </c>
      <c r="N87" s="2519"/>
      <c r="O87" s="2519"/>
      <c r="P87" s="2510"/>
      <c r="Q87" s="2505"/>
      <c r="R87" s="2437"/>
      <c r="S87" s="2437"/>
      <c r="T87" s="2437"/>
      <c r="U87" s="2437"/>
      <c r="V87" s="2437"/>
      <c r="W87" s="2437"/>
      <c r="X87" s="2437"/>
      <c r="Y87" s="2437"/>
      <c r="Z87" s="2437"/>
      <c r="AA87" s="2437"/>
      <c r="AB87" s="2437"/>
      <c r="AC87" s="2437"/>
    </row>
    <row r="88" spans="1:29" s="102" customFormat="1" ht="15" thickTop="1">
      <c r="A88" s="370"/>
      <c r="B88" s="469" t="str">
        <f>B26</f>
        <v>平面位置/可视性</v>
      </c>
      <c r="C88" s="3150" t="s">
        <v>3500</v>
      </c>
      <c r="D88" s="3150" t="s">
        <v>3501</v>
      </c>
      <c r="E88" s="3150" t="s">
        <v>3502</v>
      </c>
      <c r="F88" s="3151" t="s">
        <v>3503</v>
      </c>
      <c r="G88" s="3150" t="s">
        <v>3504</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v>100</v>
      </c>
      <c r="D89" s="467">
        <f>C89-2</f>
        <v>98</v>
      </c>
      <c r="E89" s="467">
        <f t="shared" ref="E89:G89" si="23">D89-2</f>
        <v>96</v>
      </c>
      <c r="F89" s="467">
        <f t="shared" si="23"/>
        <v>94</v>
      </c>
      <c r="G89" s="467">
        <f t="shared" si="23"/>
        <v>92</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 thickTop="1">
      <c r="A90" s="484"/>
      <c r="B90" s="469" t="str">
        <f>B27</f>
        <v>人流量</v>
      </c>
      <c r="C90" s="3150" t="s">
        <v>3505</v>
      </c>
      <c r="D90" s="3150" t="s">
        <v>3506</v>
      </c>
      <c r="E90" s="3150" t="s">
        <v>3502</v>
      </c>
      <c r="F90" s="3150" t="s">
        <v>3507</v>
      </c>
      <c r="G90" s="3150" t="s">
        <v>3508</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95</v>
      </c>
      <c r="E91" s="475">
        <f t="shared" ref="E91:M91" si="24">D91-$K27</f>
        <v>90</v>
      </c>
      <c r="F91" s="475">
        <f t="shared" si="24"/>
        <v>85</v>
      </c>
      <c r="G91" s="475">
        <f t="shared" si="24"/>
        <v>80</v>
      </c>
      <c r="H91" s="475">
        <f t="shared" si="24"/>
        <v>75</v>
      </c>
      <c r="I91" s="475">
        <f t="shared" si="24"/>
        <v>70</v>
      </c>
      <c r="J91" s="475">
        <f t="shared" si="24"/>
        <v>65</v>
      </c>
      <c r="K91" s="475">
        <f t="shared" si="24"/>
        <v>60</v>
      </c>
      <c r="L91" s="475">
        <f t="shared" si="24"/>
        <v>55</v>
      </c>
      <c r="M91" s="475">
        <f t="shared" si="24"/>
        <v>50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f>'比较法-商业'!M34</f>
        <v>0</v>
      </c>
      <c r="D92" s="485">
        <f>'比较法-商业'!M33</f>
        <v>0</v>
      </c>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f>'比较法-商业'!O34</f>
        <v>0</v>
      </c>
      <c r="D93" s="467">
        <f>'比较法-商业'!O33</f>
        <v>0</v>
      </c>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3152" t="s">
        <v>3511</v>
      </c>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6">
        <f t="shared" si="25"/>
        <v>80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0(含)-50</v>
      </c>
      <c r="D102" s="509" t="str">
        <f t="shared" ref="D102:L102" si="26">D103&amp;"(含)"&amp;"-"&amp;E103</f>
        <v>50(含)-100</v>
      </c>
      <c r="E102" s="509" t="str">
        <f t="shared" si="26"/>
        <v>100(含)-150</v>
      </c>
      <c r="F102" s="509" t="str">
        <f t="shared" si="26"/>
        <v>150(含)-200</v>
      </c>
      <c r="G102" s="509" t="str">
        <f t="shared" si="26"/>
        <v>200(含)-300</v>
      </c>
      <c r="H102" s="509" t="str">
        <f t="shared" si="26"/>
        <v>300(含)-500</v>
      </c>
      <c r="I102" s="509" t="str">
        <f t="shared" si="26"/>
        <v>500(含)-</v>
      </c>
      <c r="J102" s="509" t="str">
        <f t="shared" si="26"/>
        <v>(含)-</v>
      </c>
      <c r="K102" s="509" t="str">
        <f t="shared" si="26"/>
        <v>(含)-</v>
      </c>
      <c r="L102" s="509" t="str">
        <f t="shared" si="26"/>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50</v>
      </c>
      <c r="E103" s="6">
        <v>100</v>
      </c>
      <c r="F103" s="6">
        <v>150</v>
      </c>
      <c r="G103" s="6">
        <v>200</v>
      </c>
      <c r="H103" s="6">
        <v>300</v>
      </c>
      <c r="I103" s="6">
        <v>500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v>100</v>
      </c>
      <c r="D104" s="467">
        <f>C104-2</f>
        <v>98</v>
      </c>
      <c r="E104" s="467">
        <f t="shared" ref="E104:I104" si="27">D104-2</f>
        <v>96</v>
      </c>
      <c r="F104" s="467">
        <f t="shared" si="27"/>
        <v>94</v>
      </c>
      <c r="G104" s="467">
        <f t="shared" si="27"/>
        <v>92</v>
      </c>
      <c r="H104" s="467">
        <f t="shared" si="27"/>
        <v>90</v>
      </c>
      <c r="I104" s="467">
        <f t="shared" si="27"/>
        <v>88</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50" t="s">
        <v>3512</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8">C106-$K34</f>
        <v>98</v>
      </c>
      <c r="E106" s="475">
        <f t="shared" si="28"/>
        <v>96</v>
      </c>
      <c r="F106" s="475">
        <f t="shared" si="28"/>
        <v>94</v>
      </c>
      <c r="G106" s="475">
        <f t="shared" si="28"/>
        <v>92</v>
      </c>
      <c r="H106" s="475">
        <f t="shared" si="28"/>
        <v>90</v>
      </c>
      <c r="I106" s="475">
        <f t="shared" si="28"/>
        <v>88</v>
      </c>
      <c r="J106" s="475">
        <f t="shared" si="28"/>
        <v>86</v>
      </c>
      <c r="K106" s="475">
        <f t="shared" si="28"/>
        <v>84</v>
      </c>
      <c r="L106" s="475">
        <f t="shared" si="28"/>
        <v>82</v>
      </c>
      <c r="M106" s="476">
        <f t="shared" si="28"/>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6">
        <f t="shared" si="29"/>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102</v>
      </c>
      <c r="E111" s="475">
        <f t="shared" ref="E111:M111" si="30">D111+$K36</f>
        <v>104</v>
      </c>
      <c r="F111" s="475">
        <f t="shared" si="30"/>
        <v>106</v>
      </c>
      <c r="G111" s="475">
        <f t="shared" si="30"/>
        <v>108</v>
      </c>
      <c r="H111" s="475">
        <f t="shared" si="30"/>
        <v>110</v>
      </c>
      <c r="I111" s="475">
        <f t="shared" si="30"/>
        <v>112</v>
      </c>
      <c r="J111" s="475">
        <f t="shared" si="30"/>
        <v>114</v>
      </c>
      <c r="K111" s="475">
        <f t="shared" si="30"/>
        <v>116</v>
      </c>
      <c r="L111" s="475">
        <f t="shared" si="30"/>
        <v>118</v>
      </c>
      <c r="M111" s="475">
        <f t="shared" si="30"/>
        <v>120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3150" t="s">
        <v>3513</v>
      </c>
      <c r="D112" s="3150" t="s">
        <v>3514</v>
      </c>
      <c r="E112" s="3150" t="s">
        <v>3515</v>
      </c>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99</v>
      </c>
      <c r="E113" s="475">
        <f t="shared" ref="E113:M113" si="31">D113-$K37</f>
        <v>98</v>
      </c>
      <c r="F113" s="475">
        <f t="shared" si="31"/>
        <v>97</v>
      </c>
      <c r="G113" s="475">
        <f t="shared" si="31"/>
        <v>96</v>
      </c>
      <c r="H113" s="475">
        <f t="shared" si="31"/>
        <v>95</v>
      </c>
      <c r="I113" s="475">
        <f t="shared" si="31"/>
        <v>94</v>
      </c>
      <c r="J113" s="475">
        <f t="shared" si="31"/>
        <v>93</v>
      </c>
      <c r="K113" s="475">
        <f t="shared" si="31"/>
        <v>92</v>
      </c>
      <c r="L113" s="475">
        <f t="shared" si="31"/>
        <v>91</v>
      </c>
      <c r="M113" s="475">
        <f t="shared" si="31"/>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3150" t="s">
        <v>3516</v>
      </c>
      <c r="D114" s="3150" t="s">
        <v>3517</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2">C115-$K38</f>
        <v>95</v>
      </c>
      <c r="E115" s="475">
        <f t="shared" si="32"/>
        <v>90</v>
      </c>
      <c r="F115" s="475">
        <f t="shared" si="32"/>
        <v>85</v>
      </c>
      <c r="G115" s="475">
        <f t="shared" si="32"/>
        <v>80</v>
      </c>
      <c r="H115" s="475">
        <f t="shared" si="32"/>
        <v>75</v>
      </c>
      <c r="I115" s="475">
        <f t="shared" si="32"/>
        <v>70</v>
      </c>
      <c r="J115" s="475">
        <f t="shared" si="32"/>
        <v>65</v>
      </c>
      <c r="K115" s="475">
        <f t="shared" si="32"/>
        <v>60</v>
      </c>
      <c r="L115" s="475">
        <f t="shared" si="32"/>
        <v>55</v>
      </c>
      <c r="M115" s="476">
        <f t="shared" si="32"/>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50" t="s">
        <v>3518</v>
      </c>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33">D121-$K41</f>
        <v>100</v>
      </c>
      <c r="F121" s="475">
        <f t="shared" si="33"/>
        <v>100</v>
      </c>
      <c r="G121" s="475">
        <f t="shared" si="33"/>
        <v>100</v>
      </c>
      <c r="H121" s="475">
        <f t="shared" si="33"/>
        <v>100</v>
      </c>
      <c r="I121" s="475">
        <f t="shared" si="33"/>
        <v>100</v>
      </c>
      <c r="J121" s="475">
        <f t="shared" si="33"/>
        <v>100</v>
      </c>
      <c r="K121" s="475">
        <f t="shared" si="33"/>
        <v>100</v>
      </c>
      <c r="L121" s="475">
        <f t="shared" si="33"/>
        <v>100</v>
      </c>
      <c r="M121" s="476">
        <f t="shared" si="33"/>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50" t="s">
        <v>3519</v>
      </c>
      <c r="D122" s="3150" t="s">
        <v>3520</v>
      </c>
      <c r="E122" s="3150" t="s">
        <v>3521</v>
      </c>
      <c r="F122" s="3153" t="s">
        <v>3522</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4">C123-$K42</f>
        <v>98</v>
      </c>
      <c r="E123" s="475">
        <f t="shared" si="34"/>
        <v>96</v>
      </c>
      <c r="F123" s="475">
        <f t="shared" si="34"/>
        <v>94</v>
      </c>
      <c r="G123" s="475">
        <f t="shared" si="34"/>
        <v>92</v>
      </c>
      <c r="H123" s="475">
        <f t="shared" si="34"/>
        <v>90</v>
      </c>
      <c r="I123" s="475">
        <f t="shared" si="34"/>
        <v>88</v>
      </c>
      <c r="J123" s="475">
        <f t="shared" si="34"/>
        <v>86</v>
      </c>
      <c r="K123" s="475">
        <f t="shared" si="34"/>
        <v>84</v>
      </c>
      <c r="L123" s="475">
        <f t="shared" si="34"/>
        <v>82</v>
      </c>
      <c r="M123" s="476">
        <f t="shared" si="34"/>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algorithmName="SHA-512" hashValue="nix0vJVVEscYs/nqQcUBUU+vTdtNH0sbeEy/rKPgi0otyDTp0vFATOlcLECoN2ecS+6gdVnDprPERAx/xHSfEQ==" saltValue="DHmBo4wWJGEMRpGPgoK0c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1"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2"/>
      <c r="C1" s="1285" t="s">
        <v>3470</v>
      </c>
      <c r="D1" s="1269" t="s">
        <v>43</v>
      </c>
      <c r="E1" s="1270" t="s">
        <v>678</v>
      </c>
      <c r="F1" s="998">
        <f ca="1">J53</f>
        <v>19.72</v>
      </c>
      <c r="G1" s="1284">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468.56180000000001</v>
      </c>
      <c r="C2" s="1287" t="s">
        <v>879</v>
      </c>
      <c r="D2" s="1373">
        <f ca="1">C40+J29+L46</f>
        <v>4685618</v>
      </c>
      <c r="E2" s="1293" t="s">
        <v>880</v>
      </c>
      <c r="F2" s="1294"/>
      <c r="G2" s="2475"/>
      <c r="H2" s="2465"/>
      <c r="I2" s="2465"/>
      <c r="J2" s="2465"/>
      <c r="K2" s="2466"/>
      <c r="L2" s="2465"/>
      <c r="M2" s="2465"/>
    </row>
    <row r="3" spans="1:37" ht="18" customHeight="1" thickBot="1">
      <c r="A3" s="1295" t="s">
        <v>881</v>
      </c>
      <c r="B3" s="1296">
        <f ca="1">IF(ISERROR(D2/F43),0,ROUND(D2/F43,0))</f>
        <v>18958</v>
      </c>
      <c r="C3" s="1287" t="s">
        <v>882</v>
      </c>
      <c r="D3" s="1287"/>
      <c r="E3" s="1293"/>
      <c r="F3" s="1294"/>
      <c r="G3" s="2475"/>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6">
        <f ca="1">C6+C10+C12</f>
        <v>406467</v>
      </c>
      <c r="D5" s="1271" t="s">
        <v>889</v>
      </c>
      <c r="E5" s="1007"/>
      <c r="F5" s="1008"/>
      <c r="G5" s="1290"/>
      <c r="H5" s="291">
        <v>1</v>
      </c>
      <c r="I5" s="292" t="s">
        <v>888</v>
      </c>
      <c r="J5" s="1006">
        <f ca="1">J6+J10+J12</f>
        <v>0</v>
      </c>
      <c r="K5" s="1271" t="s">
        <v>889</v>
      </c>
      <c r="L5" s="1007"/>
      <c r="M5" s="1008"/>
    </row>
    <row r="6" spans="1:37" ht="18" customHeight="1">
      <c r="A6" s="1005" t="s">
        <v>398</v>
      </c>
      <c r="B6" s="3351" t="s">
        <v>694</v>
      </c>
      <c r="C6" s="1010">
        <f ca="1">ROUND(F6*F8*F7*(1-F9),0)</f>
        <v>405960</v>
      </c>
      <c r="D6" s="147" t="s">
        <v>2104</v>
      </c>
      <c r="E6" s="294" t="s">
        <v>696</v>
      </c>
      <c r="F6" s="295">
        <f ca="1">INDIRECT("'数据-取费表'!u"&amp;$G$1)</f>
        <v>5</v>
      </c>
      <c r="G6" s="1290"/>
      <c r="H6" s="1005" t="s">
        <v>398</v>
      </c>
      <c r="I6" s="3351" t="s">
        <v>694</v>
      </c>
      <c r="J6" s="293">
        <f ca="1">ROUND(M6*M8*M7*(1-M9),0)</f>
        <v>0</v>
      </c>
      <c r="K6" s="1282" t="s">
        <v>2105</v>
      </c>
      <c r="L6" s="294" t="s">
        <v>696</v>
      </c>
      <c r="M6" s="295">
        <f ca="1">INDIRECT("'数据-取费表'!z"&amp;$G$1)</f>
        <v>0</v>
      </c>
    </row>
    <row r="7" spans="1:37" ht="18" customHeight="1">
      <c r="A7" s="1009"/>
      <c r="B7" s="3352"/>
      <c r="C7" s="1011"/>
      <c r="D7" s="299"/>
      <c r="E7" s="1012" t="s">
        <v>697</v>
      </c>
      <c r="F7" s="295">
        <f ca="1">IF(INDIRECT("'数据-取费表'!ah"&amp;$G$1)="",INDIRECT("'数据-取费表'!k"&amp;$G$1),INDIRECT("'数据-取费表'!ah"&amp;$G$1))</f>
        <v>247.16</v>
      </c>
      <c r="G7" s="1290"/>
      <c r="H7" s="296"/>
      <c r="I7" s="3352"/>
      <c r="J7" s="298"/>
      <c r="K7" s="299"/>
      <c r="L7" s="294" t="s">
        <v>697</v>
      </c>
      <c r="M7" s="295">
        <f ca="1">F7</f>
        <v>247.16</v>
      </c>
    </row>
    <row r="8" spans="1:37" ht="18" customHeight="1">
      <c r="A8" s="296"/>
      <c r="B8" s="3352"/>
      <c r="C8" s="298"/>
      <c r="D8" s="299"/>
      <c r="E8" s="294" t="s">
        <v>698</v>
      </c>
      <c r="F8" s="295">
        <f ca="1">INDIRECT("'数据-取费表'!ai"&amp;$G$1)</f>
        <v>365</v>
      </c>
      <c r="G8" s="1290"/>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0"/>
      <c r="H9" s="296"/>
      <c r="I9" s="3353"/>
      <c r="J9" s="298"/>
      <c r="K9" s="299"/>
      <c r="L9" s="305" t="s">
        <v>699</v>
      </c>
      <c r="M9" s="306">
        <f ca="1">INDIRECT("'数据-取费表'!ab"&amp;$G$1)</f>
        <v>0</v>
      </c>
    </row>
    <row r="10" spans="1:37" ht="18" customHeight="1">
      <c r="A10" s="1005" t="s">
        <v>402</v>
      </c>
      <c r="B10" s="1272" t="s">
        <v>700</v>
      </c>
      <c r="C10" s="308">
        <f ca="1">ROUND(IF(F10="押一",C6/12*F11,IF(F10="押二",C6/12*2*F11,IF(F10="押三",C6/12*3*F11,C11*F11))),0)</f>
        <v>507</v>
      </c>
      <c r="D10" s="150" t="s">
        <v>2114</v>
      </c>
      <c r="E10" s="305" t="s">
        <v>701</v>
      </c>
      <c r="F10" s="1052" t="s">
        <v>3452</v>
      </c>
      <c r="G10" s="1290"/>
      <c r="H10" s="1005" t="s">
        <v>402</v>
      </c>
      <c r="I10" s="1272" t="s">
        <v>700</v>
      </c>
      <c r="J10" s="293">
        <f ca="1">ROUND(IF(M10="押一",J6/12*M11,IF(M10="押二",J6/12*2*M11,IF(M10="押三",J6/12*3*M11,J11*M11))),0)</f>
        <v>0</v>
      </c>
      <c r="K10" s="1283" t="s">
        <v>2116</v>
      </c>
      <c r="L10" s="305" t="s">
        <v>701</v>
      </c>
      <c r="M10" s="1052"/>
    </row>
    <row r="11" spans="1:37" ht="18" customHeight="1">
      <c r="A11" s="300"/>
      <c r="B11" s="1273" t="s">
        <v>890</v>
      </c>
      <c r="C11" s="904"/>
      <c r="D11" s="299"/>
      <c r="E11" s="305" t="s">
        <v>702</v>
      </c>
      <c r="F11" s="306">
        <f ca="1">'数据-取费表'!B39</f>
        <v>1.4999999999999999E-2</v>
      </c>
      <c r="G11" s="1290"/>
      <c r="H11" s="1013"/>
      <c r="I11" s="1273" t="s">
        <v>891</v>
      </c>
      <c r="J11" s="904"/>
      <c r="K11" s="645"/>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732563</v>
      </c>
      <c r="D13" s="1017" t="s">
        <v>705</v>
      </c>
      <c r="E13" s="1017" t="s">
        <v>706</v>
      </c>
      <c r="F13" s="1018">
        <f ca="1">INDIRECT("'数据-取费表'!y"&amp;$G$1)</f>
        <v>0.79</v>
      </c>
      <c r="G13" s="1290"/>
      <c r="H13" s="1015">
        <v>2</v>
      </c>
      <c r="I13" s="1016" t="s">
        <v>704</v>
      </c>
      <c r="J13" s="1004">
        <f ca="1">ROUND(J14*J15,0)</f>
        <v>0</v>
      </c>
      <c r="K13" s="1023" t="s">
        <v>705</v>
      </c>
      <c r="L13" s="1297"/>
      <c r="M13" s="1298"/>
    </row>
    <row r="14" spans="1:37" ht="18" customHeight="1">
      <c r="A14" s="927" t="s">
        <v>397</v>
      </c>
      <c r="B14" s="294" t="s">
        <v>707</v>
      </c>
      <c r="C14" s="310">
        <f ca="1">ROUND(INDIRECT("'数据-取费表'!l"&amp;$G$1)*F43+'数据-取费表'!L14*INDIRECT("'数据-取费表'!S"&amp;$G$1),0)</f>
        <v>617900</v>
      </c>
      <c r="D14" s="1255" t="s">
        <v>708</v>
      </c>
      <c r="E14" s="1253"/>
      <c r="F14" s="311"/>
      <c r="G14" s="1290"/>
      <c r="H14" s="927" t="s">
        <v>398</v>
      </c>
      <c r="I14" s="294" t="s">
        <v>709</v>
      </c>
      <c r="J14" s="21">
        <f ca="1">C29</f>
        <v>927295</v>
      </c>
      <c r="K14" s="12"/>
      <c r="L14" s="758"/>
      <c r="M14" s="759"/>
    </row>
    <row r="15" spans="1:37" s="1302" customFormat="1" ht="18" customHeight="1" thickBot="1">
      <c r="A15" s="927" t="s">
        <v>399</v>
      </c>
      <c r="B15" s="294" t="s">
        <v>710</v>
      </c>
      <c r="C15" s="21">
        <f ca="1">ROUND(C14*F15,0)</f>
        <v>30895</v>
      </c>
      <c r="D15" s="312" t="s">
        <v>711</v>
      </c>
      <c r="E15" s="312" t="s">
        <v>712</v>
      </c>
      <c r="F15" s="313">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5" t="s">
        <v>393</v>
      </c>
      <c r="I16" s="1016" t="s">
        <v>714</v>
      </c>
      <c r="J16" s="302">
        <f ca="1">ROUND(J17+J22+J23+J24,0)</f>
        <v>4636</v>
      </c>
      <c r="K16" s="1023" t="s">
        <v>715</v>
      </c>
      <c r="L16" s="1024"/>
      <c r="M16" s="1008"/>
    </row>
    <row r="17" spans="1:37" s="1302" customFormat="1" ht="18" customHeight="1">
      <c r="A17" s="927" t="s">
        <v>681</v>
      </c>
      <c r="B17" s="294" t="s">
        <v>716</v>
      </c>
      <c r="C17" s="21">
        <f ca="1">ROUND(F17*(F43+INDIRECT("'数据-取费表'!S"&amp;$G$1)),0)</f>
        <v>49432</v>
      </c>
      <c r="D17" s="294" t="s">
        <v>717</v>
      </c>
      <c r="E17" s="294" t="s">
        <v>718</v>
      </c>
      <c r="F17" s="23">
        <f>'数据-取费表'!B35</f>
        <v>200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12358</v>
      </c>
      <c r="D18" s="294" t="s">
        <v>711</v>
      </c>
      <c r="E18" s="294" t="s">
        <v>712</v>
      </c>
      <c r="F18" s="314">
        <f>'数据-取费表'!B36</f>
        <v>0.02</v>
      </c>
      <c r="G18" s="1301"/>
      <c r="H18" s="927"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710585</v>
      </c>
      <c r="D19" s="123" t="s">
        <v>726</v>
      </c>
      <c r="E19" s="1267"/>
      <c r="F19" s="23"/>
      <c r="G19" s="1290"/>
      <c r="H19" s="927" t="s">
        <v>399</v>
      </c>
      <c r="I19" s="294" t="s">
        <v>727</v>
      </c>
      <c r="J19" s="21">
        <f ca="1">IF(K19="按租金收入计税",ROUND(J6*M19/(1+'数据-取费表'!C42),0),ROUND(C29*M19*0.7,0))</f>
        <v>0</v>
      </c>
      <c r="K19" s="1276" t="s">
        <v>3335</v>
      </c>
      <c r="L19" s="294" t="s">
        <v>712</v>
      </c>
      <c r="M19" s="314">
        <f>IF(K19="按租金收入计税",'数据-取费表'!B51,'数据-取费表'!B50)</f>
        <v>0.12</v>
      </c>
    </row>
    <row r="20" spans="1:37" s="1302" customFormat="1" ht="18" customHeight="1">
      <c r="A20" s="927" t="s">
        <v>402</v>
      </c>
      <c r="B20" s="294" t="s">
        <v>728</v>
      </c>
      <c r="C20" s="21">
        <f ca="1">ROUND(C19*F20,0)</f>
        <v>14212</v>
      </c>
      <c r="D20" s="315" t="s">
        <v>729</v>
      </c>
      <c r="E20" s="294" t="s">
        <v>712</v>
      </c>
      <c r="F20" s="314">
        <f>'数据-取费表'!B37</f>
        <v>0.02</v>
      </c>
      <c r="G20" s="1301"/>
      <c r="H20" s="927"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ROUND(J14*M22,0)</f>
        <v>4636</v>
      </c>
      <c r="K22" s="1254" t="s">
        <v>739</v>
      </c>
      <c r="L22" s="294" t="s">
        <v>712</v>
      </c>
      <c r="M22" s="320">
        <f ca="1">INDIRECT("'数据-取费表'!Ak"&amp;$G$1)</f>
        <v>5.0000000000000001E-3</v>
      </c>
    </row>
    <row r="23" spans="1:37" s="1302" customFormat="1" ht="18" customHeight="1">
      <c r="A23" s="927" t="s">
        <v>397</v>
      </c>
      <c r="B23" s="294" t="s">
        <v>740</v>
      </c>
      <c r="C23" s="21">
        <f ca="1">IF('数据-取费表'!B22&lt;=1,ROUND(C19*F24*F23/2,0)+ROUND(C20*F24*F23/2,0),ROUND(C19*(POWER((1+F24),F23/2)-1),0)+ROUND(C20*(POWER((1+F24),F23/2)-1),0))</f>
        <v>22469</v>
      </c>
      <c r="D23" s="138" t="str">
        <f>IF(F23&lt;=1,"(建造成本+管理费用)×利率×(建设周期÷2)","(建造成本+管理费用)×((1+利率)^(建设周期÷2)-1)")</f>
        <v>(建造成本+管理费用)×((1+利率)^(建设周期÷2)-1)</v>
      </c>
      <c r="E23" s="294" t="s">
        <v>741</v>
      </c>
      <c r="F23" s="317">
        <f>'数据-取费表'!B20</f>
        <v>2</v>
      </c>
      <c r="G23" s="1301"/>
      <c r="H23" s="927"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5" t="s">
        <v>684</v>
      </c>
      <c r="I24" s="1026" t="s">
        <v>728</v>
      </c>
      <c r="J24" s="1027">
        <f ca="1">ROUND(J5*M24,0)</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5" t="s">
        <v>394</v>
      </c>
      <c r="I25" s="1030" t="s">
        <v>752</v>
      </c>
      <c r="J25" s="302">
        <f ca="1">J5-J16</f>
        <v>-4636</v>
      </c>
      <c r="K25" s="1031" t="s">
        <v>753</v>
      </c>
      <c r="L25" s="1032"/>
      <c r="M25" s="1033"/>
    </row>
    <row r="26" spans="1:37" ht="18" customHeight="1">
      <c r="A26" s="927" t="s">
        <v>397</v>
      </c>
      <c r="B26" s="294" t="s">
        <v>754</v>
      </c>
      <c r="C26" s="21">
        <f ca="1">ROUND((C19+C20)*F26,0)</f>
        <v>108720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927295</v>
      </c>
      <c r="D29" s="1028"/>
      <c r="E29" s="1026"/>
      <c r="F29" s="1029"/>
      <c r="G29" s="1301"/>
      <c r="H29" s="325" t="s">
        <v>396</v>
      </c>
      <c r="I29" s="326" t="s">
        <v>768</v>
      </c>
      <c r="J29" s="327">
        <f ca="1">ROUND(J26/(1+F40)^F41,0)</f>
        <v>0</v>
      </c>
      <c r="K29" s="328" t="s">
        <v>769</v>
      </c>
      <c r="L29" s="329"/>
      <c r="M29" s="330">
        <f ca="1">INDIRECT("'数据-取费表'!k"&amp;$G$1)</f>
        <v>247.16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75447</v>
      </c>
      <c r="D30" s="1023" t="s">
        <v>715</v>
      </c>
      <c r="E30" s="1024"/>
      <c r="F30" s="1008"/>
      <c r="G30" s="1290"/>
      <c r="H30" s="2467"/>
      <c r="I30" s="1303"/>
      <c r="J30" s="1304"/>
      <c r="K30" s="121"/>
      <c r="L30" s="2468"/>
      <c r="M30" s="2469"/>
    </row>
    <row r="31" spans="1:37" ht="18" customHeight="1">
      <c r="A31" s="927" t="s">
        <v>398</v>
      </c>
      <c r="B31" s="294" t="s">
        <v>719</v>
      </c>
      <c r="C31" s="2138">
        <f ca="1">ROUND(IF(AND(项目基本情况!B11="自然人",项目基本情况!B10="北京市"),C6*F31/(1+'数据-取费表'!C42),C32+C33+C34),0)</f>
        <v>68046</v>
      </c>
      <c r="D31" s="1255" t="s">
        <v>720</v>
      </c>
      <c r="E31" s="1254" t="s">
        <v>770</v>
      </c>
      <c r="F31" s="2137" t="str">
        <f>IF(项目基本情况!B11="企业","——",IF(M47="住宅",IF(F6*F7*F8/12/(1+'数据-取费表'!F30)&gt;100000,4%,2.5%),IF(F6*F7*F8/12/(1+'数据-取费表'!F30)&gt;100000,12%,7%)))</f>
        <v>——</v>
      </c>
      <c r="G31" s="1290"/>
      <c r="H31" s="2565" t="s">
        <v>2306</v>
      </c>
      <c r="I31" s="1303"/>
      <c r="J31" s="1304"/>
      <c r="K31" s="121"/>
      <c r="L31" s="2468"/>
      <c r="M31" s="2469"/>
    </row>
    <row r="32" spans="1:37" ht="18" customHeight="1">
      <c r="A32" s="927" t="s">
        <v>397</v>
      </c>
      <c r="B32" s="294" t="s">
        <v>723</v>
      </c>
      <c r="C32" s="21">
        <f ca="1">IF(项目基本情况!B11="自然人","——",ROUND(C6*F32/(1+'数据-取费表'!C42),0))</f>
        <v>21651</v>
      </c>
      <c r="D32" s="1254" t="s">
        <v>724</v>
      </c>
      <c r="E32" s="294" t="s">
        <v>712</v>
      </c>
      <c r="F32" s="322">
        <f>'数据-取费表'!B41</f>
        <v>5.6000000000000001E-2</v>
      </c>
      <c r="G32" s="1290"/>
      <c r="H32" s="2467"/>
      <c r="I32" s="1303"/>
      <c r="J32" s="1304"/>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46395</v>
      </c>
      <c r="D33" s="1276" t="s">
        <v>3335</v>
      </c>
      <c r="E33" s="294" t="s">
        <v>712</v>
      </c>
      <c r="F33" s="314">
        <f>IF(D33="按票据","——",IF(D33="按租金收入计税",'数据-取费表'!B51,'数据-取费表'!B50))</f>
        <v>0.12</v>
      </c>
      <c r="G33" s="1290"/>
      <c r="H33" s="2470"/>
      <c r="I33" s="1303"/>
      <c r="J33" s="1304"/>
      <c r="K33" s="2471"/>
      <c r="L33" s="2470"/>
      <c r="M33" s="2470"/>
    </row>
    <row r="34" spans="1:18" ht="18" customHeight="1">
      <c r="A34" s="1005" t="s">
        <v>680</v>
      </c>
      <c r="B34" s="147" t="s">
        <v>730</v>
      </c>
      <c r="C34" s="22">
        <f ca="1">IF(项目基本情况!B11="自然人","——",ROUND(F34*F35,0))</f>
        <v>0</v>
      </c>
      <c r="D34" s="316" t="s">
        <v>731</v>
      </c>
      <c r="E34" s="294" t="s">
        <v>732</v>
      </c>
      <c r="F34" s="317">
        <f>'数据-取费表'!B52</f>
        <v>3</v>
      </c>
      <c r="G34" s="1290"/>
      <c r="H34" s="2467"/>
      <c r="I34" s="1303"/>
      <c r="J34" s="1304"/>
      <c r="K34" s="2472"/>
      <c r="L34" s="2473"/>
      <c r="M34" s="2473"/>
    </row>
    <row r="35" spans="1:18" ht="18" customHeight="1">
      <c r="A35" s="1039"/>
      <c r="B35" s="1037"/>
      <c r="C35" s="26"/>
      <c r="D35" s="319"/>
      <c r="E35" s="294" t="s">
        <v>736</v>
      </c>
      <c r="F35" s="295">
        <f ca="1">INDIRECT("'数据-取费表'!r"&amp;$G$1)</f>
        <v>0</v>
      </c>
      <c r="G35" s="1290"/>
      <c r="H35" s="2467"/>
      <c r="I35" s="1303"/>
      <c r="J35" s="1304"/>
      <c r="K35" s="2471"/>
      <c r="L35" s="2470"/>
      <c r="M35" s="2470"/>
    </row>
    <row r="36" spans="1:18" ht="18" customHeight="1">
      <c r="A36" s="1038" t="s">
        <v>402</v>
      </c>
      <c r="B36" s="294" t="s">
        <v>738</v>
      </c>
      <c r="C36" s="21">
        <f ca="1">ROUND(C29*F36,0)</f>
        <v>4636</v>
      </c>
      <c r="D36" s="1254" t="s">
        <v>771</v>
      </c>
      <c r="E36" s="294" t="s">
        <v>712</v>
      </c>
      <c r="F36" s="320">
        <f ca="1">INDIRECT("'数据-取费表'!Ak"&amp;$G$1)</f>
        <v>5.0000000000000001E-3</v>
      </c>
      <c r="G36" s="1290"/>
      <c r="H36" s="2470"/>
      <c r="I36" s="1303"/>
      <c r="J36" s="1304"/>
      <c r="K36" s="2328"/>
      <c r="L36" s="2470"/>
      <c r="M36" s="2470"/>
    </row>
    <row r="37" spans="1:18" ht="18" customHeight="1">
      <c r="A37" s="927" t="s">
        <v>437</v>
      </c>
      <c r="B37" s="294" t="s">
        <v>742</v>
      </c>
      <c r="C37" s="21">
        <f ca="1">ROUND(C13*F37,0)</f>
        <v>733</v>
      </c>
      <c r="D37" s="1254" t="s">
        <v>743</v>
      </c>
      <c r="E37" s="294" t="s">
        <v>744</v>
      </c>
      <c r="F37" s="321">
        <f ca="1">INDIRECT("'数据-取费表'!Al"&amp;$G$1)</f>
        <v>1E-3</v>
      </c>
      <c r="G37" s="1290"/>
      <c r="H37" s="2470"/>
      <c r="I37" s="1303"/>
      <c r="J37" s="1304"/>
      <c r="K37" s="2328"/>
      <c r="L37" s="2470"/>
      <c r="M37" s="2470"/>
    </row>
    <row r="38" spans="1:18" ht="18" customHeight="1" thickBot="1">
      <c r="A38" s="1025" t="s">
        <v>684</v>
      </c>
      <c r="B38" s="1026" t="s">
        <v>728</v>
      </c>
      <c r="C38" s="1027">
        <f ca="1">ROUND(C5*F38,0)</f>
        <v>2032</v>
      </c>
      <c r="D38" s="1028" t="s">
        <v>748</v>
      </c>
      <c r="E38" s="1026" t="s">
        <v>744</v>
      </c>
      <c r="F38" s="1022">
        <f ca="1">INDIRECT("'数据-取费表'!Am"&amp;$G$1)</f>
        <v>5.0000000000000001E-3</v>
      </c>
      <c r="G38" s="1290"/>
      <c r="H38" s="2470">
        <f ca="1">C39/C5</f>
        <v>0.81438345548347102</v>
      </c>
      <c r="I38" s="1303"/>
      <c r="J38" s="1304"/>
      <c r="K38" s="2468"/>
      <c r="L38" s="2470"/>
      <c r="M38" s="2470"/>
    </row>
    <row r="39" spans="1:18" ht="24.6" customHeight="1" thickTop="1">
      <c r="A39" s="1015" t="s">
        <v>394</v>
      </c>
      <c r="B39" s="1030" t="s">
        <v>772</v>
      </c>
      <c r="C39" s="302">
        <f ca="1">C5-C30</f>
        <v>331020</v>
      </c>
      <c r="D39" s="1031" t="s">
        <v>773</v>
      </c>
      <c r="E39" s="1032"/>
      <c r="F39" s="1033"/>
      <c r="G39" s="1290"/>
      <c r="H39" s="2470"/>
      <c r="I39" s="1303"/>
      <c r="J39" s="1304"/>
      <c r="K39" s="2468"/>
      <c r="L39" s="2470"/>
      <c r="M39" s="2470"/>
    </row>
    <row r="40" spans="1:18" ht="18" customHeight="1">
      <c r="A40" s="291" t="s">
        <v>395</v>
      </c>
      <c r="B40" s="292" t="s">
        <v>774</v>
      </c>
      <c r="C40" s="293">
        <f ca="1">ROUND(C39*(1-((1+F42)/(1+F40))^F41)/(F40-F42),0)</f>
        <v>4595399</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19.72</v>
      </c>
      <c r="G41" s="1290"/>
      <c r="H41" s="121"/>
      <c r="I41" s="1303"/>
      <c r="J41" s="1304"/>
      <c r="K41" s="2328"/>
      <c r="L41" s="121"/>
      <c r="M41" s="121"/>
    </row>
    <row r="42" spans="1:18" ht="18" customHeight="1">
      <c r="A42" s="300"/>
      <c r="B42" s="301"/>
      <c r="C42" s="302"/>
      <c r="D42" s="319"/>
      <c r="E42" s="294" t="s">
        <v>766</v>
      </c>
      <c r="F42" s="304">
        <f ca="1">INDIRECT("'数据-取费表'!v"&amp;$G$1)</f>
        <v>0.02</v>
      </c>
      <c r="G42" s="1290"/>
      <c r="H42" s="121"/>
      <c r="I42" s="1303"/>
      <c r="J42" s="1304"/>
      <c r="K42" s="2328"/>
      <c r="L42" s="121"/>
      <c r="M42" s="121"/>
    </row>
    <row r="43" spans="1:18" ht="18" customHeight="1" thickBot="1">
      <c r="A43" s="325" t="s">
        <v>396</v>
      </c>
      <c r="B43" s="326" t="s">
        <v>776</v>
      </c>
      <c r="C43" s="327">
        <f ca="1">ROUND(C40/F43,0)</f>
        <v>18593</v>
      </c>
      <c r="D43" s="328" t="s">
        <v>777</v>
      </c>
      <c r="E43" s="329" t="s">
        <v>778</v>
      </c>
      <c r="F43" s="330">
        <f ca="1">INDIRECT("'数据-取费表'!k"&amp;$G$1)</f>
        <v>247.16</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4" t="s">
        <v>3351</v>
      </c>
      <c r="B45" s="1305"/>
      <c r="C45" s="1374">
        <f ca="1">ROUND((C68-C40)/10000,4)</f>
        <v>-465.90550000000002</v>
      </c>
      <c r="D45" s="3125" t="s">
        <v>3352</v>
      </c>
      <c r="E45" s="1305"/>
      <c r="F45" s="1305"/>
      <c r="O45" s="1308" t="s">
        <v>808</v>
      </c>
      <c r="P45" s="1364"/>
      <c r="Q45" s="1364"/>
      <c r="R45" s="1364"/>
    </row>
    <row r="46" spans="1:18" s="1290" customFormat="1" ht="13.8" thickBot="1">
      <c r="A46" s="1309" t="s">
        <v>809</v>
      </c>
      <c r="C46" s="1310">
        <f ca="1">ROUND(C45,0)</f>
        <v>-466</v>
      </c>
      <c r="D46" s="1311" t="str">
        <f>C2</f>
        <v>万元</v>
      </c>
      <c r="I46" s="1312" t="s">
        <v>810</v>
      </c>
      <c r="J46" s="1313"/>
      <c r="K46" s="1314"/>
      <c r="L46" s="1315">
        <f ca="1">IF(M47="住宅",0,IF(L48&gt;J51,L60,J60))</f>
        <v>90219</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3453</v>
      </c>
      <c r="K47" s="1321" t="s">
        <v>816</v>
      </c>
      <c r="L47" s="1322">
        <f ca="1">INDIRECT("'数据-取费表'!d"&amp;$G$1)</f>
        <v>40</v>
      </c>
      <c r="M47" s="1286" t="str">
        <f>IF(ISNUMBER(FIND("住宅",C1)),"住宅","非住宅")</f>
        <v>非住宅</v>
      </c>
      <c r="O47" s="1323" t="s">
        <v>403</v>
      </c>
      <c r="P47" s="1324" t="s">
        <v>817</v>
      </c>
      <c r="Q47" s="1325">
        <f ca="1">C40+J29</f>
        <v>4595399</v>
      </c>
      <c r="R47" s="1325" t="s">
        <v>818</v>
      </c>
    </row>
    <row r="48" spans="1:18" s="1290" customFormat="1" ht="40.200000000000003" thickBot="1">
      <c r="A48" s="1046" t="s">
        <v>438</v>
      </c>
      <c r="B48" s="292" t="s">
        <v>692</v>
      </c>
      <c r="C48" s="1266">
        <f ca="1">C49+C53+C55</f>
        <v>0</v>
      </c>
      <c r="D48" s="1048"/>
      <c r="E48" s="1049"/>
      <c r="F48" s="907"/>
      <c r="G48" s="680"/>
      <c r="H48" s="681"/>
      <c r="I48" s="1326" t="s">
        <v>819</v>
      </c>
      <c r="J48" s="1327" t="s">
        <v>3454</v>
      </c>
      <c r="K48" s="1328" t="s">
        <v>820</v>
      </c>
      <c r="L48" s="1329">
        <f ca="1">INDIRECT("'数据-取费表'!f"&amp;$G$1)</f>
        <v>19.72</v>
      </c>
      <c r="O48" s="1323" t="s">
        <v>404</v>
      </c>
      <c r="P48" s="1324" t="s">
        <v>821</v>
      </c>
      <c r="Q48" s="1325">
        <f ca="1">J60</f>
        <v>90219</v>
      </c>
      <c r="R48" s="1325" t="s">
        <v>822</v>
      </c>
    </row>
    <row r="49" spans="1:18" s="1290" customFormat="1" ht="13.8" thickBot="1">
      <c r="A49" s="920" t="s">
        <v>439</v>
      </c>
      <c r="B49" s="1277" t="s">
        <v>779</v>
      </c>
      <c r="C49" s="1050">
        <f ca="1">ROUND(F49*F51*F50*(1-F52),0)</f>
        <v>0</v>
      </c>
      <c r="D49" s="991" t="s">
        <v>695</v>
      </c>
      <c r="E49" s="1278" t="s">
        <v>780</v>
      </c>
      <c r="F49" s="996"/>
      <c r="H49" s="681"/>
      <c r="I49" s="1326" t="s">
        <v>823</v>
      </c>
      <c r="J49" s="1330">
        <f>'数据-取费表'!N18</f>
        <v>2008</v>
      </c>
      <c r="K49" s="1328" t="s">
        <v>824</v>
      </c>
      <c r="L49" s="1331"/>
      <c r="O49" s="1332" t="s">
        <v>405</v>
      </c>
      <c r="P49" s="1324" t="s">
        <v>825</v>
      </c>
      <c r="Q49" s="1325">
        <f ca="1">C29</f>
        <v>927295</v>
      </c>
      <c r="R49" s="1325" t="s">
        <v>818</v>
      </c>
    </row>
    <row r="50" spans="1:18" s="1290" customFormat="1" ht="13.8" thickBot="1">
      <c r="A50" s="921"/>
      <c r="B50" s="924"/>
      <c r="C50" s="925"/>
      <c r="D50" s="898"/>
      <c r="E50" s="992" t="s">
        <v>697</v>
      </c>
      <c r="F50" s="993">
        <f ca="1">F7</f>
        <v>247.16</v>
      </c>
      <c r="H50" s="681"/>
      <c r="I50" s="1326" t="s">
        <v>826</v>
      </c>
      <c r="J50" s="1333">
        <f>SUMPRODUCT((I63:I65=J47)*(J62:L62=J48)*(J63:L65))</f>
        <v>60</v>
      </c>
      <c r="K50" s="1328" t="s">
        <v>827</v>
      </c>
      <c r="L50" s="1331"/>
      <c r="M50" s="1334"/>
      <c r="O50" s="1332" t="s">
        <v>406</v>
      </c>
      <c r="P50" s="1324" t="s">
        <v>828</v>
      </c>
      <c r="Q50" s="1335">
        <f ca="1">J58</f>
        <v>0.40500000000000003</v>
      </c>
      <c r="R50" s="1325"/>
    </row>
    <row r="51" spans="1:18" s="1290" customFormat="1" ht="13.8" thickBot="1">
      <c r="A51" s="922"/>
      <c r="B51" s="924"/>
      <c r="C51" s="925"/>
      <c r="D51" s="898"/>
      <c r="E51" s="926" t="s">
        <v>698</v>
      </c>
      <c r="F51" s="295">
        <f ca="1">F8</f>
        <v>365</v>
      </c>
      <c r="I51" s="1336" t="s">
        <v>829</v>
      </c>
      <c r="J51" s="1329">
        <f>IF(J49="",J50,J49+J50-YEAR('数据-取费表'!B2))</f>
        <v>44</v>
      </c>
      <c r="K51" s="1337" t="s">
        <v>830</v>
      </c>
      <c r="L51" s="1338">
        <f ca="1">ROUND(-PV(INDIRECT("'数据-取费表'!h"&amp;$G$1),J51,(C39-C13*C76),0),0)</f>
        <v>4940995</v>
      </c>
      <c r="M51" s="1339"/>
      <c r="O51" s="1332" t="s">
        <v>407</v>
      </c>
      <c r="P51" s="1324" t="s">
        <v>831</v>
      </c>
      <c r="Q51" s="1335">
        <f>J52</f>
        <v>7.4999999999999997E-2</v>
      </c>
      <c r="R51" s="1325"/>
    </row>
    <row r="52" spans="1:18" s="1290" customFormat="1" ht="13.8" thickBot="1">
      <c r="A52" s="922"/>
      <c r="B52" s="924"/>
      <c r="C52" s="925"/>
      <c r="D52" s="898"/>
      <c r="E52" s="926" t="s">
        <v>699</v>
      </c>
      <c r="F52" s="990"/>
      <c r="I52" s="1340" t="s">
        <v>832</v>
      </c>
      <c r="J52" s="1341">
        <v>7.4999999999999997E-2</v>
      </c>
      <c r="K52" s="1340" t="s">
        <v>833</v>
      </c>
      <c r="L52" s="1341"/>
      <c r="O52" s="1332" t="s">
        <v>408</v>
      </c>
      <c r="P52" s="1324" t="s">
        <v>834</v>
      </c>
      <c r="Q52" s="1325">
        <f ca="1">J53</f>
        <v>19.72</v>
      </c>
      <c r="R52" s="1325" t="s">
        <v>835</v>
      </c>
    </row>
    <row r="53" spans="1:18" s="1290" customFormat="1" ht="30.75" customHeight="1" thickBot="1">
      <c r="A53" s="1047" t="s">
        <v>440</v>
      </c>
      <c r="B53" s="315" t="s">
        <v>700</v>
      </c>
      <c r="C53" s="308">
        <f ca="1">ROUND(IF(F53="押一",C49/12*F11,IF(F53="押二",C49/12*2*F11,IF(F53="押三",C49/12*3*F11,C54*F11))),0)</f>
        <v>0</v>
      </c>
      <c r="D53" s="150" t="s">
        <v>2117</v>
      </c>
      <c r="E53" s="305" t="s">
        <v>701</v>
      </c>
      <c r="F53" s="1052"/>
      <c r="I53" s="1342" t="s">
        <v>836</v>
      </c>
      <c r="J53" s="2004">
        <f ca="1">IF(M47="住宅",IF(D1="——",MAX(J51,L48),MAX(J51,L48-'数据-取费表'!B24)),IF(D1="——",MIN(J51,L48),MIN(J51,L48-'数据-取费表'!B24)))</f>
        <v>19.72</v>
      </c>
      <c r="K53" s="3349" t="s">
        <v>837</v>
      </c>
      <c r="L53" s="3350"/>
      <c r="O53" s="1323" t="s">
        <v>409</v>
      </c>
      <c r="P53" s="1324" t="s">
        <v>838</v>
      </c>
      <c r="Q53" s="1325">
        <f ca="1">Q47+Q48</f>
        <v>4685618</v>
      </c>
      <c r="R53" s="1325" t="s">
        <v>410</v>
      </c>
    </row>
    <row r="54" spans="1:18" s="1290" customFormat="1" ht="13.8"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f ca="1">ROUND(IF(J47="钢混",J57/J50,1-(1-2%)*(J50-J57)/J50),3)</f>
        <v>0.40500000000000003</v>
      </c>
      <c r="K55" s="1348" t="s">
        <v>841</v>
      </c>
      <c r="L55" s="1349"/>
      <c r="O55" s="1316" t="s">
        <v>811</v>
      </c>
      <c r="P55" s="1317" t="s">
        <v>812</v>
      </c>
      <c r="Q55" s="1318" t="s">
        <v>813</v>
      </c>
      <c r="R55" s="1318" t="s">
        <v>814</v>
      </c>
    </row>
    <row r="56" spans="1:18" s="1290" customFormat="1" ht="36" customHeight="1" thickTop="1" thickBot="1">
      <c r="A56" s="902">
        <v>2</v>
      </c>
      <c r="B56" s="903" t="s">
        <v>704</v>
      </c>
      <c r="C56" s="224">
        <f ca="1">C13</f>
        <v>732563</v>
      </c>
      <c r="D56" s="1350"/>
      <c r="E56" s="1351"/>
      <c r="F56" s="1343"/>
      <c r="I56" s="1352" t="s">
        <v>842</v>
      </c>
      <c r="J56" s="1353" t="s">
        <v>3473</v>
      </c>
      <c r="K56" s="1326" t="s">
        <v>843</v>
      </c>
      <c r="L56" s="1329" t="str">
        <f ca="1">IF(L48&lt;J51,"——",L48-J51)</f>
        <v>——</v>
      </c>
      <c r="O56" s="1323" t="s">
        <v>403</v>
      </c>
      <c r="P56" s="1324" t="s">
        <v>817</v>
      </c>
      <c r="Q56" s="1325">
        <f ca="1">C40+J29</f>
        <v>4595399</v>
      </c>
      <c r="R56" s="1325" t="s">
        <v>818</v>
      </c>
    </row>
    <row r="57" spans="1:18" s="1290" customFormat="1" ht="24.6" thickBot="1">
      <c r="A57" s="1354"/>
      <c r="B57" s="895" t="s">
        <v>767</v>
      </c>
      <c r="C57" s="230">
        <f ca="1">C29</f>
        <v>927295</v>
      </c>
      <c r="D57" s="1355"/>
      <c r="E57" s="1356"/>
      <c r="F57" s="1357"/>
      <c r="I57" s="1358" t="s">
        <v>844</v>
      </c>
      <c r="J57" s="1359">
        <f ca="1">IF(OR(M47="住宅",J51&lt;L48,J56="是"),"——",J51-L48)</f>
        <v>24.28</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3" t="s">
        <v>714</v>
      </c>
      <c r="C58" s="308">
        <f ca="1">ROUND(C59+C64+C65+C66,0)</f>
        <v>5369</v>
      </c>
      <c r="D58" s="905" t="s">
        <v>715</v>
      </c>
      <c r="E58" s="906"/>
      <c r="F58" s="907"/>
      <c r="I58" s="1358" t="s">
        <v>848</v>
      </c>
      <c r="J58" s="1360">
        <f ca="1">IF(J55&lt;0.4,0.4,J55)</f>
        <v>0.40500000000000003</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375554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1" t="s">
        <v>853</v>
      </c>
      <c r="J60" s="1362">
        <f ca="1">IF(OR(M47="住宅",J51&lt;L48,J56="是"),"0",ROUND(J59/(1+J52)^J53,0))</f>
        <v>90219</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IF(项目基本情况!B11="自然人","——",IF(D61="按租金收入计税",ROUND(C49*F61/(1+'数据-取费表'!C42),0),IF(D61="按房产原值计税",ROUND(C57*F61*0.7,0),INDIRECT("'数据-取费表'!Aj"&amp;$G$1))))</f>
        <v>0</v>
      </c>
      <c r="D61" s="1276" t="s">
        <v>3335</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IF(项目基本情况!B11="自然人","——",ROUND(F62*F63,0))</f>
        <v>0</v>
      </c>
      <c r="D62" s="910" t="s">
        <v>786</v>
      </c>
      <c r="E62" s="895" t="s">
        <v>787</v>
      </c>
      <c r="F62" s="317">
        <f t="shared" si="0"/>
        <v>3</v>
      </c>
      <c r="I62" s="1365" t="s">
        <v>858</v>
      </c>
      <c r="J62" s="610" t="s">
        <v>859</v>
      </c>
      <c r="K62" s="610" t="s">
        <v>860</v>
      </c>
      <c r="L62" s="610" t="s">
        <v>861</v>
      </c>
      <c r="M62" s="1366" t="s">
        <v>862</v>
      </c>
      <c r="O62" s="1323" t="s">
        <v>409</v>
      </c>
      <c r="P62" s="1324" t="s">
        <v>863</v>
      </c>
      <c r="Q62" s="1325">
        <f ca="1">Q56+Q57</f>
        <v>4595399</v>
      </c>
      <c r="R62" s="1325" t="s">
        <v>410</v>
      </c>
    </row>
    <row r="63" spans="1:18" s="1290" customFormat="1" ht="13.8"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ROUND(C57*F64,0)</f>
        <v>4636</v>
      </c>
      <c r="D64" s="909" t="s">
        <v>791</v>
      </c>
      <c r="E64" s="895"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ROUND(C56*F65,0)</f>
        <v>733</v>
      </c>
      <c r="D65" s="909" t="s">
        <v>743</v>
      </c>
      <c r="E65" s="895" t="s">
        <v>744</v>
      </c>
      <c r="F65" s="321">
        <f t="shared" ca="1" si="0"/>
        <v>1E-3</v>
      </c>
      <c r="I65" s="1365" t="s">
        <v>867</v>
      </c>
      <c r="J65" s="610">
        <v>40</v>
      </c>
      <c r="K65" s="610">
        <v>30</v>
      </c>
      <c r="L65" s="610">
        <v>50</v>
      </c>
      <c r="M65" s="1367">
        <v>0.02</v>
      </c>
      <c r="O65" s="1323" t="s">
        <v>403</v>
      </c>
      <c r="P65" s="1324" t="s">
        <v>868</v>
      </c>
      <c r="Q65" s="1325">
        <f ca="1">C40+J29</f>
        <v>4595399</v>
      </c>
      <c r="R65" s="1325" t="s">
        <v>818</v>
      </c>
    </row>
    <row r="66" spans="1:18" s="1290" customFormat="1" ht="16.2" thickBot="1">
      <c r="A66" s="927" t="s">
        <v>793</v>
      </c>
      <c r="B66" s="895" t="s">
        <v>728</v>
      </c>
      <c r="C66" s="21">
        <f ca="1">ROUND(C48*F66,0)</f>
        <v>0</v>
      </c>
      <c r="D66" s="909" t="s">
        <v>794</v>
      </c>
      <c r="E66" s="895" t="s">
        <v>712</v>
      </c>
      <c r="F66" s="304">
        <f t="shared" ca="1" si="0"/>
        <v>5.0000000000000001E-3</v>
      </c>
      <c r="O66" s="1323" t="s">
        <v>404</v>
      </c>
      <c r="P66" s="1324" t="s">
        <v>846</v>
      </c>
      <c r="Q66" s="1325">
        <f ca="1">L60</f>
        <v>0</v>
      </c>
      <c r="R66" s="1325" t="s">
        <v>869</v>
      </c>
    </row>
    <row r="67" spans="1:18" s="1290" customFormat="1" ht="24.6" thickBot="1">
      <c r="A67" s="902" t="s">
        <v>394</v>
      </c>
      <c r="B67" s="912" t="s">
        <v>752</v>
      </c>
      <c r="C67" s="308">
        <f ca="1">C48-C58</f>
        <v>-5369</v>
      </c>
      <c r="D67" s="908" t="s">
        <v>753</v>
      </c>
      <c r="E67" s="913"/>
      <c r="F67" s="914"/>
      <c r="O67" s="1332" t="s">
        <v>405</v>
      </c>
      <c r="P67" s="1324" t="s">
        <v>850</v>
      </c>
      <c r="Q67" s="1368">
        <f ca="1">L51</f>
        <v>4940995</v>
      </c>
      <c r="R67" s="1325" t="s">
        <v>870</v>
      </c>
    </row>
    <row r="68" spans="1:18" s="1290" customFormat="1" ht="16.2" thickBot="1">
      <c r="A68" s="892" t="s">
        <v>395</v>
      </c>
      <c r="B68" s="893" t="s">
        <v>774</v>
      </c>
      <c r="C68" s="293">
        <f ca="1">ROUND(C67*(1-((1+F70)/(1+F68))^F69)/(F68-F70),0)</f>
        <v>-63656</v>
      </c>
      <c r="D68" s="910" t="s">
        <v>758</v>
      </c>
      <c r="E68" s="895" t="s">
        <v>759</v>
      </c>
      <c r="F68" s="304">
        <f ca="1">F40</f>
        <v>5.5E-2</v>
      </c>
      <c r="O68" s="1332" t="s">
        <v>406</v>
      </c>
      <c r="P68" s="1369" t="s">
        <v>871</v>
      </c>
      <c r="Q68" s="1325">
        <f ca="1">ROUND(Q69-Q70*Q71,0)</f>
        <v>279741</v>
      </c>
      <c r="R68" s="1325" t="s">
        <v>414</v>
      </c>
    </row>
    <row r="69" spans="1:18" s="1290" customFormat="1" ht="13.8" thickBot="1">
      <c r="A69" s="896"/>
      <c r="B69" s="897"/>
      <c r="C69" s="298"/>
      <c r="D69" s="915" t="s">
        <v>762</v>
      </c>
      <c r="E69" s="895" t="s">
        <v>763</v>
      </c>
      <c r="F69" s="324">
        <f ca="1">F41</f>
        <v>19.72</v>
      </c>
      <c r="O69" s="1332" t="s">
        <v>411</v>
      </c>
      <c r="P69" s="1369" t="s">
        <v>872</v>
      </c>
      <c r="Q69" s="1325">
        <f ca="1">C39</f>
        <v>331020</v>
      </c>
      <c r="R69" s="1325" t="s">
        <v>818</v>
      </c>
    </row>
    <row r="70" spans="1:18" s="1290" customFormat="1" ht="13.8" thickBot="1">
      <c r="A70" s="899"/>
      <c r="B70" s="900"/>
      <c r="C70" s="302"/>
      <c r="D70" s="911"/>
      <c r="E70" s="895" t="s">
        <v>766</v>
      </c>
      <c r="F70" s="990"/>
      <c r="O70" s="1332" t="s">
        <v>412</v>
      </c>
      <c r="P70" s="1369" t="s">
        <v>873</v>
      </c>
      <c r="Q70" s="1325">
        <f ca="1">C13</f>
        <v>732563</v>
      </c>
      <c r="R70" s="1325" t="s">
        <v>818</v>
      </c>
    </row>
    <row r="71" spans="1:18" s="1290" customFormat="1" ht="13.8" thickBot="1">
      <c r="A71" s="916" t="s">
        <v>396</v>
      </c>
      <c r="B71" s="917" t="s">
        <v>776</v>
      </c>
      <c r="C71" s="327">
        <f ca="1">ROUND(C68/F71,0)</f>
        <v>-258</v>
      </c>
      <c r="D71" s="918" t="s">
        <v>777</v>
      </c>
      <c r="E71" s="919" t="s">
        <v>778</v>
      </c>
      <c r="F71" s="330">
        <f ca="1">F43</f>
        <v>247.16</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51279</v>
      </c>
      <c r="D75" s="1290"/>
      <c r="E75" s="1290"/>
      <c r="F75" s="1290"/>
      <c r="K75" s="1307"/>
      <c r="L75" s="1290"/>
      <c r="O75" s="1323" t="s">
        <v>409</v>
      </c>
      <c r="P75" s="1324" t="s">
        <v>838</v>
      </c>
      <c r="Q75" s="1325">
        <f ca="1">Q65+Q66</f>
        <v>4595399</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0.84499999999999997</v>
      </c>
    </row>
    <row r="80" spans="1:18">
      <c r="B80" s="331" t="s">
        <v>800</v>
      </c>
      <c r="C80" s="266">
        <f ca="1">ROUND(C75/C39,3)</f>
        <v>0.155</v>
      </c>
    </row>
    <row r="81" spans="2:3">
      <c r="B81" s="262" t="s">
        <v>801</v>
      </c>
      <c r="C81" s="230"/>
    </row>
    <row r="82" spans="2:3">
      <c r="B82" s="265" t="s">
        <v>802</v>
      </c>
      <c r="C82" s="267">
        <f ca="1">1-C83</f>
        <v>0.84099999999999997</v>
      </c>
    </row>
    <row r="83" spans="2:3">
      <c r="B83" s="265" t="s">
        <v>803</v>
      </c>
      <c r="C83" s="266">
        <f ca="1">ROUND(C13/C40,3)</f>
        <v>0.159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1" t="s">
        <v>2315</v>
      </c>
      <c r="B2" s="2590" t="e">
        <f>IF(D2="——",C40,C40+E2)</f>
        <v>#DIV/0!</v>
      </c>
      <c r="C2" s="2591" t="s">
        <v>2316</v>
      </c>
      <c r="D2" s="3133" t="s">
        <v>3358</v>
      </c>
      <c r="E2" s="3134"/>
      <c r="F2" s="2593"/>
      <c r="G2" s="2594"/>
      <c r="H2" s="2595"/>
      <c r="I2" s="2596"/>
      <c r="J2" s="3400" t="s">
        <v>2317</v>
      </c>
      <c r="K2" s="3401"/>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402" t="s">
        <v>2327</v>
      </c>
      <c r="K3" s="3403"/>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402" t="s">
        <v>2329</v>
      </c>
      <c r="K4" s="3403"/>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404" t="s">
        <v>2333</v>
      </c>
      <c r="B6" s="3405"/>
      <c r="C6" s="3406"/>
      <c r="D6" s="2617"/>
      <c r="E6" s="2618"/>
      <c r="F6" s="2619"/>
      <c r="G6" s="2620"/>
      <c r="H6" s="2595"/>
      <c r="I6" s="2596"/>
      <c r="J6" s="3407">
        <v>1</v>
      </c>
      <c r="K6" s="3408"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407"/>
      <c r="K7" s="3409"/>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411" t="s">
        <v>2347</v>
      </c>
      <c r="C8" s="3412"/>
      <c r="D8" s="2636" t="s">
        <v>2348</v>
      </c>
      <c r="E8" s="2637" t="s">
        <v>2349</v>
      </c>
      <c r="F8" s="2638" t="s">
        <v>2350</v>
      </c>
      <c r="G8" s="2639"/>
      <c r="H8" s="2595"/>
      <c r="I8" s="2596"/>
      <c r="J8" s="3407"/>
      <c r="K8" s="3409"/>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411" t="s">
        <v>2353</v>
      </c>
      <c r="C9" s="3412"/>
      <c r="D9" s="2636">
        <f>ROUND(D6*E9,0)</f>
        <v>0</v>
      </c>
      <c r="E9" s="2640"/>
      <c r="F9" s="2641" t="s">
        <v>2354</v>
      </c>
      <c r="G9" s="2620"/>
      <c r="H9" s="2595"/>
      <c r="I9" s="2596"/>
      <c r="J9" s="3407"/>
      <c r="K9" s="3409"/>
      <c r="L9" s="2630" t="s">
        <v>2355</v>
      </c>
      <c r="M9" s="2631"/>
      <c r="N9" s="2607"/>
      <c r="O9" s="2632"/>
      <c r="P9" s="2632"/>
      <c r="Q9" s="2633">
        <v>365</v>
      </c>
      <c r="R9" s="2634">
        <f t="shared" si="0"/>
        <v>0</v>
      </c>
      <c r="S9" s="2588"/>
      <c r="T9" s="2588"/>
      <c r="U9" s="2588"/>
      <c r="V9" s="2596"/>
    </row>
    <row r="10" spans="1:22" s="2600" customFormat="1" ht="13.2" customHeight="1">
      <c r="A10" s="2635">
        <v>2</v>
      </c>
      <c r="B10" s="3411" t="s">
        <v>2356</v>
      </c>
      <c r="C10" s="3412"/>
      <c r="D10" s="2636">
        <f>ROUND(D6*E10,0)</f>
        <v>0</v>
      </c>
      <c r="E10" s="2640"/>
      <c r="F10" s="2641" t="s">
        <v>2357</v>
      </c>
      <c r="G10" s="2620"/>
      <c r="H10" s="2595"/>
      <c r="I10" s="2596"/>
      <c r="J10" s="3407"/>
      <c r="K10" s="3409"/>
      <c r="L10" s="2630" t="s">
        <v>2358</v>
      </c>
      <c r="M10" s="2631"/>
      <c r="N10" s="2607"/>
      <c r="O10" s="2632"/>
      <c r="P10" s="2632"/>
      <c r="Q10" s="2633">
        <v>365</v>
      </c>
      <c r="R10" s="2634">
        <f t="shared" si="0"/>
        <v>0</v>
      </c>
      <c r="S10" s="2588"/>
      <c r="T10" s="2588"/>
      <c r="U10" s="2588"/>
      <c r="V10" s="2596"/>
    </row>
    <row r="11" spans="1:22" s="2600" customFormat="1" ht="13.2" customHeight="1">
      <c r="A11" s="2635">
        <v>3</v>
      </c>
      <c r="B11" s="3411" t="s">
        <v>2359</v>
      </c>
      <c r="C11" s="3412"/>
      <c r="D11" s="2636">
        <f>D12+D14+D15+D16</f>
        <v>0</v>
      </c>
      <c r="E11" s="2642" t="e">
        <f>D11/D6</f>
        <v>#DIV/0!</v>
      </c>
      <c r="F11" s="2638"/>
      <c r="G11" s="2639"/>
      <c r="H11" s="2595"/>
      <c r="I11" s="2596"/>
      <c r="J11" s="3407"/>
      <c r="K11" s="3409"/>
      <c r="L11" s="2630" t="s">
        <v>2360</v>
      </c>
      <c r="M11" s="2631"/>
      <c r="N11" s="2607"/>
      <c r="O11" s="2632"/>
      <c r="P11" s="2632"/>
      <c r="Q11" s="2633">
        <v>365</v>
      </c>
      <c r="R11" s="2634">
        <f t="shared" si="0"/>
        <v>0</v>
      </c>
      <c r="S11" s="2588"/>
      <c r="T11" s="2588"/>
      <c r="U11" s="2588"/>
      <c r="V11" s="2596"/>
    </row>
    <row r="12" spans="1:22" s="2600" customFormat="1" ht="13.2" customHeight="1">
      <c r="A12" s="2643" t="s">
        <v>2361</v>
      </c>
      <c r="B12" s="3413" t="s">
        <v>2362</v>
      </c>
      <c r="C12" s="3414"/>
      <c r="D12" s="2644">
        <f>ROUND(D13*1.2%*(1-30%),0)</f>
        <v>0</v>
      </c>
      <c r="E12" s="2645">
        <v>1.2E-2</v>
      </c>
      <c r="F12" s="2638" t="s">
        <v>2363</v>
      </c>
      <c r="G12" s="2639"/>
      <c r="H12" s="2595"/>
      <c r="I12" s="2596"/>
      <c r="J12" s="3407"/>
      <c r="K12" s="3409"/>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407"/>
      <c r="K13" s="3409"/>
      <c r="L13" s="2630" t="s">
        <v>2366</v>
      </c>
      <c r="M13" s="2631"/>
      <c r="N13" s="2607"/>
      <c r="O13" s="2632"/>
      <c r="P13" s="2632"/>
      <c r="Q13" s="2633">
        <v>365</v>
      </c>
      <c r="R13" s="2634">
        <f t="shared" si="0"/>
        <v>0</v>
      </c>
      <c r="S13" s="2588"/>
      <c r="T13" s="2588"/>
      <c r="U13" s="2588"/>
      <c r="V13" s="2596"/>
    </row>
    <row r="14" spans="1:22" s="2600" customFormat="1" ht="13.2" customHeight="1">
      <c r="A14" s="2643" t="s">
        <v>2367</v>
      </c>
      <c r="B14" s="3413" t="s">
        <v>2368</v>
      </c>
      <c r="C14" s="3414"/>
      <c r="D14" s="2644">
        <f>ROUND(E14*B5/10000,0)</f>
        <v>0</v>
      </c>
      <c r="E14" s="2633"/>
      <c r="F14" s="2638" t="s">
        <v>2369</v>
      </c>
      <c r="G14" s="2639"/>
      <c r="H14" s="2595"/>
      <c r="I14" s="2596"/>
      <c r="J14" s="3407"/>
      <c r="K14" s="3410"/>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413" t="s">
        <v>2372</v>
      </c>
      <c r="C15" s="3414"/>
      <c r="D15" s="2644">
        <f>ROUND(D6*E15,0)</f>
        <v>0</v>
      </c>
      <c r="E15" s="2645">
        <v>5.5E-2</v>
      </c>
      <c r="F15" s="2638" t="s">
        <v>2373</v>
      </c>
      <c r="G15" s="2620"/>
      <c r="H15" s="2595"/>
      <c r="I15" s="2596"/>
      <c r="J15" s="3407">
        <v>2</v>
      </c>
      <c r="K15" s="3408"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413" t="s">
        <v>2381</v>
      </c>
      <c r="C16" s="3414"/>
      <c r="D16" s="2655">
        <f>D6*E16</f>
        <v>0</v>
      </c>
      <c r="E16" s="2656"/>
      <c r="F16" s="2641" t="s">
        <v>2382</v>
      </c>
      <c r="G16" s="2620"/>
      <c r="H16" s="2595"/>
      <c r="I16" s="2596"/>
      <c r="J16" s="3407"/>
      <c r="K16" s="3409"/>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415" t="s">
        <v>2384</v>
      </c>
      <c r="C17" s="3416"/>
      <c r="D17" s="2658">
        <f>ROUND(D6*E17,0)</f>
        <v>0</v>
      </c>
      <c r="E17" s="2659"/>
      <c r="F17" s="2660" t="s">
        <v>2385</v>
      </c>
      <c r="G17" s="2620"/>
      <c r="H17" s="2595"/>
      <c r="I17" s="2596"/>
      <c r="J17" s="3407"/>
      <c r="K17" s="3409"/>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407"/>
      <c r="K18" s="3409"/>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407"/>
      <c r="K19" s="3410"/>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07">
        <v>3</v>
      </c>
      <c r="K20" s="3408"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407"/>
      <c r="K21" s="3409"/>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407"/>
      <c r="K22" s="3409"/>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407"/>
      <c r="K23" s="3409"/>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407"/>
      <c r="K24" s="3410"/>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417">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41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400" t="s">
        <v>2317</v>
      </c>
      <c r="K32" s="3401"/>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402" t="s">
        <v>2327</v>
      </c>
      <c r="K33" s="3403"/>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402" t="s">
        <v>2329</v>
      </c>
      <c r="K34" s="3403"/>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407">
        <v>1</v>
      </c>
      <c r="K36" s="3408"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407"/>
      <c r="K37" s="3409"/>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07"/>
      <c r="K38" s="3409"/>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407"/>
      <c r="K39" s="3409"/>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407"/>
      <c r="K40" s="3410"/>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417">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41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1658</v>
      </c>
      <c r="B1" s="1724"/>
      <c r="C1" s="1724"/>
      <c r="D1" s="1724"/>
      <c r="E1" s="1725"/>
      <c r="F1" s="2476"/>
      <c r="G1" s="459"/>
      <c r="H1" s="459"/>
      <c r="I1" s="459"/>
      <c r="J1" s="459"/>
      <c r="K1" s="459"/>
      <c r="L1" s="459"/>
      <c r="M1" s="459"/>
      <c r="N1" s="459"/>
      <c r="O1" s="459"/>
      <c r="P1" s="459"/>
      <c r="Q1" s="459"/>
      <c r="R1" s="459"/>
      <c r="S1" s="459"/>
    </row>
    <row r="2" spans="1:22" ht="15.6">
      <c r="A2" s="1726" t="s">
        <v>1462</v>
      </c>
      <c r="B2" s="810">
        <f ca="1">SUMIF(B6:B13,"&lt;&gt;#ref!",B6:B13)</f>
        <v>468.56180000000001</v>
      </c>
      <c r="C2" s="1727" t="s">
        <v>1651</v>
      </c>
      <c r="D2" s="1728" t="s">
        <v>1652</v>
      </c>
      <c r="E2" s="2390">
        <f>SUM(E6:E13)</f>
        <v>247.16</v>
      </c>
      <c r="F2" s="2476"/>
      <c r="G2" s="459"/>
      <c r="H2" s="459"/>
      <c r="I2" s="459"/>
      <c r="J2" s="459"/>
      <c r="K2" s="459"/>
      <c r="L2" s="459"/>
      <c r="M2" s="459"/>
      <c r="N2" s="459"/>
      <c r="O2" s="459"/>
      <c r="P2" s="459"/>
      <c r="Q2" s="459"/>
      <c r="R2" s="459"/>
      <c r="S2" s="459"/>
    </row>
    <row r="3" spans="1:22" ht="15.6">
      <c r="A3" s="1726" t="s">
        <v>686</v>
      </c>
      <c r="B3" s="2384">
        <f ca="1">ROUND(B2*10000/E2,0)</f>
        <v>18958</v>
      </c>
      <c r="C3" s="1727"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19" t="s">
        <v>1654</v>
      </c>
      <c r="C5" s="3420"/>
      <c r="D5" s="2477"/>
      <c r="E5" s="1729"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468.56180000000001</v>
      </c>
      <c r="C6" s="1727" t="s">
        <v>1651</v>
      </c>
      <c r="D6" s="2476"/>
      <c r="E6" s="2389">
        <f>IF(OR(A6=0,F6="否"),0,'数据-取费表'!K6+'数据-取费表'!S6)</f>
        <v>247.16</v>
      </c>
      <c r="F6" s="1730"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7" t="s">
        <v>1651</v>
      </c>
      <c r="D7" s="2476"/>
      <c r="E7" s="2389">
        <f>IF(OR(A7=0,F7="否"),0,'数据-取费表'!K7+'数据-取费表'!S7)</f>
        <v>0</v>
      </c>
      <c r="F7" s="1730"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7" t="s">
        <v>1651</v>
      </c>
      <c r="D8" s="2476"/>
      <c r="E8" s="2389">
        <f>IF(OR(A8=0,F8="否"),0,'数据-取费表'!K8+'数据-取费表'!S8)</f>
        <v>0</v>
      </c>
      <c r="F8" s="1730"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7" t="s">
        <v>1651</v>
      </c>
      <c r="D9" s="2476"/>
      <c r="E9" s="2389">
        <f>IF(OR(A9=0,F9="否"),0,'数据-取费表'!K9+'数据-取费表'!S9)</f>
        <v>0</v>
      </c>
      <c r="F9" s="1730"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7" t="s">
        <v>1651</v>
      </c>
      <c r="D10" s="2476"/>
      <c r="E10" s="2389">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7" t="s">
        <v>1651</v>
      </c>
      <c r="D11" s="2476"/>
      <c r="E11" s="2389">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7" t="s">
        <v>1651</v>
      </c>
      <c r="D12" s="2476"/>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8"/>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0"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1"/>
      <c r="M2" s="2482"/>
      <c r="N2" s="2482"/>
      <c r="O2" s="2482"/>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247.16</v>
      </c>
      <c r="E3" s="853"/>
      <c r="F3" s="1741"/>
      <c r="G3" s="853"/>
      <c r="H3" s="853"/>
      <c r="I3" s="853"/>
      <c r="J3" s="853"/>
      <c r="K3" s="1738"/>
      <c r="L3" s="2481"/>
      <c r="M3" s="2482"/>
      <c r="N3" s="2482"/>
      <c r="O3" s="2482"/>
      <c r="P3" s="1739"/>
      <c r="Q3" s="1740"/>
      <c r="R3" s="1740"/>
      <c r="S3" s="1740"/>
      <c r="T3" s="1740"/>
      <c r="U3" s="1740"/>
      <c r="V3" s="1740"/>
      <c r="W3" s="1740"/>
      <c r="X3" s="1740"/>
      <c r="Y3" s="1740"/>
      <c r="Z3" s="1740"/>
      <c r="AA3" s="1740"/>
      <c r="AB3" s="1740"/>
      <c r="AC3" s="997"/>
    </row>
    <row r="4" spans="1:29" ht="14.4">
      <c r="A4" s="345" t="s">
        <v>1666</v>
      </c>
      <c r="B4" s="346"/>
      <c r="C4" s="3374" t="s">
        <v>1667</v>
      </c>
      <c r="D4" s="3375"/>
      <c r="E4" s="3376" t="s">
        <v>1668</v>
      </c>
      <c r="F4" s="3377"/>
      <c r="G4" s="3374" t="s">
        <v>1669</v>
      </c>
      <c r="H4" s="3375"/>
      <c r="I4" s="3374" t="s">
        <v>1670</v>
      </c>
      <c r="J4" s="3375"/>
      <c r="K4" s="1742" t="s">
        <v>1671</v>
      </c>
      <c r="L4" s="2483"/>
      <c r="M4" s="2484"/>
      <c r="N4" s="2484"/>
      <c r="O4" s="2484"/>
      <c r="P4" s="3378" t="s">
        <v>1672</v>
      </c>
      <c r="Q4" s="3379"/>
      <c r="R4" s="3360" t="s">
        <v>1668</v>
      </c>
      <c r="S4" s="3361"/>
      <c r="T4" s="3360" t="s">
        <v>1669</v>
      </c>
      <c r="U4" s="3361"/>
      <c r="V4" s="3357" t="s">
        <v>1670</v>
      </c>
      <c r="W4" s="3357"/>
      <c r="X4" s="1263"/>
      <c r="Y4" s="3360" t="s">
        <v>1672</v>
      </c>
      <c r="Z4" s="3361"/>
      <c r="AA4" s="3354" t="s">
        <v>1668</v>
      </c>
      <c r="AB4" s="3354" t="s">
        <v>1669</v>
      </c>
      <c r="AC4" s="3354" t="s">
        <v>1670</v>
      </c>
    </row>
    <row r="5" spans="1:29">
      <c r="A5" s="348"/>
      <c r="B5" s="349"/>
      <c r="C5" s="3370" t="s">
        <v>1673</v>
      </c>
      <c r="D5" s="3367"/>
      <c r="E5" s="3364" t="s">
        <v>1674</v>
      </c>
      <c r="F5" s="3365"/>
      <c r="G5" s="3370" t="s">
        <v>1675</v>
      </c>
      <c r="H5" s="3367"/>
      <c r="I5" s="3370" t="s">
        <v>1676</v>
      </c>
      <c r="J5" s="3367"/>
      <c r="K5" s="1743"/>
      <c r="L5" s="2483"/>
      <c r="M5" s="2484"/>
      <c r="N5" s="2484"/>
      <c r="O5" s="2484"/>
      <c r="P5" s="3380"/>
      <c r="Q5" s="3381"/>
      <c r="R5" s="3362"/>
      <c r="S5" s="3363"/>
      <c r="T5" s="3362"/>
      <c r="U5" s="3363"/>
      <c r="V5" s="3357"/>
      <c r="W5" s="3357"/>
      <c r="X5" s="1263"/>
      <c r="Y5" s="3362"/>
      <c r="Z5" s="3363"/>
      <c r="AA5" s="3355"/>
      <c r="AB5" s="3355"/>
      <c r="AC5" s="3355"/>
    </row>
    <row r="6" spans="1:29" ht="15" thickBot="1">
      <c r="A6" s="350"/>
      <c r="B6" s="351"/>
      <c r="C6" s="3368" t="s">
        <v>1677</v>
      </c>
      <c r="D6" s="3369"/>
      <c r="E6" s="3371" t="s">
        <v>1677</v>
      </c>
      <c r="F6" s="3372"/>
      <c r="G6" s="3368" t="s">
        <v>1677</v>
      </c>
      <c r="H6" s="3369"/>
      <c r="I6" s="3368" t="s">
        <v>1677</v>
      </c>
      <c r="J6" s="3369"/>
      <c r="K6" s="1743" t="s">
        <v>1678</v>
      </c>
      <c r="L6" s="2483"/>
      <c r="M6" s="2484"/>
      <c r="N6" s="2484"/>
      <c r="O6" s="2484"/>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SUMIF(58:58,YEAR(E7)&amp;"-"&amp;MONTH(E7),59:59)</f>
        <v>0</v>
      </c>
      <c r="G7" s="356"/>
      <c r="H7" s="355">
        <f>SUMIF(58:58,YEAR(G7)&amp;"-"&amp;MONTH(G7),59:59)</f>
        <v>0</v>
      </c>
      <c r="I7" s="356"/>
      <c r="J7" s="355">
        <f>SUMIF(58:58,YEAR(I7)&amp;"-"&amp;MONTH(I7),59:59)</f>
        <v>0</v>
      </c>
      <c r="K7" s="1744"/>
      <c r="L7" s="2485"/>
      <c r="M7" s="2437"/>
      <c r="N7" s="2437"/>
      <c r="O7" s="2437"/>
      <c r="P7" s="3358" t="s">
        <v>1680</v>
      </c>
      <c r="Q7" s="3386"/>
      <c r="R7" s="663" t="s">
        <v>20</v>
      </c>
      <c r="S7" s="664">
        <f t="shared" ref="S7:S15" si="0">F7</f>
        <v>0</v>
      </c>
      <c r="T7" s="663" t="s">
        <v>20</v>
      </c>
      <c r="U7" s="664">
        <f t="shared" ref="U7:U15" si="1">H7</f>
        <v>0</v>
      </c>
      <c r="V7" s="663" t="s">
        <v>20</v>
      </c>
      <c r="W7" s="664">
        <f t="shared" ref="W7:W15" si="2">J7</f>
        <v>0</v>
      </c>
      <c r="X7" s="665"/>
      <c r="Y7" s="3358" t="s">
        <v>1680</v>
      </c>
      <c r="Z7" s="3359"/>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5"/>
      <c r="M8" s="2437"/>
      <c r="N8" s="2437"/>
      <c r="O8" s="2437"/>
      <c r="P8" s="3358" t="s">
        <v>1683</v>
      </c>
      <c r="Q8" s="3359"/>
      <c r="R8" s="663" t="s">
        <v>20</v>
      </c>
      <c r="S8" s="664">
        <f t="shared" si="0"/>
        <v>100</v>
      </c>
      <c r="T8" s="663" t="s">
        <v>20</v>
      </c>
      <c r="U8" s="664">
        <f t="shared" si="1"/>
        <v>100</v>
      </c>
      <c r="V8" s="663" t="s">
        <v>20</v>
      </c>
      <c r="W8" s="664">
        <f t="shared" si="2"/>
        <v>100</v>
      </c>
      <c r="X8" s="665"/>
      <c r="Y8" s="3358" t="s">
        <v>1683</v>
      </c>
      <c r="Z8" s="335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5"/>
      <c r="M9" s="2437"/>
      <c r="N9" s="2437"/>
      <c r="O9" s="2437"/>
      <c r="P9" s="3373"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4"/>
      <c r="L10" s="2486"/>
      <c r="M10" s="2487"/>
      <c r="N10" s="2487"/>
      <c r="O10" s="2487"/>
      <c r="P10" s="3373"/>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3"/>
      <c r="Q11" s="530" t="str">
        <f t="shared" si="6"/>
        <v>容积率</v>
      </c>
      <c r="R11" s="663" t="s">
        <v>18</v>
      </c>
      <c r="S11" s="664" t="e">
        <f t="shared" si="0"/>
        <v>#N/A</v>
      </c>
      <c r="T11" s="663" t="s">
        <v>18</v>
      </c>
      <c r="U11" s="664" t="e">
        <f t="shared" si="1"/>
        <v>#N/A</v>
      </c>
      <c r="V11" s="663" t="s">
        <v>18</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7"/>
      <c r="N12" s="2437"/>
      <c r="O12" s="2437"/>
      <c r="P12" s="3373"/>
      <c r="Q12" s="530">
        <f t="shared" si="6"/>
        <v>111</v>
      </c>
      <c r="R12" s="663" t="s">
        <v>18</v>
      </c>
      <c r="S12" s="664">
        <f t="shared" si="0"/>
        <v>100</v>
      </c>
      <c r="T12" s="663" t="s">
        <v>18</v>
      </c>
      <c r="U12" s="664">
        <f t="shared" si="1"/>
        <v>100</v>
      </c>
      <c r="V12" s="663" t="s">
        <v>18</v>
      </c>
      <c r="W12" s="664">
        <f t="shared" si="2"/>
        <v>100</v>
      </c>
      <c r="X12" s="665"/>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73"/>
      <c r="Q13" s="530">
        <f t="shared" si="6"/>
        <v>111</v>
      </c>
      <c r="R13" s="663" t="s">
        <v>18</v>
      </c>
      <c r="S13" s="664">
        <f t="shared" si="0"/>
        <v>100</v>
      </c>
      <c r="T13" s="663" t="s">
        <v>18</v>
      </c>
      <c r="U13" s="664">
        <f t="shared" si="1"/>
        <v>100</v>
      </c>
      <c r="V13" s="663" t="s">
        <v>18</v>
      </c>
      <c r="W13" s="664">
        <f t="shared" si="2"/>
        <v>100</v>
      </c>
      <c r="X13" s="665"/>
      <c r="Y13" s="3322"/>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73"/>
      <c r="Q14" s="530">
        <f t="shared" si="6"/>
        <v>111</v>
      </c>
      <c r="R14" s="663" t="s">
        <v>18</v>
      </c>
      <c r="S14" s="664">
        <f t="shared" si="0"/>
        <v>100</v>
      </c>
      <c r="T14" s="663" t="s">
        <v>18</v>
      </c>
      <c r="U14" s="664">
        <f t="shared" si="1"/>
        <v>100</v>
      </c>
      <c r="V14" s="663" t="s">
        <v>18</v>
      </c>
      <c r="W14" s="664">
        <f t="shared" si="2"/>
        <v>100</v>
      </c>
      <c r="X14" s="665"/>
      <c r="Y14" s="3322"/>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87" t="s">
        <v>1691</v>
      </c>
      <c r="Q15" s="1261" t="str">
        <f t="shared" si="6"/>
        <v>居住社区成熟度</v>
      </c>
      <c r="R15" s="666" t="s">
        <v>18</v>
      </c>
      <c r="S15" s="667">
        <f t="shared" si="0"/>
        <v>100</v>
      </c>
      <c r="T15" s="666" t="s">
        <v>18</v>
      </c>
      <c r="U15" s="667">
        <f t="shared" si="1"/>
        <v>100</v>
      </c>
      <c r="V15" s="666" t="s">
        <v>18</v>
      </c>
      <c r="W15" s="667">
        <f t="shared" si="2"/>
        <v>100</v>
      </c>
      <c r="X15" s="1263"/>
      <c r="Y15" s="3389"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9"/>
      <c r="M16" s="2484"/>
      <c r="N16" s="2484"/>
      <c r="O16" s="2484"/>
      <c r="P16" s="3388"/>
      <c r="Q16" s="1261"/>
      <c r="R16" s="666"/>
      <c r="S16" s="667"/>
      <c r="T16" s="666"/>
      <c r="U16" s="667"/>
      <c r="V16" s="666"/>
      <c r="W16" s="667"/>
      <c r="X16" s="1263"/>
      <c r="Y16" s="3390"/>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88"/>
      <c r="Q17" s="1261" t="str">
        <f>B17</f>
        <v>交通便捷度</v>
      </c>
      <c r="R17" s="666" t="s">
        <v>18</v>
      </c>
      <c r="S17" s="667">
        <f>F17</f>
        <v>100</v>
      </c>
      <c r="T17" s="666" t="s">
        <v>18</v>
      </c>
      <c r="U17" s="667">
        <f>H17</f>
        <v>100</v>
      </c>
      <c r="V17" s="666" t="s">
        <v>18</v>
      </c>
      <c r="W17" s="667">
        <f>J17</f>
        <v>100</v>
      </c>
      <c r="X17" s="1263"/>
      <c r="Y17" s="3390"/>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9"/>
      <c r="M18" s="2484"/>
      <c r="N18" s="2484"/>
      <c r="O18" s="2484"/>
      <c r="P18" s="3388"/>
      <c r="Q18" s="1261"/>
      <c r="R18" s="666"/>
      <c r="S18" s="667"/>
      <c r="T18" s="666"/>
      <c r="U18" s="667"/>
      <c r="V18" s="666"/>
      <c r="W18" s="667"/>
      <c r="X18" s="1263"/>
      <c r="Y18" s="3390"/>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88"/>
      <c r="Q19" s="1261" t="str">
        <f>B19</f>
        <v>公共配套设施</v>
      </c>
      <c r="R19" s="666" t="s">
        <v>18</v>
      </c>
      <c r="S19" s="667">
        <f>F19</f>
        <v>100</v>
      </c>
      <c r="T19" s="666" t="s">
        <v>18</v>
      </c>
      <c r="U19" s="667">
        <f>H19</f>
        <v>100</v>
      </c>
      <c r="V19" s="666" t="s">
        <v>18</v>
      </c>
      <c r="W19" s="667">
        <f>J19</f>
        <v>100</v>
      </c>
      <c r="X19" s="1263"/>
      <c r="Y19" s="3390"/>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9"/>
      <c r="M20" s="2484"/>
      <c r="N20" s="2484"/>
      <c r="O20" s="2484"/>
      <c r="P20" s="3388"/>
      <c r="Q20" s="1261"/>
      <c r="R20" s="666"/>
      <c r="S20" s="667"/>
      <c r="T20" s="666"/>
      <c r="U20" s="667"/>
      <c r="V20" s="666"/>
      <c r="W20" s="667"/>
      <c r="X20" s="1263"/>
      <c r="Y20" s="3390"/>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88"/>
      <c r="Q21" s="1261" t="str">
        <f>B21</f>
        <v>基础设施水平</v>
      </c>
      <c r="R21" s="666" t="s">
        <v>14</v>
      </c>
      <c r="S21" s="667">
        <f>F21</f>
        <v>100</v>
      </c>
      <c r="T21" s="666" t="s">
        <v>14</v>
      </c>
      <c r="U21" s="667">
        <f>H21</f>
        <v>100</v>
      </c>
      <c r="V21" s="666" t="s">
        <v>14</v>
      </c>
      <c r="W21" s="667">
        <f>J21</f>
        <v>100</v>
      </c>
      <c r="X21" s="1263"/>
      <c r="Y21" s="339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9"/>
      <c r="M22" s="2484"/>
      <c r="N22" s="2484"/>
      <c r="O22" s="2484"/>
      <c r="P22" s="3388"/>
      <c r="Q22" s="1261"/>
      <c r="R22" s="666"/>
      <c r="S22" s="667"/>
      <c r="T22" s="666"/>
      <c r="U22" s="667"/>
      <c r="V22" s="666"/>
      <c r="W22" s="667"/>
      <c r="X22" s="1263"/>
      <c r="Y22" s="3390"/>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88"/>
      <c r="Q23" s="1261" t="str">
        <f>B23</f>
        <v>自然及人文环境</v>
      </c>
      <c r="R23" s="666" t="s">
        <v>18</v>
      </c>
      <c r="S23" s="667">
        <f>F23</f>
        <v>100</v>
      </c>
      <c r="T23" s="666" t="s">
        <v>18</v>
      </c>
      <c r="U23" s="667">
        <f>H23</f>
        <v>100</v>
      </c>
      <c r="V23" s="666" t="s">
        <v>18</v>
      </c>
      <c r="W23" s="667">
        <f>J23</f>
        <v>100</v>
      </c>
      <c r="X23" s="1263"/>
      <c r="Y23" s="3390"/>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9"/>
      <c r="M24" s="2484"/>
      <c r="N24" s="2484"/>
      <c r="O24" s="2484"/>
      <c r="P24" s="3388"/>
      <c r="Q24" s="1261"/>
      <c r="R24" s="666"/>
      <c r="S24" s="667"/>
      <c r="T24" s="666"/>
      <c r="U24" s="667"/>
      <c r="V24" s="666"/>
      <c r="W24" s="667"/>
      <c r="X24" s="1263"/>
      <c r="Y24" s="3390"/>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388"/>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90"/>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388"/>
      <c r="Q26" s="1261" t="str">
        <f t="shared" si="11"/>
        <v>朝向</v>
      </c>
      <c r="R26" s="666" t="s">
        <v>18</v>
      </c>
      <c r="S26" s="667">
        <f t="shared" si="12"/>
        <v>100</v>
      </c>
      <c r="T26" s="666" t="s">
        <v>18</v>
      </c>
      <c r="U26" s="667">
        <f t="shared" si="13"/>
        <v>100</v>
      </c>
      <c r="V26" s="666" t="s">
        <v>18</v>
      </c>
      <c r="W26" s="667">
        <f t="shared" si="14"/>
        <v>100</v>
      </c>
      <c r="X26" s="1263"/>
      <c r="Y26" s="3390"/>
      <c r="Z26" s="1262" t="str">
        <f>Q26</f>
        <v>朝向</v>
      </c>
      <c r="AA26" s="1262">
        <f t="shared" si="15"/>
        <v>1</v>
      </c>
      <c r="AB26" s="1262">
        <f t="shared" si="16"/>
        <v>1</v>
      </c>
      <c r="AC26" s="1262">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7"/>
      <c r="N27" s="2437"/>
      <c r="O27" s="2437"/>
      <c r="P27" s="3388"/>
      <c r="Q27" s="530">
        <f t="shared" si="11"/>
        <v>111</v>
      </c>
      <c r="R27" s="663" t="s">
        <v>18</v>
      </c>
      <c r="S27" s="664">
        <f t="shared" si="12"/>
        <v>100</v>
      </c>
      <c r="T27" s="663" t="s">
        <v>18</v>
      </c>
      <c r="U27" s="664">
        <f t="shared" si="13"/>
        <v>100</v>
      </c>
      <c r="V27" s="663" t="s">
        <v>18</v>
      </c>
      <c r="W27" s="664">
        <f t="shared" si="14"/>
        <v>100</v>
      </c>
      <c r="X27" s="665"/>
      <c r="Y27" s="3390"/>
      <c r="Z27" s="50">
        <f>Q27</f>
        <v>111</v>
      </c>
      <c r="AA27" s="1262">
        <f t="shared" si="15"/>
        <v>1</v>
      </c>
      <c r="AB27" s="1262">
        <f t="shared" si="16"/>
        <v>1</v>
      </c>
      <c r="AC27" s="1262">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388"/>
      <c r="Q28" s="1261">
        <f t="shared" si="11"/>
        <v>111</v>
      </c>
      <c r="R28" s="666" t="s">
        <v>18</v>
      </c>
      <c r="S28" s="667">
        <f t="shared" si="12"/>
        <v>100</v>
      </c>
      <c r="T28" s="666" t="s">
        <v>18</v>
      </c>
      <c r="U28" s="667">
        <f t="shared" si="13"/>
        <v>100</v>
      </c>
      <c r="V28" s="666" t="s">
        <v>18</v>
      </c>
      <c r="W28" s="667">
        <f t="shared" si="14"/>
        <v>100</v>
      </c>
      <c r="X28" s="1263"/>
      <c r="Y28" s="3390"/>
      <c r="Z28" s="1262">
        <f t="shared" ref="Z28:Z46" si="18">Q28</f>
        <v>111</v>
      </c>
      <c r="AA28" s="1262">
        <f t="shared" si="15"/>
        <v>1</v>
      </c>
      <c r="AB28" s="1262">
        <f t="shared" si="16"/>
        <v>1</v>
      </c>
      <c r="AC28" s="1262">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388"/>
      <c r="Q29" s="1261">
        <f t="shared" si="11"/>
        <v>111</v>
      </c>
      <c r="R29" s="666" t="s">
        <v>18</v>
      </c>
      <c r="S29" s="667">
        <f t="shared" si="12"/>
        <v>100</v>
      </c>
      <c r="T29" s="666" t="s">
        <v>18</v>
      </c>
      <c r="U29" s="667">
        <f t="shared" si="13"/>
        <v>100</v>
      </c>
      <c r="V29" s="666" t="s">
        <v>18</v>
      </c>
      <c r="W29" s="667">
        <f t="shared" si="14"/>
        <v>100</v>
      </c>
      <c r="X29" s="1263"/>
      <c r="Y29" s="3390"/>
      <c r="Z29" s="1262">
        <f t="shared" si="18"/>
        <v>111</v>
      </c>
      <c r="AA29" s="1262">
        <f t="shared" si="15"/>
        <v>1</v>
      </c>
      <c r="AB29" s="1262">
        <f t="shared" si="16"/>
        <v>1</v>
      </c>
      <c r="AC29" s="1262">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388"/>
      <c r="Q30" s="1261">
        <f t="shared" si="11"/>
        <v>111</v>
      </c>
      <c r="R30" s="666" t="s">
        <v>18</v>
      </c>
      <c r="S30" s="667">
        <f t="shared" si="12"/>
        <v>100</v>
      </c>
      <c r="T30" s="666" t="s">
        <v>18</v>
      </c>
      <c r="U30" s="667">
        <f t="shared" si="13"/>
        <v>100</v>
      </c>
      <c r="V30" s="666" t="s">
        <v>18</v>
      </c>
      <c r="W30" s="667">
        <f t="shared" si="14"/>
        <v>100</v>
      </c>
      <c r="X30" s="1263"/>
      <c r="Y30" s="3390"/>
      <c r="Z30" s="1262">
        <f t="shared" si="18"/>
        <v>111</v>
      </c>
      <c r="AA30" s="1262">
        <f t="shared" si="15"/>
        <v>1</v>
      </c>
      <c r="AB30" s="1262">
        <f t="shared" si="16"/>
        <v>1</v>
      </c>
      <c r="AC30" s="1262">
        <f t="shared" si="17"/>
        <v>1</v>
      </c>
    </row>
    <row r="31" spans="1:29" ht="15.6"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388"/>
      <c r="Q31" s="1261">
        <f t="shared" si="11"/>
        <v>111</v>
      </c>
      <c r="R31" s="666" t="s">
        <v>18</v>
      </c>
      <c r="S31" s="667">
        <f t="shared" si="12"/>
        <v>100</v>
      </c>
      <c r="T31" s="666" t="s">
        <v>18</v>
      </c>
      <c r="U31" s="667">
        <f t="shared" si="13"/>
        <v>100</v>
      </c>
      <c r="V31" s="666" t="s">
        <v>18</v>
      </c>
      <c r="W31" s="667">
        <f t="shared" si="14"/>
        <v>100</v>
      </c>
      <c r="X31" s="1263"/>
      <c r="Y31" s="3390"/>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9"/>
      <c r="M32" s="2484"/>
      <c r="N32" s="2484"/>
      <c r="O32" s="2484"/>
      <c r="P32" s="3391" t="s">
        <v>1696</v>
      </c>
      <c r="Q32" s="1261" t="str">
        <f t="shared" si="11"/>
        <v>建筑类型</v>
      </c>
      <c r="R32" s="666" t="s">
        <v>18</v>
      </c>
      <c r="S32" s="667">
        <f t="shared" si="12"/>
        <v>100</v>
      </c>
      <c r="T32" s="666" t="s">
        <v>18</v>
      </c>
      <c r="U32" s="667">
        <f t="shared" si="13"/>
        <v>100</v>
      </c>
      <c r="V32" s="666" t="s">
        <v>18</v>
      </c>
      <c r="W32" s="667">
        <f t="shared" si="14"/>
        <v>100</v>
      </c>
      <c r="X32" s="1263"/>
      <c r="Y32" s="3394"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8"/>
      <c r="M33" s="2490"/>
      <c r="N33" s="2490"/>
      <c r="O33" s="2490"/>
      <c r="P33" s="3392"/>
      <c r="Q33" s="531" t="str">
        <f t="shared" si="11"/>
        <v>项目建筑规模</v>
      </c>
      <c r="R33" s="668" t="s">
        <v>18</v>
      </c>
      <c r="S33" s="669" t="e">
        <f t="shared" si="12"/>
        <v>#N/A</v>
      </c>
      <c r="T33" s="668" t="s">
        <v>18</v>
      </c>
      <c r="U33" s="669" t="e">
        <f t="shared" si="13"/>
        <v>#N/A</v>
      </c>
      <c r="V33" s="668" t="s">
        <v>18</v>
      </c>
      <c r="W33" s="669" t="e">
        <f t="shared" si="14"/>
        <v>#N/A</v>
      </c>
      <c r="X33" s="670"/>
      <c r="Y33" s="3394"/>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9"/>
      <c r="M34" s="2484"/>
      <c r="N34" s="2484"/>
      <c r="O34" s="2484"/>
      <c r="P34" s="3392"/>
      <c r="Q34" s="1261" t="str">
        <f t="shared" si="11"/>
        <v>建筑结构</v>
      </c>
      <c r="R34" s="666" t="s">
        <v>18</v>
      </c>
      <c r="S34" s="667">
        <f t="shared" si="12"/>
        <v>100</v>
      </c>
      <c r="T34" s="666" t="s">
        <v>18</v>
      </c>
      <c r="U34" s="667">
        <f t="shared" si="13"/>
        <v>100</v>
      </c>
      <c r="V34" s="666" t="s">
        <v>18</v>
      </c>
      <c r="W34" s="667">
        <f t="shared" si="14"/>
        <v>100</v>
      </c>
      <c r="X34" s="1263"/>
      <c r="Y34" s="3394"/>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9"/>
      <c r="M35" s="2484"/>
      <c r="N35" s="2484"/>
      <c r="O35" s="2484"/>
      <c r="P35" s="3392"/>
      <c r="Q35" s="1261" t="str">
        <f t="shared" si="11"/>
        <v>建筑品质</v>
      </c>
      <c r="R35" s="666" t="s">
        <v>18</v>
      </c>
      <c r="S35" s="667">
        <f t="shared" si="12"/>
        <v>100</v>
      </c>
      <c r="T35" s="666" t="s">
        <v>18</v>
      </c>
      <c r="U35" s="667">
        <f t="shared" si="13"/>
        <v>100</v>
      </c>
      <c r="V35" s="666" t="s">
        <v>18</v>
      </c>
      <c r="W35" s="667">
        <f t="shared" si="14"/>
        <v>100</v>
      </c>
      <c r="X35" s="1263"/>
      <c r="Y35" s="3394"/>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9"/>
      <c r="M36" s="2484"/>
      <c r="N36" s="2484"/>
      <c r="O36" s="2484"/>
      <c r="P36" s="3392"/>
      <c r="Q36" s="1261" t="str">
        <f t="shared" si="11"/>
        <v>公共部分装修</v>
      </c>
      <c r="R36" s="666" t="s">
        <v>18</v>
      </c>
      <c r="S36" s="667">
        <f t="shared" si="12"/>
        <v>100</v>
      </c>
      <c r="T36" s="666" t="s">
        <v>18</v>
      </c>
      <c r="U36" s="667">
        <f t="shared" si="13"/>
        <v>100</v>
      </c>
      <c r="V36" s="666" t="s">
        <v>18</v>
      </c>
      <c r="W36" s="667">
        <f t="shared" si="14"/>
        <v>100</v>
      </c>
      <c r="X36" s="1263"/>
      <c r="Y36" s="3394"/>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92"/>
      <c r="Q37" s="530" t="str">
        <f t="shared" si="11"/>
        <v>成新度</v>
      </c>
      <c r="R37" s="663" t="s">
        <v>18</v>
      </c>
      <c r="S37" s="664" t="e">
        <f t="shared" si="12"/>
        <v>#N/A</v>
      </c>
      <c r="T37" s="663" t="s">
        <v>18</v>
      </c>
      <c r="U37" s="664" t="e">
        <f t="shared" si="13"/>
        <v>#N/A</v>
      </c>
      <c r="V37" s="663" t="s">
        <v>18</v>
      </c>
      <c r="W37" s="664" t="e">
        <f t="shared" si="14"/>
        <v>#N/A</v>
      </c>
      <c r="X37" s="665"/>
      <c r="Y37" s="3394"/>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9"/>
      <c r="M38" s="2484"/>
      <c r="N38" s="2484"/>
      <c r="O38" s="2484"/>
      <c r="P38" s="3392" t="s">
        <v>1696</v>
      </c>
      <c r="Q38" s="1261" t="str">
        <f t="shared" si="11"/>
        <v>物业管理</v>
      </c>
      <c r="R38" s="666" t="s">
        <v>18</v>
      </c>
      <c r="S38" s="667">
        <f t="shared" si="12"/>
        <v>100</v>
      </c>
      <c r="T38" s="666" t="s">
        <v>18</v>
      </c>
      <c r="U38" s="667">
        <f t="shared" si="13"/>
        <v>100</v>
      </c>
      <c r="V38" s="666" t="s">
        <v>18</v>
      </c>
      <c r="W38" s="667">
        <f t="shared" si="14"/>
        <v>100</v>
      </c>
      <c r="X38" s="1263"/>
      <c r="Y38" s="3394"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9"/>
      <c r="M39" s="2484"/>
      <c r="N39" s="2484"/>
      <c r="O39" s="2484"/>
      <c r="P39" s="3392"/>
      <c r="Q39" s="1261" t="str">
        <f t="shared" si="11"/>
        <v>市政基础设施</v>
      </c>
      <c r="R39" s="666" t="s">
        <v>18</v>
      </c>
      <c r="S39" s="667">
        <f t="shared" si="12"/>
        <v>100</v>
      </c>
      <c r="T39" s="666" t="s">
        <v>18</v>
      </c>
      <c r="U39" s="667">
        <f t="shared" si="13"/>
        <v>100</v>
      </c>
      <c r="V39" s="666" t="s">
        <v>18</v>
      </c>
      <c r="W39" s="667">
        <f t="shared" si="14"/>
        <v>100</v>
      </c>
      <c r="X39" s="1263"/>
      <c r="Y39" s="3394"/>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9"/>
      <c r="M40" s="2484"/>
      <c r="N40" s="2484"/>
      <c r="O40" s="2484"/>
      <c r="P40" s="3392"/>
      <c r="Q40" s="1261" t="str">
        <f t="shared" si="11"/>
        <v>房型</v>
      </c>
      <c r="R40" s="666" t="s">
        <v>18</v>
      </c>
      <c r="S40" s="667">
        <f t="shared" si="12"/>
        <v>100</v>
      </c>
      <c r="T40" s="666" t="s">
        <v>18</v>
      </c>
      <c r="U40" s="667">
        <f t="shared" si="13"/>
        <v>100</v>
      </c>
      <c r="V40" s="666" t="s">
        <v>18</v>
      </c>
      <c r="W40" s="667">
        <f t="shared" si="14"/>
        <v>100</v>
      </c>
      <c r="X40" s="1263"/>
      <c r="Y40" s="3394"/>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8"/>
      <c r="M41" s="2490"/>
      <c r="N41" s="2490"/>
      <c r="O41" s="2490"/>
      <c r="P41" s="3392"/>
      <c r="Q41" s="531" t="str">
        <f t="shared" si="11"/>
        <v>单套/主力户型建筑面积</v>
      </c>
      <c r="R41" s="668" t="s">
        <v>18</v>
      </c>
      <c r="S41" s="669">
        <f t="shared" si="12"/>
        <v>100</v>
      </c>
      <c r="T41" s="668" t="s">
        <v>18</v>
      </c>
      <c r="U41" s="669">
        <f t="shared" si="13"/>
        <v>100</v>
      </c>
      <c r="V41" s="668" t="s">
        <v>18</v>
      </c>
      <c r="W41" s="669">
        <f t="shared" si="14"/>
        <v>100</v>
      </c>
      <c r="X41" s="670"/>
      <c r="Y41" s="3394"/>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9"/>
      <c r="M42" s="2484"/>
      <c r="N42" s="2484"/>
      <c r="O42" s="2484"/>
      <c r="P42" s="3392"/>
      <c r="Q42" s="1261" t="str">
        <f t="shared" si="11"/>
        <v>内部装修</v>
      </c>
      <c r="R42" s="666" t="s">
        <v>18</v>
      </c>
      <c r="S42" s="667">
        <f t="shared" si="12"/>
        <v>100</v>
      </c>
      <c r="T42" s="666" t="s">
        <v>18</v>
      </c>
      <c r="U42" s="667">
        <f t="shared" si="13"/>
        <v>100</v>
      </c>
      <c r="V42" s="666" t="s">
        <v>18</v>
      </c>
      <c r="W42" s="667">
        <f t="shared" si="14"/>
        <v>100</v>
      </c>
      <c r="X42" s="1263"/>
      <c r="Y42" s="3394"/>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392"/>
      <c r="Q43" s="1261" t="str">
        <f t="shared" si="11"/>
        <v>内部装修维护情况</v>
      </c>
      <c r="R43" s="666" t="s">
        <v>18</v>
      </c>
      <c r="S43" s="667">
        <f t="shared" si="12"/>
        <v>100</v>
      </c>
      <c r="T43" s="666" t="s">
        <v>18</v>
      </c>
      <c r="U43" s="667">
        <f t="shared" si="13"/>
        <v>100</v>
      </c>
      <c r="V43" s="666" t="s">
        <v>18</v>
      </c>
      <c r="W43" s="667">
        <f t="shared" si="14"/>
        <v>100</v>
      </c>
      <c r="X43" s="1263"/>
      <c r="Y43" s="3394"/>
      <c r="Z43" s="1262" t="str">
        <f t="shared" si="18"/>
        <v>内部装修维护情况</v>
      </c>
      <c r="AA43" s="1262">
        <f t="shared" si="15"/>
        <v>1</v>
      </c>
      <c r="AB43" s="1262">
        <f t="shared" si="16"/>
        <v>1</v>
      </c>
      <c r="AC43" s="1262">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7"/>
      <c r="N44" s="2437"/>
      <c r="O44" s="2437"/>
      <c r="P44" s="3392"/>
      <c r="Q44" s="530">
        <f t="shared" si="11"/>
        <v>111</v>
      </c>
      <c r="R44" s="663" t="s">
        <v>18</v>
      </c>
      <c r="S44" s="664">
        <f t="shared" si="12"/>
        <v>100</v>
      </c>
      <c r="T44" s="663" t="s">
        <v>18</v>
      </c>
      <c r="U44" s="664">
        <f t="shared" si="13"/>
        <v>100</v>
      </c>
      <c r="V44" s="663" t="s">
        <v>18</v>
      </c>
      <c r="W44" s="664">
        <f t="shared" si="14"/>
        <v>100</v>
      </c>
      <c r="X44" s="665"/>
      <c r="Y44" s="339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392"/>
      <c r="Q45" s="1261">
        <f t="shared" si="11"/>
        <v>111</v>
      </c>
      <c r="R45" s="666" t="s">
        <v>18</v>
      </c>
      <c r="S45" s="667">
        <f t="shared" si="12"/>
        <v>100</v>
      </c>
      <c r="T45" s="666" t="s">
        <v>18</v>
      </c>
      <c r="U45" s="667">
        <f t="shared" si="13"/>
        <v>100</v>
      </c>
      <c r="V45" s="666" t="s">
        <v>18</v>
      </c>
      <c r="W45" s="667">
        <f t="shared" si="14"/>
        <v>100</v>
      </c>
      <c r="X45" s="1263"/>
      <c r="Y45" s="3394"/>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393"/>
      <c r="Q46" s="1261">
        <f t="shared" si="11"/>
        <v>111</v>
      </c>
      <c r="R46" s="666" t="s">
        <v>17</v>
      </c>
      <c r="S46" s="667">
        <f t="shared" si="12"/>
        <v>100</v>
      </c>
      <c r="T46" s="666" t="s">
        <v>17</v>
      </c>
      <c r="U46" s="667">
        <f t="shared" si="13"/>
        <v>100</v>
      </c>
      <c r="V46" s="666" t="s">
        <v>17</v>
      </c>
      <c r="W46" s="667">
        <f t="shared" si="14"/>
        <v>100</v>
      </c>
      <c r="X46" s="1263"/>
      <c r="Y46" s="3395"/>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1"/>
      <c r="M47" s="2484"/>
      <c r="N47" s="2484"/>
      <c r="O47" s="2484"/>
      <c r="P47" s="3396" t="str">
        <f>A47</f>
        <v>成交单价（元/平方米）</v>
      </c>
      <c r="Q47" s="3396"/>
      <c r="R47" s="3357">
        <f>E47</f>
        <v>0</v>
      </c>
      <c r="S47" s="3357"/>
      <c r="T47" s="3357">
        <f>G47</f>
        <v>0</v>
      </c>
      <c r="U47" s="3357"/>
      <c r="V47" s="3357">
        <f>I47</f>
        <v>0</v>
      </c>
      <c r="W47" s="3357"/>
      <c r="X47" s="385"/>
      <c r="Y47" s="672"/>
      <c r="Z47" s="385"/>
      <c r="AA47" s="385"/>
      <c r="AB47" s="385"/>
      <c r="AC47" s="385"/>
    </row>
    <row r="48" spans="1:29" ht="15" thickBot="1">
      <c r="A48" s="423" t="s">
        <v>1709</v>
      </c>
      <c r="B48" s="424"/>
      <c r="C48" s="1080" t="e">
        <f>R49</f>
        <v>#DIV/0!</v>
      </c>
      <c r="D48" s="2139" t="s">
        <v>2136</v>
      </c>
      <c r="E48" s="1081" t="e">
        <f>R48</f>
        <v>#DIV/0!</v>
      </c>
      <c r="F48" s="2140"/>
      <c r="G48" s="1080" t="e">
        <f>T48</f>
        <v>#DIV/0!</v>
      </c>
      <c r="H48" s="2140"/>
      <c r="I48" s="1081" t="e">
        <f>V48</f>
        <v>#DIV/0!</v>
      </c>
      <c r="J48" s="2140"/>
      <c r="K48" s="2141">
        <f>F48+H48+J48</f>
        <v>0</v>
      </c>
      <c r="L48" s="2491"/>
      <c r="M48" s="2484"/>
      <c r="N48" s="2484"/>
      <c r="O48" s="2484"/>
      <c r="P48" s="3396" t="str">
        <f>A48</f>
        <v>比较价值（元/平方米）</v>
      </c>
      <c r="Q48" s="339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1"/>
      <c r="M49" s="2484"/>
      <c r="N49" s="2484"/>
      <c r="O49" s="2484"/>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5"/>
      <c r="C57" s="658"/>
      <c r="D57" s="658"/>
      <c r="E57" s="658"/>
      <c r="F57" s="659"/>
      <c r="G57" s="659"/>
      <c r="H57" s="658"/>
      <c r="I57" s="658"/>
      <c r="J57" s="658"/>
      <c r="K57" s="886"/>
      <c r="L57" s="887"/>
      <c r="M57" s="885"/>
      <c r="N57" s="885"/>
      <c r="O57" s="885"/>
      <c r="P57" s="1769"/>
      <c r="Q57" s="439"/>
    </row>
    <row r="58" spans="1:29" s="442" customFormat="1" ht="14.4">
      <c r="A58" s="440" t="s">
        <v>1715</v>
      </c>
      <c r="B58" s="441"/>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7"/>
      <c r="O61" s="877"/>
      <c r="P61" s="1772"/>
      <c r="Q61" s="439"/>
    </row>
    <row r="62" spans="1:29" s="102" customFormat="1" ht="14.4" thickBot="1">
      <c r="A62" s="455"/>
      <c r="B62" s="444"/>
      <c r="C62" s="445">
        <v>100</v>
      </c>
      <c r="D62" s="446"/>
      <c r="E62" s="446"/>
      <c r="F62" s="446"/>
      <c r="G62" s="446"/>
      <c r="H62" s="446"/>
      <c r="I62" s="446"/>
      <c r="J62" s="446"/>
      <c r="K62" s="446"/>
      <c r="L62" s="446"/>
      <c r="M62" s="448"/>
      <c r="N62" s="877"/>
      <c r="O62" s="877"/>
      <c r="P62" s="1771"/>
      <c r="Q62" s="439"/>
    </row>
    <row r="63" spans="1:29" ht="14.4">
      <c r="A63" s="379" t="s">
        <v>1719</v>
      </c>
      <c r="B63" s="460" t="s">
        <v>1685</v>
      </c>
      <c r="C63" s="461">
        <f>C9</f>
        <v>0</v>
      </c>
      <c r="D63" s="462"/>
      <c r="E63" s="462"/>
      <c r="F63" s="462"/>
      <c r="G63" s="462"/>
      <c r="H63" s="462"/>
      <c r="I63" s="462"/>
      <c r="J63" s="462"/>
      <c r="K63" s="463"/>
      <c r="L63" s="464"/>
      <c r="M63" s="465"/>
      <c r="N63" s="878"/>
      <c r="O63" s="878"/>
      <c r="P63" s="1773"/>
      <c r="Q63" s="439"/>
    </row>
    <row r="64" spans="1:29" ht="14.4" thickBot="1">
      <c r="A64" s="367"/>
      <c r="B64" s="466"/>
      <c r="C64" s="467">
        <v>100</v>
      </c>
      <c r="D64" s="467"/>
      <c r="E64" s="467"/>
      <c r="F64" s="467"/>
      <c r="G64" s="467"/>
      <c r="H64" s="467"/>
      <c r="I64" s="467"/>
      <c r="J64" s="467"/>
      <c r="K64" s="467"/>
      <c r="L64" s="467"/>
      <c r="M64" s="468"/>
      <c r="N64" s="879"/>
      <c r="O64" s="879"/>
      <c r="P64" s="1773"/>
      <c r="Q64" s="439"/>
    </row>
    <row r="65" spans="1:17" ht="29.4" thickTop="1">
      <c r="A65" s="367"/>
      <c r="B65" s="469" t="s">
        <v>1688</v>
      </c>
      <c r="C65" s="513"/>
      <c r="D65" s="513"/>
      <c r="E65" s="513"/>
      <c r="F65" s="513"/>
      <c r="G65" s="513"/>
      <c r="H65" s="513"/>
      <c r="I65" s="513"/>
      <c r="J65" s="513"/>
      <c r="K65" s="513"/>
      <c r="L65" s="513"/>
      <c r="M65" s="513"/>
      <c r="N65" s="879"/>
      <c r="O65" s="879"/>
      <c r="P65" s="1773"/>
      <c r="Q65" s="439"/>
    </row>
    <row r="66" spans="1:17" ht="14.4" thickBot="1">
      <c r="A66" s="367"/>
      <c r="B66" s="474"/>
      <c r="C66" s="467"/>
      <c r="D66" s="467"/>
      <c r="E66" s="467"/>
      <c r="F66" s="467"/>
      <c r="G66" s="467"/>
      <c r="H66" s="467"/>
      <c r="I66" s="467"/>
      <c r="J66" s="467"/>
      <c r="K66" s="467"/>
      <c r="L66" s="467"/>
      <c r="M66" s="468"/>
      <c r="N66" s="879"/>
      <c r="O66" s="879"/>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c r="A68" s="367"/>
      <c r="B68" s="479"/>
      <c r="C68" s="480"/>
      <c r="D68" s="480"/>
      <c r="E68" s="480"/>
      <c r="F68" s="480"/>
      <c r="G68" s="480"/>
      <c r="H68" s="480"/>
      <c r="I68" s="480"/>
      <c r="J68" s="480"/>
      <c r="K68" s="481"/>
      <c r="L68" s="482"/>
      <c r="M68" s="483"/>
      <c r="N68" s="878"/>
      <c r="O68" s="878"/>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4.4" thickTop="1">
      <c r="A70" s="484"/>
      <c r="B70" s="469">
        <f>B12</f>
        <v>111</v>
      </c>
      <c r="C70" s="485"/>
      <c r="D70" s="485"/>
      <c r="E70" s="485"/>
      <c r="F70" s="485"/>
      <c r="G70" s="485"/>
      <c r="H70" s="486"/>
      <c r="I70" s="486"/>
      <c r="J70" s="486"/>
      <c r="K70" s="486"/>
      <c r="L70" s="487"/>
      <c r="M70" s="488"/>
      <c r="N70" s="880"/>
      <c r="O70" s="880"/>
      <c r="P70" s="1774"/>
      <c r="Q70" s="490"/>
    </row>
    <row r="71" spans="1:17" s="408" customFormat="1" ht="14.4" thickBot="1">
      <c r="A71" s="484"/>
      <c r="B71" s="474"/>
      <c r="C71" s="491"/>
      <c r="D71" s="467"/>
      <c r="E71" s="467"/>
      <c r="F71" s="467"/>
      <c r="G71" s="467"/>
      <c r="H71" s="467"/>
      <c r="I71" s="467"/>
      <c r="J71" s="467"/>
      <c r="K71" s="467"/>
      <c r="L71" s="467"/>
      <c r="M71" s="468"/>
      <c r="N71" s="879"/>
      <c r="O71" s="879"/>
      <c r="P71" s="1774"/>
      <c r="Q71" s="490"/>
    </row>
    <row r="72" spans="1:17" s="408" customFormat="1" ht="14.4" thickTop="1">
      <c r="A72" s="484"/>
      <c r="B72" s="469">
        <f>B13</f>
        <v>111</v>
      </c>
      <c r="C72" s="485"/>
      <c r="D72" s="485"/>
      <c r="E72" s="485"/>
      <c r="F72" s="485"/>
      <c r="G72" s="485"/>
      <c r="H72" s="486"/>
      <c r="I72" s="486"/>
      <c r="J72" s="486"/>
      <c r="K72" s="486"/>
      <c r="L72" s="487"/>
      <c r="M72" s="488"/>
      <c r="N72" s="880"/>
      <c r="O72" s="880"/>
      <c r="P72" s="1775"/>
      <c r="Q72" s="492"/>
    </row>
    <row r="73" spans="1:17" s="408" customFormat="1" ht="14.4" thickBot="1">
      <c r="A73" s="484"/>
      <c r="B73" s="474"/>
      <c r="C73" s="491"/>
      <c r="D73" s="491"/>
      <c r="E73" s="491"/>
      <c r="F73" s="491"/>
      <c r="G73" s="491"/>
      <c r="H73" s="493"/>
      <c r="I73" s="493"/>
      <c r="J73" s="493"/>
      <c r="K73" s="493"/>
      <c r="L73" s="493"/>
      <c r="M73" s="494"/>
      <c r="N73" s="880"/>
      <c r="O73" s="880"/>
      <c r="P73" s="1774"/>
      <c r="Q73" s="490"/>
    </row>
    <row r="74" spans="1:17" s="408" customFormat="1" ht="14.4" thickTop="1">
      <c r="A74" s="484"/>
      <c r="B74" s="477">
        <f>B14</f>
        <v>111</v>
      </c>
      <c r="C74" s="485"/>
      <c r="D74" s="485"/>
      <c r="E74" s="485"/>
      <c r="F74" s="485"/>
      <c r="G74" s="31"/>
      <c r="H74" s="495"/>
      <c r="I74" s="495"/>
      <c r="J74" s="495"/>
      <c r="K74" s="495"/>
      <c r="L74" s="496"/>
      <c r="M74" s="497"/>
      <c r="N74" s="880"/>
      <c r="O74" s="880"/>
      <c r="P74" s="1776"/>
      <c r="Q74" s="490"/>
    </row>
    <row r="75" spans="1:17" s="408" customFormat="1" ht="14.4" thickBot="1">
      <c r="A75" s="499"/>
      <c r="B75" s="500"/>
      <c r="C75" s="501"/>
      <c r="D75" s="501"/>
      <c r="E75" s="501"/>
      <c r="F75" s="501"/>
      <c r="G75" s="501"/>
      <c r="H75" s="502"/>
      <c r="I75" s="502"/>
      <c r="J75" s="502"/>
      <c r="K75" s="502"/>
      <c r="L75" s="502"/>
      <c r="M75" s="503"/>
      <c r="N75" s="880"/>
      <c r="O75" s="880"/>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 thickTop="1">
      <c r="A86" s="370"/>
      <c r="B86" s="469" t="s">
        <v>1734</v>
      </c>
      <c r="C86" s="485"/>
      <c r="D86" s="485"/>
      <c r="E86" s="485"/>
      <c r="F86" s="485"/>
      <c r="G86" s="485"/>
      <c r="H86" s="485"/>
      <c r="I86" s="485"/>
      <c r="J86" s="485"/>
      <c r="K86" s="485"/>
      <c r="L86" s="510"/>
      <c r="M86" s="511"/>
      <c r="N86" s="877"/>
      <c r="O86" s="877"/>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 thickTop="1">
      <c r="A88" s="370"/>
      <c r="B88" s="469" t="s">
        <v>1735</v>
      </c>
      <c r="C88" s="485"/>
      <c r="D88" s="485"/>
      <c r="E88" s="485"/>
      <c r="F88" s="1778"/>
      <c r="G88" s="485"/>
      <c r="H88" s="485"/>
      <c r="I88" s="485"/>
      <c r="J88" s="485"/>
      <c r="K88" s="485"/>
      <c r="L88" s="485"/>
      <c r="M88" s="511"/>
      <c r="N88" s="877"/>
      <c r="O88" s="877"/>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4.4" thickTop="1">
      <c r="A90" s="484"/>
      <c r="B90" s="469">
        <f>B27</f>
        <v>111</v>
      </c>
      <c r="C90" s="485"/>
      <c r="D90" s="485"/>
      <c r="E90" s="485"/>
      <c r="F90" s="485"/>
      <c r="G90" s="485"/>
      <c r="H90" s="486"/>
      <c r="I90" s="486"/>
      <c r="J90" s="486"/>
      <c r="K90" s="486"/>
      <c r="L90" s="487"/>
      <c r="M90" s="488"/>
      <c r="N90" s="880"/>
      <c r="O90" s="880"/>
      <c r="P90" s="1774"/>
      <c r="Q90" s="490"/>
    </row>
    <row r="91" spans="1:17" s="408" customFormat="1" ht="14.4" thickBot="1">
      <c r="A91" s="484"/>
      <c r="B91" s="474"/>
      <c r="C91" s="491"/>
      <c r="D91" s="491"/>
      <c r="E91" s="491"/>
      <c r="F91" s="491"/>
      <c r="G91" s="491"/>
      <c r="H91" s="493"/>
      <c r="I91" s="493"/>
      <c r="J91" s="493"/>
      <c r="K91" s="493"/>
      <c r="L91" s="493"/>
      <c r="M91" s="494"/>
      <c r="N91" s="880"/>
      <c r="O91" s="880"/>
      <c r="P91" s="1774"/>
      <c r="Q91" s="490"/>
    </row>
    <row r="92" spans="1:17" ht="14.4" thickTop="1">
      <c r="A92" s="367"/>
      <c r="B92" s="469">
        <f>B28</f>
        <v>111</v>
      </c>
      <c r="C92" s="485"/>
      <c r="D92" s="485"/>
      <c r="E92" s="485"/>
      <c r="F92" s="485"/>
      <c r="G92" s="513"/>
      <c r="H92" s="513"/>
      <c r="I92" s="513"/>
      <c r="J92" s="513"/>
      <c r="K92" s="514"/>
      <c r="L92" s="515"/>
      <c r="M92" s="516"/>
      <c r="N92" s="878"/>
      <c r="O92" s="878"/>
      <c r="P92" s="1773"/>
      <c r="Q92" s="439"/>
    </row>
    <row r="93" spans="1:17" ht="14.4" thickBot="1">
      <c r="A93" s="367"/>
      <c r="B93" s="474"/>
      <c r="C93" s="491"/>
      <c r="D93" s="467"/>
      <c r="E93" s="467"/>
      <c r="F93" s="467"/>
      <c r="G93" s="467"/>
      <c r="H93" s="467"/>
      <c r="I93" s="467"/>
      <c r="J93" s="467"/>
      <c r="K93" s="467"/>
      <c r="L93" s="467"/>
      <c r="M93" s="468"/>
      <c r="N93" s="879"/>
      <c r="O93" s="879"/>
      <c r="P93" s="1773"/>
      <c r="Q93" s="439"/>
    </row>
    <row r="94" spans="1:17" ht="14.4" thickTop="1">
      <c r="A94" s="367"/>
      <c r="B94" s="469">
        <f>B29</f>
        <v>111</v>
      </c>
      <c r="C94" s="485"/>
      <c r="D94" s="485"/>
      <c r="E94" s="485"/>
      <c r="F94" s="485"/>
      <c r="G94" s="513"/>
      <c r="H94" s="513"/>
      <c r="I94" s="513"/>
      <c r="J94" s="513"/>
      <c r="K94" s="514"/>
      <c r="L94" s="515"/>
      <c r="M94" s="516"/>
      <c r="N94" s="878"/>
      <c r="O94" s="878"/>
      <c r="P94" s="1773"/>
      <c r="Q94" s="439"/>
    </row>
    <row r="95" spans="1:17" ht="14.4" thickBot="1">
      <c r="A95" s="367"/>
      <c r="B95" s="474"/>
      <c r="C95" s="491"/>
      <c r="D95" s="491"/>
      <c r="E95" s="491"/>
      <c r="F95" s="491"/>
      <c r="G95" s="467"/>
      <c r="H95" s="467"/>
      <c r="I95" s="467"/>
      <c r="J95" s="467"/>
      <c r="K95" s="467"/>
      <c r="L95" s="467"/>
      <c r="M95" s="468"/>
      <c r="N95" s="879"/>
      <c r="O95" s="879"/>
      <c r="P95" s="1773"/>
      <c r="Q95" s="439"/>
    </row>
    <row r="96" spans="1:17" ht="14.4" thickTop="1">
      <c r="A96" s="367"/>
      <c r="B96" s="469">
        <f>B30</f>
        <v>111</v>
      </c>
      <c r="C96" s="485"/>
      <c r="D96" s="485"/>
      <c r="E96" s="485"/>
      <c r="F96" s="485"/>
      <c r="G96" s="513"/>
      <c r="H96" s="513"/>
      <c r="I96" s="513"/>
      <c r="J96" s="513"/>
      <c r="K96" s="514"/>
      <c r="L96" s="515"/>
      <c r="M96" s="516"/>
      <c r="N96" s="878"/>
      <c r="O96" s="878"/>
      <c r="P96" s="1773"/>
      <c r="Q96" s="439"/>
    </row>
    <row r="97" spans="1:17" ht="14.4" thickBot="1">
      <c r="A97" s="367"/>
      <c r="B97" s="474"/>
      <c r="C97" s="501"/>
      <c r="D97" s="501"/>
      <c r="E97" s="501"/>
      <c r="F97" s="501"/>
      <c r="G97" s="467"/>
      <c r="H97" s="467"/>
      <c r="I97" s="467"/>
      <c r="J97" s="467"/>
      <c r="K97" s="467"/>
      <c r="L97" s="467"/>
      <c r="M97" s="468"/>
      <c r="N97" s="879"/>
      <c r="O97" s="879"/>
      <c r="P97" s="1773"/>
      <c r="Q97" s="439"/>
    </row>
    <row r="98" spans="1:17" ht="14.4" thickTop="1">
      <c r="A98" s="367"/>
      <c r="B98" s="477">
        <f>B31</f>
        <v>111</v>
      </c>
      <c r="C98" s="517"/>
      <c r="D98" s="517"/>
      <c r="E98" s="517"/>
      <c r="F98" s="517"/>
      <c r="G98" s="517"/>
      <c r="H98" s="517"/>
      <c r="I98" s="517"/>
      <c r="J98" s="517"/>
      <c r="K98" s="518"/>
      <c r="L98" s="519"/>
      <c r="M98" s="520"/>
      <c r="N98" s="878"/>
      <c r="O98" s="878"/>
      <c r="P98" s="1773"/>
      <c r="Q98" s="439"/>
    </row>
    <row r="99" spans="1:17" ht="14.4" thickBot="1">
      <c r="A99" s="375"/>
      <c r="B99" s="500"/>
      <c r="C99" s="521"/>
      <c r="D99" s="521"/>
      <c r="E99" s="521"/>
      <c r="F99" s="521"/>
      <c r="G99" s="521"/>
      <c r="H99" s="521"/>
      <c r="I99" s="521"/>
      <c r="J99" s="521"/>
      <c r="K99" s="521"/>
      <c r="L99" s="521"/>
      <c r="M99" s="522"/>
      <c r="N99" s="879"/>
      <c r="O99" s="879"/>
      <c r="P99" s="1773"/>
      <c r="Q99" s="439"/>
    </row>
    <row r="100" spans="1:17" ht="14.4">
      <c r="A100" s="379" t="s">
        <v>1694</v>
      </c>
      <c r="B100" s="460" t="s">
        <v>1736</v>
      </c>
      <c r="C100" s="462"/>
      <c r="D100" s="462"/>
      <c r="E100" s="462"/>
      <c r="F100" s="462"/>
      <c r="G100" s="462"/>
      <c r="H100" s="462"/>
      <c r="I100" s="462"/>
      <c r="J100" s="462"/>
      <c r="K100" s="463"/>
      <c r="L100" s="464"/>
      <c r="M100" s="465"/>
      <c r="N100" s="878"/>
      <c r="O100" s="878"/>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4.4"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4.4"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4.4" thickBot="1">
      <c r="A127" s="484"/>
      <c r="B127" s="474"/>
      <c r="C127" s="491"/>
      <c r="D127" s="467"/>
      <c r="E127" s="467"/>
      <c r="F127" s="467"/>
      <c r="G127" s="491"/>
      <c r="H127" s="493"/>
      <c r="I127" s="493"/>
      <c r="J127" s="493"/>
      <c r="K127" s="493"/>
      <c r="L127" s="493"/>
      <c r="M127" s="494"/>
      <c r="N127" s="880"/>
      <c r="O127" s="880"/>
      <c r="P127" s="1774"/>
      <c r="Q127" s="490"/>
    </row>
    <row r="128" spans="1:17" ht="14.4" thickTop="1">
      <c r="A128" s="409"/>
      <c r="B128" s="469">
        <f>B45</f>
        <v>111</v>
      </c>
      <c r="C128" s="485"/>
      <c r="D128" s="485"/>
      <c r="E128" s="485"/>
      <c r="F128" s="485"/>
      <c r="G128" s="513"/>
      <c r="H128" s="513"/>
      <c r="I128" s="513"/>
      <c r="J128" s="513"/>
      <c r="K128" s="514"/>
      <c r="L128" s="515"/>
      <c r="M128" s="516"/>
      <c r="N128" s="878"/>
      <c r="O128" s="878"/>
      <c r="P128" s="1773"/>
      <c r="Q128" s="439"/>
    </row>
    <row r="129" spans="1:17" ht="14.4" thickBot="1">
      <c r="A129" s="367"/>
      <c r="B129" s="474"/>
      <c r="C129" s="491"/>
      <c r="D129" s="491"/>
      <c r="E129" s="491"/>
      <c r="F129" s="491"/>
      <c r="G129" s="467"/>
      <c r="H129" s="467"/>
      <c r="I129" s="467"/>
      <c r="J129" s="467"/>
      <c r="K129" s="467"/>
      <c r="L129" s="467"/>
      <c r="M129" s="468"/>
      <c r="N129" s="879"/>
      <c r="O129" s="879"/>
      <c r="P129" s="1773"/>
      <c r="Q129" s="439"/>
    </row>
    <row r="130" spans="1:17" ht="14.4" thickTop="1">
      <c r="A130" s="409"/>
      <c r="B130" s="477">
        <f>B46</f>
        <v>111</v>
      </c>
      <c r="C130" s="485"/>
      <c r="D130" s="485"/>
      <c r="E130" s="485"/>
      <c r="F130" s="485"/>
      <c r="G130" s="517"/>
      <c r="H130" s="517"/>
      <c r="I130" s="517"/>
      <c r="J130" s="517"/>
      <c r="K130" s="31"/>
      <c r="L130" s="457"/>
      <c r="M130" s="520"/>
      <c r="N130" s="878"/>
      <c r="O130" s="878"/>
      <c r="P130" s="1773"/>
      <c r="Q130" s="439"/>
    </row>
    <row r="131" spans="1:17" ht="14.4"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6.2"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247.16</v>
      </c>
      <c r="E3" s="1803"/>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427" t="s">
        <v>1775</v>
      </c>
      <c r="Q4" s="3428"/>
      <c r="R4" s="3422" t="s">
        <v>1771</v>
      </c>
      <c r="S4" s="3423"/>
      <c r="T4" s="3422" t="s">
        <v>1772</v>
      </c>
      <c r="U4" s="3423"/>
      <c r="V4" s="3431" t="s">
        <v>1773</v>
      </c>
      <c r="W4" s="3431"/>
      <c r="X4" s="1807"/>
      <c r="Y4" s="3422" t="s">
        <v>1775</v>
      </c>
      <c r="Z4" s="3423"/>
      <c r="AA4" s="3421" t="s">
        <v>1771</v>
      </c>
      <c r="AB4" s="3421" t="s">
        <v>1772</v>
      </c>
      <c r="AC4" s="3424" t="s">
        <v>1773</v>
      </c>
    </row>
    <row r="5" spans="1:29">
      <c r="A5" s="348"/>
      <c r="B5" s="349"/>
      <c r="C5" s="3370" t="s">
        <v>1673</v>
      </c>
      <c r="D5" s="3367"/>
      <c r="E5" s="3364" t="s">
        <v>1674</v>
      </c>
      <c r="F5" s="3365"/>
      <c r="G5" s="3370" t="s">
        <v>1675</v>
      </c>
      <c r="H5" s="3367"/>
      <c r="I5" s="3370" t="s">
        <v>1676</v>
      </c>
      <c r="J5" s="3367"/>
      <c r="K5" s="537"/>
      <c r="L5" s="2483"/>
      <c r="M5" s="2484"/>
      <c r="N5" s="2484"/>
      <c r="O5" s="2484"/>
      <c r="P5" s="3429"/>
      <c r="Q5" s="3381"/>
      <c r="R5" s="3362"/>
      <c r="S5" s="3363"/>
      <c r="T5" s="3362"/>
      <c r="U5" s="3363"/>
      <c r="V5" s="3357"/>
      <c r="W5" s="3357"/>
      <c r="X5" s="1263"/>
      <c r="Y5" s="3362"/>
      <c r="Z5" s="3363"/>
      <c r="AA5" s="3355"/>
      <c r="AB5" s="3355"/>
      <c r="AC5" s="3425"/>
    </row>
    <row r="6" spans="1:29" ht="15" thickBot="1">
      <c r="A6" s="350"/>
      <c r="B6" s="351"/>
      <c r="C6" s="3368" t="s">
        <v>1677</v>
      </c>
      <c r="D6" s="3369"/>
      <c r="E6" s="3371" t="s">
        <v>1677</v>
      </c>
      <c r="F6" s="3372"/>
      <c r="G6" s="3368" t="s">
        <v>1677</v>
      </c>
      <c r="H6" s="3369"/>
      <c r="I6" s="3368" t="s">
        <v>1677</v>
      </c>
      <c r="J6" s="3369"/>
      <c r="K6" s="537" t="s">
        <v>1678</v>
      </c>
      <c r="L6" s="2483"/>
      <c r="M6" s="2484"/>
      <c r="N6" s="2484"/>
      <c r="O6" s="2484"/>
      <c r="P6" s="3430"/>
      <c r="Q6" s="3383"/>
      <c r="R6" s="3362"/>
      <c r="S6" s="3363"/>
      <c r="T6" s="3384"/>
      <c r="U6" s="3385"/>
      <c r="V6" s="3357"/>
      <c r="W6" s="3357"/>
      <c r="X6" s="1263"/>
      <c r="Y6" s="3384"/>
      <c r="Z6" s="3385"/>
      <c r="AA6" s="3356"/>
      <c r="AB6" s="3356"/>
      <c r="AC6" s="3426"/>
    </row>
    <row r="7" spans="1:29" s="102" customFormat="1" ht="15" thickBot="1">
      <c r="A7" s="352" t="s">
        <v>1679</v>
      </c>
      <c r="B7" s="353"/>
      <c r="C7" s="354">
        <f>'数据-取费表'!B2</f>
        <v>45638</v>
      </c>
      <c r="D7" s="355">
        <v>100</v>
      </c>
      <c r="E7" s="356"/>
      <c r="F7" s="357">
        <f>SUMIF(59:59,YEAR(E7)&amp;"-"&amp;MONTH(E7),60:60)</f>
        <v>0</v>
      </c>
      <c r="G7" s="356"/>
      <c r="H7" s="355">
        <f>SUMIF(59:59,YEAR(G7)&amp;"-"&amp;MONTH(G7),60:60)</f>
        <v>0</v>
      </c>
      <c r="I7" s="356"/>
      <c r="J7" s="355">
        <f>SUMIF(59:59,YEAR(I7)&amp;"-"&amp;MONTH(I7),60:60)</f>
        <v>0</v>
      </c>
      <c r="K7" s="38"/>
      <c r="L7" s="2485"/>
      <c r="M7" s="2437"/>
      <c r="N7" s="2437"/>
      <c r="O7" s="2437"/>
      <c r="P7" s="3432"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32" t="s">
        <v>1683</v>
      </c>
      <c r="Q8" s="3359"/>
      <c r="R8" s="663" t="s">
        <v>14</v>
      </c>
      <c r="S8" s="664">
        <f t="shared" si="0"/>
        <v>100</v>
      </c>
      <c r="T8" s="663" t="s">
        <v>14</v>
      </c>
      <c r="U8" s="664">
        <f t="shared" si="1"/>
        <v>100</v>
      </c>
      <c r="V8" s="663" t="s">
        <v>14</v>
      </c>
      <c r="W8" s="664">
        <f t="shared" si="2"/>
        <v>100</v>
      </c>
      <c r="X8" s="665"/>
      <c r="Y8" s="3358" t="s">
        <v>1683</v>
      </c>
      <c r="Z8" s="3359"/>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73"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801">
        <f t="shared" si="5"/>
        <v>1</v>
      </c>
    </row>
    <row r="10" spans="1:29" s="366" customFormat="1" ht="28.8">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6"/>
      <c r="M10" s="2487"/>
      <c r="N10" s="2487"/>
      <c r="O10" s="2487"/>
      <c r="P10" s="3373"/>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3"/>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7"/>
      <c r="N12" s="2437"/>
      <c r="O12" s="2437"/>
      <c r="P12" s="3373"/>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373"/>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801">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373"/>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801">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87" t="s">
        <v>1691</v>
      </c>
      <c r="Q15" s="1261" t="str">
        <f t="shared" si="6"/>
        <v>办公集聚程度</v>
      </c>
      <c r="R15" s="666" t="s">
        <v>14</v>
      </c>
      <c r="S15" s="667">
        <f t="shared" si="0"/>
        <v>100</v>
      </c>
      <c r="T15" s="666" t="s">
        <v>14</v>
      </c>
      <c r="U15" s="667">
        <f t="shared" si="1"/>
        <v>100</v>
      </c>
      <c r="V15" s="666" t="s">
        <v>14</v>
      </c>
      <c r="W15" s="667">
        <f t="shared" si="2"/>
        <v>100</v>
      </c>
      <c r="X15" s="1263"/>
      <c r="Y15" s="3389"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9"/>
      <c r="M16" s="2484"/>
      <c r="N16" s="2484"/>
      <c r="O16" s="2484"/>
      <c r="P16" s="3388"/>
      <c r="Q16" s="1261"/>
      <c r="R16" s="666"/>
      <c r="S16" s="667"/>
      <c r="T16" s="666"/>
      <c r="U16" s="667"/>
      <c r="V16" s="666"/>
      <c r="W16" s="667"/>
      <c r="X16" s="1263"/>
      <c r="Y16" s="3390"/>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88"/>
      <c r="Q17" s="1261" t="str">
        <f>B17</f>
        <v>交通便捷度</v>
      </c>
      <c r="R17" s="666" t="s">
        <v>14</v>
      </c>
      <c r="S17" s="667">
        <f>F17</f>
        <v>100</v>
      </c>
      <c r="T17" s="666" t="s">
        <v>14</v>
      </c>
      <c r="U17" s="667">
        <f>H17</f>
        <v>100</v>
      </c>
      <c r="V17" s="666" t="s">
        <v>14</v>
      </c>
      <c r="W17" s="667">
        <f>J17</f>
        <v>100</v>
      </c>
      <c r="X17" s="1263"/>
      <c r="Y17" s="3390"/>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9"/>
      <c r="M18" s="2484"/>
      <c r="N18" s="2484"/>
      <c r="O18" s="2484"/>
      <c r="P18" s="3388"/>
      <c r="Q18" s="1261"/>
      <c r="R18" s="666"/>
      <c r="S18" s="667"/>
      <c r="T18" s="666"/>
      <c r="U18" s="667"/>
      <c r="V18" s="666"/>
      <c r="W18" s="667"/>
      <c r="X18" s="1263"/>
      <c r="Y18" s="3390"/>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88"/>
      <c r="Q19" s="1261" t="str">
        <f>B19</f>
        <v>公共配套设施</v>
      </c>
      <c r="R19" s="666" t="s">
        <v>14</v>
      </c>
      <c r="S19" s="667">
        <f>F19</f>
        <v>100</v>
      </c>
      <c r="T19" s="666" t="s">
        <v>14</v>
      </c>
      <c r="U19" s="667">
        <f>H19</f>
        <v>100</v>
      </c>
      <c r="V19" s="666" t="s">
        <v>14</v>
      </c>
      <c r="W19" s="667">
        <f>J19</f>
        <v>100</v>
      </c>
      <c r="X19" s="1263"/>
      <c r="Y19" s="3390"/>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9"/>
      <c r="M20" s="2484"/>
      <c r="N20" s="2484"/>
      <c r="O20" s="2484"/>
      <c r="P20" s="3388"/>
      <c r="Q20" s="1261"/>
      <c r="R20" s="666"/>
      <c r="S20" s="667"/>
      <c r="T20" s="666"/>
      <c r="U20" s="667"/>
      <c r="V20" s="666"/>
      <c r="W20" s="667"/>
      <c r="X20" s="1263"/>
      <c r="Y20" s="3390"/>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88"/>
      <c r="Q21" s="1261" t="str">
        <f>B21</f>
        <v>基础设施水平</v>
      </c>
      <c r="R21" s="666" t="s">
        <v>14</v>
      </c>
      <c r="S21" s="667">
        <f>F21</f>
        <v>100</v>
      </c>
      <c r="T21" s="666" t="s">
        <v>14</v>
      </c>
      <c r="U21" s="667">
        <f>H21</f>
        <v>100</v>
      </c>
      <c r="V21" s="666" t="s">
        <v>14</v>
      </c>
      <c r="W21" s="667">
        <f>J21</f>
        <v>100</v>
      </c>
      <c r="X21" s="1263"/>
      <c r="Y21" s="3390"/>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3"/>
      <c r="L22" s="2489"/>
      <c r="M22" s="2484"/>
      <c r="N22" s="2484"/>
      <c r="O22" s="2484"/>
      <c r="P22" s="3388"/>
      <c r="Q22" s="1261"/>
      <c r="R22" s="666"/>
      <c r="S22" s="667"/>
      <c r="T22" s="666"/>
      <c r="U22" s="667"/>
      <c r="V22" s="666"/>
      <c r="W22" s="667"/>
      <c r="X22" s="1263"/>
      <c r="Y22" s="3390"/>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88"/>
      <c r="Q23" s="1261" t="str">
        <f>B23</f>
        <v>环境质量</v>
      </c>
      <c r="R23" s="666" t="s">
        <v>14</v>
      </c>
      <c r="S23" s="667">
        <f>F23</f>
        <v>100</v>
      </c>
      <c r="T23" s="666" t="s">
        <v>14</v>
      </c>
      <c r="U23" s="667">
        <f>H23</f>
        <v>100</v>
      </c>
      <c r="V23" s="666" t="s">
        <v>14</v>
      </c>
      <c r="W23" s="667">
        <f>J23</f>
        <v>100</v>
      </c>
      <c r="X23" s="1263"/>
      <c r="Y23" s="3390"/>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9"/>
      <c r="M24" s="2484"/>
      <c r="N24" s="2484"/>
      <c r="O24" s="2484"/>
      <c r="P24" s="3388"/>
      <c r="Q24" s="1261"/>
      <c r="R24" s="666"/>
      <c r="S24" s="667"/>
      <c r="T24" s="666"/>
      <c r="U24" s="667"/>
      <c r="V24" s="666"/>
      <c r="W24" s="667"/>
      <c r="X24" s="1263"/>
      <c r="Y24" s="3390"/>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388"/>
      <c r="Q25" s="1261" t="str">
        <f>B25</f>
        <v>毗邻道路的类型与等级</v>
      </c>
      <c r="R25" s="666" t="s">
        <v>14</v>
      </c>
      <c r="S25" s="667">
        <f>F25</f>
        <v>100</v>
      </c>
      <c r="T25" s="666" t="s">
        <v>14</v>
      </c>
      <c r="U25" s="667">
        <f>H25</f>
        <v>100</v>
      </c>
      <c r="V25" s="666" t="s">
        <v>14</v>
      </c>
      <c r="W25" s="667">
        <f>J25</f>
        <v>100</v>
      </c>
      <c r="X25" s="1263"/>
      <c r="Y25" s="3390"/>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9"/>
      <c r="M26" s="2484"/>
      <c r="N26" s="2484"/>
      <c r="O26" s="2484"/>
      <c r="P26" s="3388"/>
      <c r="Q26" s="1261"/>
      <c r="R26" s="666"/>
      <c r="S26" s="667"/>
      <c r="T26" s="666"/>
      <c r="U26" s="667"/>
      <c r="V26" s="666"/>
      <c r="W26" s="667"/>
      <c r="X26" s="1263"/>
      <c r="Y26" s="3390"/>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88"/>
      <c r="Q27" s="1261" t="str">
        <f t="shared" ref="Q27:Q47" si="11">B27</f>
        <v>楼层</v>
      </c>
      <c r="R27" s="666" t="s">
        <v>14</v>
      </c>
      <c r="S27" s="667">
        <f>F27</f>
        <v>100</v>
      </c>
      <c r="T27" s="666" t="s">
        <v>14</v>
      </c>
      <c r="U27" s="667">
        <f>H27</f>
        <v>100</v>
      </c>
      <c r="V27" s="666" t="s">
        <v>14</v>
      </c>
      <c r="W27" s="667">
        <f>J27</f>
        <v>100</v>
      </c>
      <c r="X27" s="1263"/>
      <c r="Y27" s="3390"/>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7"/>
      <c r="N28" s="2437"/>
      <c r="O28" s="2437"/>
      <c r="P28" s="3388"/>
      <c r="Q28" s="530" t="str">
        <f t="shared" si="11"/>
        <v>朝向</v>
      </c>
      <c r="R28" s="663" t="s">
        <v>14</v>
      </c>
      <c r="S28" s="664">
        <f>F28</f>
        <v>100</v>
      </c>
      <c r="T28" s="663" t="s">
        <v>14</v>
      </c>
      <c r="U28" s="664">
        <f>H28</f>
        <v>100</v>
      </c>
      <c r="V28" s="663" t="s">
        <v>14</v>
      </c>
      <c r="W28" s="664">
        <f>J28</f>
        <v>100</v>
      </c>
      <c r="X28" s="665"/>
      <c r="Y28" s="3390"/>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388"/>
      <c r="Q29" s="1261">
        <f t="shared" si="11"/>
        <v>111</v>
      </c>
      <c r="R29" s="666" t="s">
        <v>14</v>
      </c>
      <c r="S29" s="667">
        <f t="shared" ref="S29:S47" si="12">F29</f>
        <v>100</v>
      </c>
      <c r="T29" s="666" t="s">
        <v>14</v>
      </c>
      <c r="U29" s="667">
        <f t="shared" ref="U29:U47" si="13">H29</f>
        <v>100</v>
      </c>
      <c r="V29" s="666" t="s">
        <v>14</v>
      </c>
      <c r="W29" s="667">
        <f t="shared" ref="W29:W47" si="14">J29</f>
        <v>100</v>
      </c>
      <c r="X29" s="1263"/>
      <c r="Y29" s="3390"/>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388"/>
      <c r="Q30" s="1261">
        <f t="shared" si="11"/>
        <v>111</v>
      </c>
      <c r="R30" s="666" t="s">
        <v>14</v>
      </c>
      <c r="S30" s="667">
        <f t="shared" si="12"/>
        <v>100</v>
      </c>
      <c r="T30" s="666" t="s">
        <v>14</v>
      </c>
      <c r="U30" s="667">
        <f t="shared" si="13"/>
        <v>100</v>
      </c>
      <c r="V30" s="666" t="s">
        <v>14</v>
      </c>
      <c r="W30" s="667">
        <f t="shared" si="14"/>
        <v>100</v>
      </c>
      <c r="X30" s="1263"/>
      <c r="Y30" s="3390"/>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388"/>
      <c r="Q31" s="1261">
        <f t="shared" si="11"/>
        <v>111</v>
      </c>
      <c r="R31" s="666" t="s">
        <v>14</v>
      </c>
      <c r="S31" s="667">
        <f t="shared" si="12"/>
        <v>100</v>
      </c>
      <c r="T31" s="666" t="s">
        <v>14</v>
      </c>
      <c r="U31" s="667">
        <f t="shared" si="13"/>
        <v>100</v>
      </c>
      <c r="V31" s="666" t="s">
        <v>14</v>
      </c>
      <c r="W31" s="667">
        <f t="shared" si="14"/>
        <v>100</v>
      </c>
      <c r="X31" s="1263"/>
      <c r="Y31" s="3390"/>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388"/>
      <c r="Q32" s="1261">
        <f t="shared" si="11"/>
        <v>111</v>
      </c>
      <c r="R32" s="666" t="s">
        <v>14</v>
      </c>
      <c r="S32" s="667">
        <f t="shared" si="12"/>
        <v>100</v>
      </c>
      <c r="T32" s="666" t="s">
        <v>14</v>
      </c>
      <c r="U32" s="667">
        <f t="shared" si="13"/>
        <v>100</v>
      </c>
      <c r="V32" s="666" t="s">
        <v>14</v>
      </c>
      <c r="W32" s="667">
        <f t="shared" si="14"/>
        <v>100</v>
      </c>
      <c r="X32" s="1263"/>
      <c r="Y32" s="3390"/>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9"/>
      <c r="M33" s="2484"/>
      <c r="N33" s="2484"/>
      <c r="O33" s="2484"/>
      <c r="P33" s="3391" t="s">
        <v>1696</v>
      </c>
      <c r="Q33" s="1261" t="str">
        <f t="shared" si="11"/>
        <v>建筑类型</v>
      </c>
      <c r="R33" s="666" t="s">
        <v>14</v>
      </c>
      <c r="S33" s="667">
        <f t="shared" si="12"/>
        <v>100</v>
      </c>
      <c r="T33" s="666" t="s">
        <v>14</v>
      </c>
      <c r="U33" s="667">
        <f t="shared" si="13"/>
        <v>100</v>
      </c>
      <c r="V33" s="666" t="s">
        <v>14</v>
      </c>
      <c r="W33" s="667">
        <f t="shared" si="14"/>
        <v>100</v>
      </c>
      <c r="X33" s="1263"/>
      <c r="Y33" s="3394"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92"/>
      <c r="Q34" s="531" t="str">
        <f t="shared" si="11"/>
        <v>项目建筑规模</v>
      </c>
      <c r="R34" s="668" t="s">
        <v>14</v>
      </c>
      <c r="S34" s="669" t="e">
        <f t="shared" si="12"/>
        <v>#N/A</v>
      </c>
      <c r="T34" s="668" t="s">
        <v>14</v>
      </c>
      <c r="U34" s="669" t="e">
        <f t="shared" si="13"/>
        <v>#N/A</v>
      </c>
      <c r="V34" s="668" t="s">
        <v>14</v>
      </c>
      <c r="W34" s="669" t="e">
        <f t="shared" si="14"/>
        <v>#N/A</v>
      </c>
      <c r="X34" s="670"/>
      <c r="Y34" s="3394"/>
      <c r="Z34" s="671"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92"/>
      <c r="Q35" s="1261" t="str">
        <f t="shared" si="11"/>
        <v>建筑结构</v>
      </c>
      <c r="R35" s="666" t="s">
        <v>14</v>
      </c>
      <c r="S35" s="667">
        <f t="shared" si="12"/>
        <v>100</v>
      </c>
      <c r="T35" s="666" t="s">
        <v>14</v>
      </c>
      <c r="U35" s="667">
        <f t="shared" si="13"/>
        <v>100</v>
      </c>
      <c r="V35" s="666" t="s">
        <v>14</v>
      </c>
      <c r="W35" s="667">
        <f t="shared" si="14"/>
        <v>100</v>
      </c>
      <c r="X35" s="1263"/>
      <c r="Y35" s="3394"/>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92"/>
      <c r="Q36" s="1261" t="str">
        <f t="shared" si="11"/>
        <v>公共部分装修</v>
      </c>
      <c r="R36" s="666" t="s">
        <v>14</v>
      </c>
      <c r="S36" s="667">
        <f t="shared" si="12"/>
        <v>100</v>
      </c>
      <c r="T36" s="666" t="s">
        <v>14</v>
      </c>
      <c r="U36" s="667">
        <f t="shared" si="13"/>
        <v>100</v>
      </c>
      <c r="V36" s="666" t="s">
        <v>14</v>
      </c>
      <c r="W36" s="667">
        <f t="shared" si="14"/>
        <v>100</v>
      </c>
      <c r="X36" s="1263"/>
      <c r="Y36" s="3394"/>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92"/>
      <c r="Q37" s="1261" t="str">
        <f t="shared" si="11"/>
        <v>成新度</v>
      </c>
      <c r="R37" s="666" t="s">
        <v>14</v>
      </c>
      <c r="S37" s="667" t="e">
        <f t="shared" si="12"/>
        <v>#N/A</v>
      </c>
      <c r="T37" s="666" t="s">
        <v>14</v>
      </c>
      <c r="U37" s="667" t="e">
        <f t="shared" si="13"/>
        <v>#N/A</v>
      </c>
      <c r="V37" s="666" t="s">
        <v>14</v>
      </c>
      <c r="W37" s="667" t="e">
        <f t="shared" si="14"/>
        <v>#N/A</v>
      </c>
      <c r="X37" s="1263"/>
      <c r="Y37" s="3394"/>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392"/>
      <c r="Q38" s="530" t="str">
        <f t="shared" si="11"/>
        <v>写字楼等级</v>
      </c>
      <c r="R38" s="663" t="s">
        <v>14</v>
      </c>
      <c r="S38" s="664">
        <f t="shared" si="12"/>
        <v>100</v>
      </c>
      <c r="T38" s="663" t="s">
        <v>14</v>
      </c>
      <c r="U38" s="664">
        <f t="shared" si="13"/>
        <v>100</v>
      </c>
      <c r="V38" s="663" t="s">
        <v>14</v>
      </c>
      <c r="W38" s="664">
        <f t="shared" si="14"/>
        <v>100</v>
      </c>
      <c r="X38" s="665"/>
      <c r="Y38" s="339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92" t="s">
        <v>1696</v>
      </c>
      <c r="Q39" s="1261" t="str">
        <f t="shared" si="11"/>
        <v>物业管理</v>
      </c>
      <c r="R39" s="666" t="s">
        <v>14</v>
      </c>
      <c r="S39" s="667">
        <f t="shared" si="12"/>
        <v>100</v>
      </c>
      <c r="T39" s="666" t="s">
        <v>14</v>
      </c>
      <c r="U39" s="667">
        <f t="shared" si="13"/>
        <v>100</v>
      </c>
      <c r="V39" s="666" t="s">
        <v>14</v>
      </c>
      <c r="W39" s="667">
        <f t="shared" si="14"/>
        <v>100</v>
      </c>
      <c r="X39" s="1263"/>
      <c r="Y39" s="3394"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92"/>
      <c r="Q40" s="1261" t="str">
        <f t="shared" si="11"/>
        <v>市政基础设施</v>
      </c>
      <c r="R40" s="666" t="s">
        <v>14</v>
      </c>
      <c r="S40" s="667">
        <f t="shared" si="12"/>
        <v>100</v>
      </c>
      <c r="T40" s="666" t="s">
        <v>14</v>
      </c>
      <c r="U40" s="667">
        <f t="shared" si="13"/>
        <v>100</v>
      </c>
      <c r="V40" s="666" t="s">
        <v>14</v>
      </c>
      <c r="W40" s="667">
        <f t="shared" si="14"/>
        <v>100</v>
      </c>
      <c r="X40" s="1263"/>
      <c r="Y40" s="3394"/>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92"/>
      <c r="Q41" s="1261" t="str">
        <f t="shared" si="11"/>
        <v>层高</v>
      </c>
      <c r="R41" s="666" t="s">
        <v>14</v>
      </c>
      <c r="S41" s="667">
        <f t="shared" si="12"/>
        <v>100</v>
      </c>
      <c r="T41" s="666" t="s">
        <v>14</v>
      </c>
      <c r="U41" s="667">
        <f t="shared" si="13"/>
        <v>100</v>
      </c>
      <c r="V41" s="666" t="s">
        <v>14</v>
      </c>
      <c r="W41" s="667">
        <f t="shared" si="14"/>
        <v>100</v>
      </c>
      <c r="X41" s="1263"/>
      <c r="Y41" s="3394"/>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2"/>
      <c r="Q42" s="531" t="str">
        <f t="shared" si="11"/>
        <v>单套建筑面积</v>
      </c>
      <c r="R42" s="668" t="s">
        <v>14</v>
      </c>
      <c r="S42" s="669">
        <f t="shared" si="12"/>
        <v>100</v>
      </c>
      <c r="T42" s="668" t="s">
        <v>14</v>
      </c>
      <c r="U42" s="669">
        <f t="shared" si="13"/>
        <v>100</v>
      </c>
      <c r="V42" s="668" t="s">
        <v>14</v>
      </c>
      <c r="W42" s="669">
        <f t="shared" si="14"/>
        <v>100</v>
      </c>
      <c r="X42" s="670"/>
      <c r="Y42" s="3394"/>
      <c r="Z42" s="671"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92"/>
      <c r="Q43" s="1261" t="str">
        <f t="shared" si="11"/>
        <v>内部装修</v>
      </c>
      <c r="R43" s="666" t="s">
        <v>14</v>
      </c>
      <c r="S43" s="667">
        <f t="shared" si="12"/>
        <v>100</v>
      </c>
      <c r="T43" s="666" t="s">
        <v>14</v>
      </c>
      <c r="U43" s="667">
        <f t="shared" si="13"/>
        <v>100</v>
      </c>
      <c r="V43" s="666" t="s">
        <v>14</v>
      </c>
      <c r="W43" s="667">
        <f t="shared" si="14"/>
        <v>100</v>
      </c>
      <c r="X43" s="1263"/>
      <c r="Y43" s="3394"/>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9"/>
      <c r="M44" s="2484"/>
      <c r="N44" s="2484"/>
      <c r="O44" s="2484"/>
      <c r="P44" s="3392"/>
      <c r="Q44" s="1261" t="str">
        <f t="shared" si="11"/>
        <v>内部装修维护情况</v>
      </c>
      <c r="R44" s="666" t="s">
        <v>14</v>
      </c>
      <c r="S44" s="667">
        <f t="shared" si="12"/>
        <v>100</v>
      </c>
      <c r="T44" s="666" t="s">
        <v>14</v>
      </c>
      <c r="U44" s="667">
        <f t="shared" si="13"/>
        <v>100</v>
      </c>
      <c r="V44" s="666" t="s">
        <v>14</v>
      </c>
      <c r="W44" s="667">
        <f t="shared" si="14"/>
        <v>100</v>
      </c>
      <c r="X44" s="1263"/>
      <c r="Y44" s="3394"/>
      <c r="Z44" s="1262" t="str">
        <f t="shared" si="15"/>
        <v>内部装修维护情况</v>
      </c>
      <c r="AA44" s="1262">
        <f t="shared" si="3"/>
        <v>1</v>
      </c>
      <c r="AB44" s="1262">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92"/>
      <c r="Q45" s="530">
        <f t="shared" si="11"/>
        <v>111</v>
      </c>
      <c r="R45" s="663" t="s">
        <v>14</v>
      </c>
      <c r="S45" s="664">
        <f t="shared" si="12"/>
        <v>100</v>
      </c>
      <c r="T45" s="663" t="s">
        <v>14</v>
      </c>
      <c r="U45" s="664">
        <f t="shared" si="13"/>
        <v>100</v>
      </c>
      <c r="V45" s="663" t="s">
        <v>14</v>
      </c>
      <c r="W45" s="664">
        <f t="shared" si="14"/>
        <v>100</v>
      </c>
      <c r="X45" s="665"/>
      <c r="Y45" s="339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92"/>
      <c r="Q46" s="1261">
        <f t="shared" si="11"/>
        <v>111</v>
      </c>
      <c r="R46" s="666" t="s">
        <v>14</v>
      </c>
      <c r="S46" s="667">
        <f t="shared" si="12"/>
        <v>100</v>
      </c>
      <c r="T46" s="666" t="s">
        <v>14</v>
      </c>
      <c r="U46" s="667">
        <f t="shared" si="13"/>
        <v>100</v>
      </c>
      <c r="V46" s="666" t="s">
        <v>14</v>
      </c>
      <c r="W46" s="667">
        <f t="shared" si="14"/>
        <v>100</v>
      </c>
      <c r="X46" s="1263"/>
      <c r="Y46" s="3394"/>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93"/>
      <c r="Q47" s="1261">
        <f t="shared" si="11"/>
        <v>111</v>
      </c>
      <c r="R47" s="666" t="s">
        <v>14</v>
      </c>
      <c r="S47" s="667">
        <f t="shared" si="12"/>
        <v>100</v>
      </c>
      <c r="T47" s="666" t="s">
        <v>14</v>
      </c>
      <c r="U47" s="667">
        <f t="shared" si="13"/>
        <v>100</v>
      </c>
      <c r="V47" s="666" t="s">
        <v>14</v>
      </c>
      <c r="W47" s="667">
        <f t="shared" si="14"/>
        <v>100</v>
      </c>
      <c r="X47" s="1263"/>
      <c r="Y47" s="3395"/>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3"/>
      <c r="L48" s="2491"/>
      <c r="M48" s="2484"/>
      <c r="N48" s="2484"/>
      <c r="O48" s="2484"/>
      <c r="P48" s="3373" t="str">
        <f>A48</f>
        <v>成交单价（元/平方米）</v>
      </c>
      <c r="Q48" s="3396"/>
      <c r="R48" s="3357">
        <f>E48</f>
        <v>0</v>
      </c>
      <c r="S48" s="3357"/>
      <c r="T48" s="3357">
        <f>G48</f>
        <v>0</v>
      </c>
      <c r="U48" s="3357"/>
      <c r="V48" s="3357">
        <f>I48</f>
        <v>0</v>
      </c>
      <c r="W48" s="3357"/>
      <c r="X48" s="385"/>
      <c r="Y48" s="672"/>
      <c r="Z48" s="385"/>
      <c r="AA48" s="385"/>
      <c r="AB48" s="385"/>
      <c r="AC48" s="555"/>
    </row>
    <row r="49" spans="1:29" ht="15" thickBot="1">
      <c r="A49" s="423" t="s">
        <v>1793</v>
      </c>
      <c r="B49" s="424"/>
      <c r="C49" s="1080" t="e">
        <f>R50</f>
        <v>#DIV/0!</v>
      </c>
      <c r="D49" s="2139" t="s">
        <v>2136</v>
      </c>
      <c r="E49" s="1081" t="e">
        <f>R49</f>
        <v>#DIV/0!</v>
      </c>
      <c r="F49" s="2140"/>
      <c r="G49" s="1080" t="e">
        <f>T49</f>
        <v>#DIV/0!</v>
      </c>
      <c r="H49" s="2140"/>
      <c r="I49" s="1081" t="e">
        <f>V49</f>
        <v>#DIV/0!</v>
      </c>
      <c r="J49" s="2140"/>
      <c r="K49" s="2142">
        <f>F49+H49+J49</f>
        <v>0</v>
      </c>
      <c r="L49" s="2491"/>
      <c r="M49" s="2484"/>
      <c r="N49" s="2484"/>
      <c r="O49" s="2484"/>
      <c r="P49" s="3373" t="str">
        <f>A49</f>
        <v>比较价值（元/平方米）</v>
      </c>
      <c r="Q49" s="339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91"/>
      <c r="M50" s="2484"/>
      <c r="N50" s="2484"/>
      <c r="O50" s="2484"/>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4"/>
      <c r="Q59" s="2507"/>
      <c r="R59" s="2507"/>
      <c r="S59" s="2507"/>
      <c r="T59" s="2507"/>
      <c r="U59" s="2507"/>
      <c r="V59" s="2507"/>
      <c r="W59" s="2507"/>
      <c r="X59" s="2507"/>
      <c r="Y59" s="2507"/>
      <c r="Z59" s="2507"/>
      <c r="AA59" s="2507"/>
      <c r="AB59" s="2507"/>
      <c r="AC59" s="2507"/>
    </row>
    <row r="60" spans="1:29" s="102" customFormat="1">
      <c r="A60" s="443"/>
      <c r="B60" s="444"/>
      <c r="C60" s="1100">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8"/>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247.16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374" t="s">
        <v>1770</v>
      </c>
      <c r="D4" s="3375"/>
      <c r="E4" s="3376" t="s">
        <v>1771</v>
      </c>
      <c r="F4" s="3377"/>
      <c r="G4" s="3374" t="s">
        <v>1772</v>
      </c>
      <c r="H4" s="3375"/>
      <c r="I4" s="3374" t="s">
        <v>1773</v>
      </c>
      <c r="J4" s="3375"/>
      <c r="K4" s="537" t="s">
        <v>1774</v>
      </c>
      <c r="L4" s="859"/>
      <c r="M4" s="860"/>
      <c r="N4" s="860"/>
      <c r="O4" s="860"/>
      <c r="P4" s="3378" t="s">
        <v>1775</v>
      </c>
      <c r="Q4" s="3379"/>
      <c r="R4" s="3360" t="s">
        <v>1771</v>
      </c>
      <c r="S4" s="3361"/>
      <c r="T4" s="3360" t="s">
        <v>1772</v>
      </c>
      <c r="U4" s="3361"/>
      <c r="V4" s="3357" t="s">
        <v>1773</v>
      </c>
      <c r="W4" s="3357"/>
      <c r="X4" s="1263"/>
      <c r="Y4" s="3360" t="s">
        <v>1775</v>
      </c>
      <c r="Z4" s="3361"/>
      <c r="AA4" s="3354" t="s">
        <v>1771</v>
      </c>
      <c r="AB4" s="3355" t="s">
        <v>1772</v>
      </c>
      <c r="AC4" s="3354" t="s">
        <v>1773</v>
      </c>
    </row>
    <row r="5" spans="1:29">
      <c r="A5" s="348"/>
      <c r="B5" s="349"/>
      <c r="C5" s="3370" t="s">
        <v>1673</v>
      </c>
      <c r="D5" s="3367"/>
      <c r="E5" s="3364" t="s">
        <v>1674</v>
      </c>
      <c r="F5" s="3365"/>
      <c r="G5" s="3370" t="s">
        <v>1675</v>
      </c>
      <c r="H5" s="3367"/>
      <c r="I5" s="3370" t="s">
        <v>1676</v>
      </c>
      <c r="J5" s="3367"/>
      <c r="K5" s="537"/>
      <c r="L5" s="859"/>
      <c r="M5" s="860"/>
      <c r="N5" s="860"/>
      <c r="O5" s="860"/>
      <c r="P5" s="3380"/>
      <c r="Q5" s="3381"/>
      <c r="R5" s="3362"/>
      <c r="S5" s="3363"/>
      <c r="T5" s="3362"/>
      <c r="U5" s="3363"/>
      <c r="V5" s="3357"/>
      <c r="W5" s="3357"/>
      <c r="X5" s="1263"/>
      <c r="Y5" s="3362"/>
      <c r="Z5" s="3363"/>
      <c r="AA5" s="3355"/>
      <c r="AB5" s="3355"/>
      <c r="AC5" s="3355"/>
    </row>
    <row r="6" spans="1:29" ht="15" thickBot="1">
      <c r="A6" s="350"/>
      <c r="B6" s="351"/>
      <c r="C6" s="3368" t="s">
        <v>1677</v>
      </c>
      <c r="D6" s="3369"/>
      <c r="E6" s="3371" t="s">
        <v>1677</v>
      </c>
      <c r="F6" s="3372"/>
      <c r="G6" s="3368" t="s">
        <v>1677</v>
      </c>
      <c r="H6" s="3369"/>
      <c r="I6" s="3368" t="s">
        <v>1677</v>
      </c>
      <c r="J6" s="3369"/>
      <c r="K6" s="537" t="s">
        <v>1678</v>
      </c>
      <c r="L6" s="859"/>
      <c r="M6" s="860"/>
      <c r="N6" s="860"/>
      <c r="O6" s="860"/>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SUMIF(52:52,YEAR(E7)&amp;"-"&amp;MONTH(E7),53:53)</f>
        <v>0</v>
      </c>
      <c r="G7" s="356"/>
      <c r="H7" s="355">
        <f>SUMIF(52:52,YEAR(G7)&amp;"-"&amp;MONTH(G7),53:53)</f>
        <v>0</v>
      </c>
      <c r="I7" s="356"/>
      <c r="J7" s="355">
        <f>SUMIF(52:52,YEAR(I7)&amp;"-"&amp;MONTH(I7),53:53)</f>
        <v>0</v>
      </c>
      <c r="K7" s="38"/>
      <c r="L7" s="861"/>
      <c r="M7" s="862"/>
      <c r="N7" s="862"/>
      <c r="O7" s="862"/>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58" t="s">
        <v>1683</v>
      </c>
      <c r="Q8" s="3359"/>
      <c r="R8" s="663" t="s">
        <v>14</v>
      </c>
      <c r="S8" s="664">
        <f t="shared" si="0"/>
        <v>100</v>
      </c>
      <c r="T8" s="663" t="s">
        <v>14</v>
      </c>
      <c r="U8" s="664">
        <f t="shared" si="1"/>
        <v>100</v>
      </c>
      <c r="V8" s="663" t="s">
        <v>14</v>
      </c>
      <c r="W8" s="664">
        <f t="shared" si="2"/>
        <v>100</v>
      </c>
      <c r="X8" s="665"/>
      <c r="Y8" s="3358" t="s">
        <v>1683</v>
      </c>
      <c r="Z8" s="335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6"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4"/>
      <c r="M10" s="865"/>
      <c r="N10" s="865"/>
      <c r="O10" s="866"/>
      <c r="P10" s="3396"/>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6"/>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96"/>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96"/>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96"/>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9" t="s">
        <v>1691</v>
      </c>
      <c r="Q15" s="1261" t="str">
        <f t="shared" si="6"/>
        <v>产业集聚程度</v>
      </c>
      <c r="R15" s="666" t="s">
        <v>14</v>
      </c>
      <c r="S15" s="667">
        <f t="shared" si="0"/>
        <v>100</v>
      </c>
      <c r="T15" s="666" t="s">
        <v>14</v>
      </c>
      <c r="U15" s="667">
        <f t="shared" si="1"/>
        <v>100</v>
      </c>
      <c r="V15" s="666" t="s">
        <v>14</v>
      </c>
      <c r="W15" s="667">
        <f t="shared" si="2"/>
        <v>100</v>
      </c>
      <c r="X15" s="1263"/>
      <c r="Y15" s="3389"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90"/>
      <c r="Q16" s="1261"/>
      <c r="R16" s="666"/>
      <c r="S16" s="667"/>
      <c r="T16" s="666"/>
      <c r="U16" s="667"/>
      <c r="V16" s="666"/>
      <c r="W16" s="667"/>
      <c r="X16" s="1263"/>
      <c r="Y16" s="3390"/>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0"/>
      <c r="Q17" s="1261" t="str">
        <f>B17</f>
        <v>交通便捷度</v>
      </c>
      <c r="R17" s="666" t="s">
        <v>14</v>
      </c>
      <c r="S17" s="667">
        <f>F17</f>
        <v>100</v>
      </c>
      <c r="T17" s="666" t="s">
        <v>14</v>
      </c>
      <c r="U17" s="667">
        <f>H17</f>
        <v>100</v>
      </c>
      <c r="V17" s="666" t="s">
        <v>14</v>
      </c>
      <c r="W17" s="667">
        <f>J17</f>
        <v>100</v>
      </c>
      <c r="X17" s="1263"/>
      <c r="Y17" s="3390"/>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90"/>
      <c r="Q18" s="1261"/>
      <c r="R18" s="666"/>
      <c r="S18" s="667"/>
      <c r="T18" s="666"/>
      <c r="U18" s="667"/>
      <c r="V18" s="666"/>
      <c r="W18" s="667"/>
      <c r="X18" s="1263"/>
      <c r="Y18" s="3390"/>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0"/>
      <c r="Q19" s="1261" t="str">
        <f>B19</f>
        <v>公共配套设施</v>
      </c>
      <c r="R19" s="666" t="s">
        <v>14</v>
      </c>
      <c r="S19" s="667">
        <f>F19</f>
        <v>100</v>
      </c>
      <c r="T19" s="666" t="s">
        <v>14</v>
      </c>
      <c r="U19" s="667">
        <f>H19</f>
        <v>100</v>
      </c>
      <c r="V19" s="666" t="s">
        <v>14</v>
      </c>
      <c r="W19" s="667">
        <f>J19</f>
        <v>100</v>
      </c>
      <c r="X19" s="1263"/>
      <c r="Y19" s="3390"/>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90"/>
      <c r="Q20" s="1261"/>
      <c r="R20" s="666"/>
      <c r="S20" s="667"/>
      <c r="T20" s="666"/>
      <c r="U20" s="667"/>
      <c r="V20" s="666"/>
      <c r="W20" s="667"/>
      <c r="X20" s="1263"/>
      <c r="Y20" s="3390"/>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0"/>
      <c r="Q21" s="1261" t="str">
        <f>B21</f>
        <v>基础设施水平</v>
      </c>
      <c r="R21" s="666" t="s">
        <v>14</v>
      </c>
      <c r="S21" s="667">
        <f>F21</f>
        <v>100</v>
      </c>
      <c r="T21" s="666" t="s">
        <v>14</v>
      </c>
      <c r="U21" s="667">
        <f>H21</f>
        <v>100</v>
      </c>
      <c r="V21" s="666" t="s">
        <v>14</v>
      </c>
      <c r="W21" s="667">
        <f>J21</f>
        <v>100</v>
      </c>
      <c r="X21" s="1263"/>
      <c r="Y21" s="3390"/>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3"/>
      <c r="L22" s="869"/>
      <c r="M22" s="860"/>
      <c r="N22" s="860"/>
      <c r="O22" s="868"/>
      <c r="P22" s="3390"/>
      <c r="Q22" s="1261"/>
      <c r="R22" s="666"/>
      <c r="S22" s="667"/>
      <c r="T22" s="666"/>
      <c r="U22" s="667"/>
      <c r="V22" s="666"/>
      <c r="W22" s="667"/>
      <c r="X22" s="1263"/>
      <c r="Y22" s="3390"/>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0"/>
      <c r="Q23" s="1261" t="str">
        <f>B23</f>
        <v>环境质量</v>
      </c>
      <c r="R23" s="666" t="s">
        <v>14</v>
      </c>
      <c r="S23" s="667">
        <f>F23</f>
        <v>100</v>
      </c>
      <c r="T23" s="666" t="s">
        <v>14</v>
      </c>
      <c r="U23" s="667">
        <f>H23</f>
        <v>100</v>
      </c>
      <c r="V23" s="666" t="s">
        <v>14</v>
      </c>
      <c r="W23" s="667">
        <f>J23</f>
        <v>100</v>
      </c>
      <c r="X23" s="1263"/>
      <c r="Y23" s="3390"/>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390"/>
      <c r="Q24" s="1261"/>
      <c r="R24" s="666"/>
      <c r="S24" s="667"/>
      <c r="T24" s="666"/>
      <c r="U24" s="667"/>
      <c r="V24" s="666"/>
      <c r="W24" s="667"/>
      <c r="X24" s="1263"/>
      <c r="Y24" s="3390"/>
      <c r="Z24" s="1262"/>
      <c r="AA24" s="1262">
        <v>1</v>
      </c>
      <c r="AB24" s="1262">
        <v>1</v>
      </c>
      <c r="AC24" s="1262">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0"/>
      <c r="Q25" s="1261">
        <f>B25</f>
        <v>111</v>
      </c>
      <c r="R25" s="666" t="s">
        <v>14</v>
      </c>
      <c r="S25" s="667">
        <f>F25</f>
        <v>100</v>
      </c>
      <c r="T25" s="666" t="s">
        <v>14</v>
      </c>
      <c r="U25" s="667">
        <f>H25</f>
        <v>100</v>
      </c>
      <c r="V25" s="666" t="s">
        <v>14</v>
      </c>
      <c r="W25" s="667">
        <f>J25</f>
        <v>100</v>
      </c>
      <c r="X25" s="1263"/>
      <c r="Y25" s="3390"/>
      <c r="Z25" s="1262">
        <f>Q25</f>
        <v>111</v>
      </c>
      <c r="AA25" s="1262">
        <f t="shared" si="3"/>
        <v>1</v>
      </c>
      <c r="AB25" s="1262">
        <f t="shared" si="4"/>
        <v>1</v>
      </c>
      <c r="AC25" s="1262">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0"/>
      <c r="Q26" s="1261">
        <f t="shared" ref="Q26:Q40" si="11">B26</f>
        <v>111</v>
      </c>
      <c r="R26" s="666" t="s">
        <v>14</v>
      </c>
      <c r="S26" s="667">
        <f>F26</f>
        <v>100</v>
      </c>
      <c r="T26" s="666" t="s">
        <v>14</v>
      </c>
      <c r="U26" s="667">
        <f>H26</f>
        <v>100</v>
      </c>
      <c r="V26" s="666" t="s">
        <v>14</v>
      </c>
      <c r="W26" s="667">
        <f>J26</f>
        <v>100</v>
      </c>
      <c r="X26" s="1263"/>
      <c r="Y26" s="3390"/>
      <c r="Z26" s="1262">
        <f>Q26</f>
        <v>111</v>
      </c>
      <c r="AA26" s="1262">
        <f t="shared" si="3"/>
        <v>1</v>
      </c>
      <c r="AB26" s="1262">
        <f t="shared" si="4"/>
        <v>1</v>
      </c>
      <c r="AC26" s="1262">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0"/>
      <c r="Q27" s="530">
        <f t="shared" si="11"/>
        <v>111</v>
      </c>
      <c r="R27" s="663" t="s">
        <v>14</v>
      </c>
      <c r="S27" s="664">
        <f>F27</f>
        <v>100</v>
      </c>
      <c r="T27" s="663" t="s">
        <v>14</v>
      </c>
      <c r="U27" s="664">
        <f>H27</f>
        <v>100</v>
      </c>
      <c r="V27" s="663" t="s">
        <v>14</v>
      </c>
      <c r="W27" s="664">
        <f>J27</f>
        <v>100</v>
      </c>
      <c r="X27" s="665"/>
      <c r="Y27" s="3390"/>
      <c r="Z27" s="50">
        <f>Q27</f>
        <v>111</v>
      </c>
      <c r="AA27" s="1262">
        <f>D27/F27</f>
        <v>1</v>
      </c>
      <c r="AB27" s="1262">
        <f>D27/H27</f>
        <v>1</v>
      </c>
      <c r="AC27" s="1262">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0"/>
      <c r="Q28" s="1261">
        <f t="shared" si="11"/>
        <v>111</v>
      </c>
      <c r="R28" s="666" t="s">
        <v>14</v>
      </c>
      <c r="S28" s="667">
        <f t="shared" ref="S28:S40" si="12">F28</f>
        <v>100</v>
      </c>
      <c r="T28" s="666" t="s">
        <v>14</v>
      </c>
      <c r="U28" s="667">
        <f t="shared" ref="U28:U40" si="13">H28</f>
        <v>100</v>
      </c>
      <c r="V28" s="666" t="s">
        <v>14</v>
      </c>
      <c r="W28" s="667">
        <f t="shared" ref="W28:W40" si="14">J28</f>
        <v>100</v>
      </c>
      <c r="X28" s="1263"/>
      <c r="Y28" s="3390"/>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6" t="s">
        <v>1696</v>
      </c>
      <c r="Q29" s="1261" t="str">
        <f t="shared" si="11"/>
        <v>建筑类型</v>
      </c>
      <c r="R29" s="666" t="s">
        <v>14</v>
      </c>
      <c r="S29" s="667">
        <f t="shared" si="12"/>
        <v>100</v>
      </c>
      <c r="T29" s="666" t="s">
        <v>14</v>
      </c>
      <c r="U29" s="667">
        <f t="shared" si="13"/>
        <v>100</v>
      </c>
      <c r="V29" s="666" t="s">
        <v>14</v>
      </c>
      <c r="W29" s="667">
        <f t="shared" si="14"/>
        <v>100</v>
      </c>
      <c r="X29" s="1263"/>
      <c r="Y29" s="3394"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4"/>
      <c r="Q30" s="531" t="str">
        <f t="shared" si="11"/>
        <v>项目建筑规模</v>
      </c>
      <c r="R30" s="668" t="s">
        <v>14</v>
      </c>
      <c r="S30" s="669" t="e">
        <f t="shared" si="12"/>
        <v>#N/A</v>
      </c>
      <c r="T30" s="668" t="s">
        <v>14</v>
      </c>
      <c r="U30" s="669" t="e">
        <f t="shared" si="13"/>
        <v>#N/A</v>
      </c>
      <c r="V30" s="668" t="s">
        <v>14</v>
      </c>
      <c r="W30" s="669" t="e">
        <f t="shared" si="14"/>
        <v>#N/A</v>
      </c>
      <c r="X30" s="670"/>
      <c r="Y30" s="3394"/>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4"/>
      <c r="Q31" s="1261" t="str">
        <f t="shared" si="11"/>
        <v>建筑结构</v>
      </c>
      <c r="R31" s="666" t="s">
        <v>14</v>
      </c>
      <c r="S31" s="667">
        <f t="shared" si="12"/>
        <v>100</v>
      </c>
      <c r="T31" s="666" t="s">
        <v>14</v>
      </c>
      <c r="U31" s="667">
        <f t="shared" si="13"/>
        <v>100</v>
      </c>
      <c r="V31" s="666" t="s">
        <v>14</v>
      </c>
      <c r="W31" s="667">
        <f t="shared" si="14"/>
        <v>100</v>
      </c>
      <c r="X31" s="1263"/>
      <c r="Y31" s="3394"/>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4"/>
      <c r="Q32" s="1261" t="str">
        <f t="shared" si="11"/>
        <v>公共部分装修</v>
      </c>
      <c r="R32" s="666" t="s">
        <v>14</v>
      </c>
      <c r="S32" s="667">
        <f t="shared" si="12"/>
        <v>100</v>
      </c>
      <c r="T32" s="666" t="s">
        <v>14</v>
      </c>
      <c r="U32" s="667">
        <f t="shared" si="13"/>
        <v>100</v>
      </c>
      <c r="V32" s="666" t="s">
        <v>14</v>
      </c>
      <c r="W32" s="667">
        <f t="shared" si="14"/>
        <v>100</v>
      </c>
      <c r="X32" s="1263"/>
      <c r="Y32" s="3394"/>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4"/>
      <c r="Q33" s="1261" t="str">
        <f t="shared" si="11"/>
        <v>成新度</v>
      </c>
      <c r="R33" s="666" t="s">
        <v>14</v>
      </c>
      <c r="S33" s="667" t="e">
        <f t="shared" si="12"/>
        <v>#N/A</v>
      </c>
      <c r="T33" s="666" t="s">
        <v>14</v>
      </c>
      <c r="U33" s="667" t="e">
        <f t="shared" si="13"/>
        <v>#N/A</v>
      </c>
      <c r="V33" s="666" t="s">
        <v>14</v>
      </c>
      <c r="W33" s="667" t="e">
        <f t="shared" si="14"/>
        <v>#N/A</v>
      </c>
      <c r="X33" s="1263"/>
      <c r="Y33" s="3394"/>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4"/>
      <c r="Q34" s="530" t="str">
        <f t="shared" si="11"/>
        <v>物业管理</v>
      </c>
      <c r="R34" s="663" t="s">
        <v>14</v>
      </c>
      <c r="S34" s="664">
        <f t="shared" si="12"/>
        <v>100</v>
      </c>
      <c r="T34" s="663" t="s">
        <v>14</v>
      </c>
      <c r="U34" s="664">
        <f t="shared" si="13"/>
        <v>100</v>
      </c>
      <c r="V34" s="663" t="s">
        <v>14</v>
      </c>
      <c r="W34" s="664">
        <f t="shared" si="14"/>
        <v>100</v>
      </c>
      <c r="X34" s="665"/>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4" t="s">
        <v>1696</v>
      </c>
      <c r="Q35" s="1261" t="str">
        <f t="shared" si="11"/>
        <v>市政基础设施</v>
      </c>
      <c r="R35" s="666" t="s">
        <v>14</v>
      </c>
      <c r="S35" s="667">
        <f t="shared" si="12"/>
        <v>100</v>
      </c>
      <c r="T35" s="666" t="s">
        <v>14</v>
      </c>
      <c r="U35" s="667">
        <f t="shared" si="13"/>
        <v>100</v>
      </c>
      <c r="V35" s="666" t="s">
        <v>14</v>
      </c>
      <c r="W35" s="667">
        <f t="shared" si="14"/>
        <v>100</v>
      </c>
      <c r="X35" s="1263"/>
      <c r="Y35" s="3394"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4"/>
      <c r="Q36" s="1261" t="str">
        <f t="shared" si="11"/>
        <v>内部装修</v>
      </c>
      <c r="R36" s="666" t="s">
        <v>14</v>
      </c>
      <c r="S36" s="667">
        <f t="shared" si="12"/>
        <v>100</v>
      </c>
      <c r="T36" s="666" t="s">
        <v>14</v>
      </c>
      <c r="U36" s="667">
        <f t="shared" si="13"/>
        <v>100</v>
      </c>
      <c r="V36" s="666" t="s">
        <v>14</v>
      </c>
      <c r="W36" s="667">
        <f t="shared" si="14"/>
        <v>100</v>
      </c>
      <c r="X36" s="1263"/>
      <c r="Y36" s="3394"/>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4"/>
      <c r="Q37" s="1261" t="str">
        <f t="shared" si="11"/>
        <v>内部装修状况</v>
      </c>
      <c r="R37" s="666" t="s">
        <v>14</v>
      </c>
      <c r="S37" s="667">
        <f t="shared" si="12"/>
        <v>100</v>
      </c>
      <c r="T37" s="666" t="s">
        <v>14</v>
      </c>
      <c r="U37" s="667">
        <f t="shared" si="13"/>
        <v>100</v>
      </c>
      <c r="V37" s="666" t="s">
        <v>14</v>
      </c>
      <c r="W37" s="667">
        <f t="shared" si="14"/>
        <v>100</v>
      </c>
      <c r="X37" s="1263"/>
      <c r="Y37" s="3394"/>
      <c r="Z37" s="1262" t="str">
        <f t="shared" si="15"/>
        <v>内部装修状况</v>
      </c>
      <c r="AA37" s="1262">
        <f t="shared" si="3"/>
        <v>1</v>
      </c>
      <c r="AB37" s="1262">
        <f t="shared" si="4"/>
        <v>1</v>
      </c>
      <c r="AC37" s="1262">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4"/>
      <c r="Q38" s="531">
        <f t="shared" si="11"/>
        <v>111</v>
      </c>
      <c r="R38" s="668" t="s">
        <v>14</v>
      </c>
      <c r="S38" s="669">
        <f t="shared" si="12"/>
        <v>100</v>
      </c>
      <c r="T38" s="668" t="s">
        <v>14</v>
      </c>
      <c r="U38" s="669">
        <f t="shared" si="13"/>
        <v>100</v>
      </c>
      <c r="V38" s="668" t="s">
        <v>14</v>
      </c>
      <c r="W38" s="669">
        <f t="shared" si="14"/>
        <v>100</v>
      </c>
      <c r="X38" s="670"/>
      <c r="Y38" s="3394"/>
      <c r="Z38" s="671">
        <f t="shared" si="15"/>
        <v>111</v>
      </c>
      <c r="AA38" s="1262">
        <f t="shared" si="3"/>
        <v>1</v>
      </c>
      <c r="AB38" s="1262">
        <f t="shared" si="4"/>
        <v>1</v>
      </c>
      <c r="AC38" s="1262">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4"/>
      <c r="Q39" s="1261">
        <f t="shared" si="11"/>
        <v>111</v>
      </c>
      <c r="R39" s="666" t="s">
        <v>14</v>
      </c>
      <c r="S39" s="667">
        <f t="shared" si="12"/>
        <v>100</v>
      </c>
      <c r="T39" s="666" t="s">
        <v>14</v>
      </c>
      <c r="U39" s="667">
        <f t="shared" si="13"/>
        <v>100</v>
      </c>
      <c r="V39" s="666" t="s">
        <v>14</v>
      </c>
      <c r="W39" s="667">
        <f t="shared" si="14"/>
        <v>100</v>
      </c>
      <c r="X39" s="1263"/>
      <c r="Y39" s="3394"/>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5"/>
      <c r="Q40" s="1261">
        <f t="shared" si="11"/>
        <v>111</v>
      </c>
      <c r="R40" s="666" t="s">
        <v>14</v>
      </c>
      <c r="S40" s="667">
        <f t="shared" si="12"/>
        <v>100</v>
      </c>
      <c r="T40" s="666" t="s">
        <v>14</v>
      </c>
      <c r="U40" s="667">
        <f t="shared" si="13"/>
        <v>100</v>
      </c>
      <c r="V40" s="666" t="s">
        <v>14</v>
      </c>
      <c r="W40" s="667">
        <f t="shared" si="14"/>
        <v>100</v>
      </c>
      <c r="X40" s="1263"/>
      <c r="Y40" s="3395"/>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3"/>
      <c r="L41" s="872"/>
      <c r="M41" s="860"/>
      <c r="N41" s="860"/>
      <c r="O41" s="860"/>
      <c r="P41" s="3396" t="str">
        <f>A41</f>
        <v>成交单价（元/平方米）</v>
      </c>
      <c r="Q41" s="3396"/>
      <c r="R41" s="3357">
        <f>E41</f>
        <v>0</v>
      </c>
      <c r="S41" s="3357"/>
      <c r="T41" s="3357">
        <f>G41</f>
        <v>0</v>
      </c>
      <c r="U41" s="3357"/>
      <c r="V41" s="3357">
        <f>I41</f>
        <v>0</v>
      </c>
      <c r="W41" s="3357"/>
      <c r="X41" s="385"/>
      <c r="Y41" s="672"/>
      <c r="Z41" s="385"/>
      <c r="AA41" s="385"/>
      <c r="AB41" s="385"/>
      <c r="AC41" s="385"/>
    </row>
    <row r="42" spans="1:29" ht="15" thickBot="1">
      <c r="A42" s="423" t="s">
        <v>1793</v>
      </c>
      <c r="B42" s="424"/>
      <c r="C42" s="1080" t="e">
        <f>R43</f>
        <v>#DIV/0!</v>
      </c>
      <c r="D42" s="2139" t="s">
        <v>2136</v>
      </c>
      <c r="E42" s="1081" t="e">
        <f>R42</f>
        <v>#DIV/0!</v>
      </c>
      <c r="F42" s="2140"/>
      <c r="G42" s="1080" t="e">
        <f>T42</f>
        <v>#DIV/0!</v>
      </c>
      <c r="H42" s="2140"/>
      <c r="I42" s="1081" t="e">
        <f>V42</f>
        <v>#DIV/0!</v>
      </c>
      <c r="J42" s="2140"/>
      <c r="K42" s="2142">
        <f>F42+H42+J42</f>
        <v>0</v>
      </c>
      <c r="L42" s="872"/>
      <c r="M42" s="860"/>
      <c r="N42" s="860"/>
      <c r="O42" s="860"/>
      <c r="P42" s="3396" t="str">
        <f>A42</f>
        <v>比较价值（元/平方米）</v>
      </c>
      <c r="Q42" s="339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3333</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0"/>
      <c r="M2" s="2501"/>
      <c r="N2" s="2501"/>
      <c r="O2" s="2501"/>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5"/>
      <c r="AC3" s="662"/>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60" t="s">
        <v>1771</v>
      </c>
      <c r="S4" s="3361"/>
      <c r="T4" s="3360" t="s">
        <v>1772</v>
      </c>
      <c r="U4" s="3361"/>
      <c r="V4" s="3357" t="s">
        <v>1773</v>
      </c>
      <c r="W4" s="3357"/>
      <c r="X4" s="1263"/>
      <c r="Y4" s="3360" t="s">
        <v>1775</v>
      </c>
      <c r="Z4" s="3361"/>
      <c r="AA4" s="3354" t="s">
        <v>1771</v>
      </c>
      <c r="AB4" s="3355" t="s">
        <v>1772</v>
      </c>
      <c r="AC4" s="3354" t="s">
        <v>1773</v>
      </c>
    </row>
    <row r="5" spans="1:29">
      <c r="A5" s="348"/>
      <c r="B5" s="349"/>
      <c r="C5" s="3370" t="s">
        <v>1673</v>
      </c>
      <c r="D5" s="3367"/>
      <c r="E5" s="3364" t="s">
        <v>1674</v>
      </c>
      <c r="F5" s="3365"/>
      <c r="G5" s="3370" t="s">
        <v>1675</v>
      </c>
      <c r="H5" s="3367"/>
      <c r="I5" s="3370" t="s">
        <v>1676</v>
      </c>
      <c r="J5" s="3367"/>
      <c r="K5" s="537"/>
      <c r="L5" s="2483"/>
      <c r="M5" s="2484"/>
      <c r="N5" s="2484"/>
      <c r="O5" s="2484"/>
      <c r="P5" s="3380"/>
      <c r="Q5" s="3381"/>
      <c r="R5" s="3362"/>
      <c r="S5" s="3363"/>
      <c r="T5" s="3362"/>
      <c r="U5" s="3363"/>
      <c r="V5" s="3357"/>
      <c r="W5" s="3357"/>
      <c r="X5" s="1263"/>
      <c r="Y5" s="3362"/>
      <c r="Z5" s="3363"/>
      <c r="AA5" s="3355"/>
      <c r="AB5" s="3355"/>
      <c r="AC5" s="3355"/>
    </row>
    <row r="6" spans="1:29" ht="15" thickBot="1">
      <c r="A6" s="350"/>
      <c r="B6" s="351"/>
      <c r="C6" s="3368" t="s">
        <v>1677</v>
      </c>
      <c r="D6" s="3369"/>
      <c r="E6" s="3371" t="s">
        <v>1677</v>
      </c>
      <c r="F6" s="3372"/>
      <c r="G6" s="3368" t="s">
        <v>1677</v>
      </c>
      <c r="H6" s="3369"/>
      <c r="I6" s="3368" t="s">
        <v>1677</v>
      </c>
      <c r="J6" s="3369"/>
      <c r="K6" s="537" t="s">
        <v>1678</v>
      </c>
      <c r="L6" s="2483"/>
      <c r="M6" s="2484"/>
      <c r="N6" s="2484"/>
      <c r="O6" s="2484"/>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SUMIF(48:48,YEAR(E7)&amp;"-"&amp;MONTH(E7),49:49)</f>
        <v>0</v>
      </c>
      <c r="G7" s="356"/>
      <c r="H7" s="355">
        <f>SUMIF(48:48,YEAR(G7)&amp;"-"&amp;MONTH(G7),49:49)</f>
        <v>0</v>
      </c>
      <c r="I7" s="356"/>
      <c r="J7" s="355">
        <f>SUMIF(48:48,YEAR(I7)&amp;"-"&amp;MONTH(I7),49:49)</f>
        <v>0</v>
      </c>
      <c r="K7" s="38"/>
      <c r="L7" s="2485"/>
      <c r="M7" s="2437"/>
      <c r="N7" s="2437"/>
      <c r="O7" s="2437"/>
      <c r="P7" s="3358" t="s">
        <v>1680</v>
      </c>
      <c r="Q7" s="3386"/>
      <c r="R7" s="663" t="s">
        <v>14</v>
      </c>
      <c r="S7" s="664">
        <f t="shared" ref="S7:S14" si="0">F7</f>
        <v>0</v>
      </c>
      <c r="T7" s="663" t="s">
        <v>14</v>
      </c>
      <c r="U7" s="664">
        <f t="shared" ref="U7:U14" si="1">H7</f>
        <v>0</v>
      </c>
      <c r="V7" s="663" t="s">
        <v>14</v>
      </c>
      <c r="W7" s="664">
        <f t="shared" ref="W7:W14" si="2">J7</f>
        <v>0</v>
      </c>
      <c r="X7" s="665"/>
      <c r="Y7" s="3358" t="s">
        <v>1680</v>
      </c>
      <c r="Z7" s="335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58" t="s">
        <v>1683</v>
      </c>
      <c r="Q8" s="3359"/>
      <c r="R8" s="663" t="s">
        <v>14</v>
      </c>
      <c r="S8" s="664">
        <f t="shared" si="0"/>
        <v>100</v>
      </c>
      <c r="T8" s="663" t="s">
        <v>14</v>
      </c>
      <c r="U8" s="664">
        <f t="shared" si="1"/>
        <v>100</v>
      </c>
      <c r="V8" s="663" t="s">
        <v>14</v>
      </c>
      <c r="W8" s="664">
        <f t="shared" si="2"/>
        <v>100</v>
      </c>
      <c r="X8" s="665"/>
      <c r="Y8" s="3358" t="s">
        <v>1683</v>
      </c>
      <c r="Z8" s="335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96" t="s">
        <v>1686</v>
      </c>
      <c r="Q9" s="530" t="str">
        <f t="shared" ref="Q9:Q14" si="6">B9</f>
        <v>用途</v>
      </c>
      <c r="R9" s="663" t="s">
        <v>14</v>
      </c>
      <c r="S9" s="664">
        <f t="shared" si="0"/>
        <v>100</v>
      </c>
      <c r="T9" s="663" t="s">
        <v>14</v>
      </c>
      <c r="U9" s="664">
        <f t="shared" si="1"/>
        <v>100</v>
      </c>
      <c r="V9" s="663" t="s">
        <v>14</v>
      </c>
      <c r="W9" s="664">
        <f t="shared" si="2"/>
        <v>100</v>
      </c>
      <c r="X9" s="665"/>
      <c r="Y9" s="3322"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6"/>
      <c r="M10" s="2487"/>
      <c r="N10" s="2487"/>
      <c r="O10" s="2487"/>
      <c r="P10" s="3396"/>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96"/>
      <c r="Q11" s="530">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96"/>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96"/>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89" t="s">
        <v>1691</v>
      </c>
      <c r="Q14" s="1261" t="str">
        <f t="shared" si="6"/>
        <v>交通便捷度</v>
      </c>
      <c r="R14" s="666" t="s">
        <v>14</v>
      </c>
      <c r="S14" s="667">
        <f t="shared" si="0"/>
        <v>100</v>
      </c>
      <c r="T14" s="666" t="s">
        <v>14</v>
      </c>
      <c r="U14" s="667">
        <f t="shared" si="1"/>
        <v>100</v>
      </c>
      <c r="V14" s="666" t="s">
        <v>14</v>
      </c>
      <c r="W14" s="667">
        <f t="shared" si="2"/>
        <v>100</v>
      </c>
      <c r="X14" s="1263"/>
      <c r="Y14" s="3389"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9"/>
      <c r="M15" s="2484"/>
      <c r="N15" s="2484"/>
      <c r="O15" s="2484"/>
      <c r="P15" s="3390"/>
      <c r="Q15" s="1261"/>
      <c r="R15" s="666"/>
      <c r="S15" s="667"/>
      <c r="T15" s="666"/>
      <c r="U15" s="667"/>
      <c r="V15" s="666"/>
      <c r="W15" s="667"/>
      <c r="X15" s="1263"/>
      <c r="Y15" s="3390"/>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0"/>
      <c r="Q16" s="1261" t="str">
        <f>B16</f>
        <v>公共配套设施</v>
      </c>
      <c r="R16" s="666" t="s">
        <v>14</v>
      </c>
      <c r="S16" s="667">
        <f>F16</f>
        <v>100</v>
      </c>
      <c r="T16" s="666" t="s">
        <v>14</v>
      </c>
      <c r="U16" s="667">
        <f>H16</f>
        <v>100</v>
      </c>
      <c r="V16" s="666" t="s">
        <v>14</v>
      </c>
      <c r="W16" s="667">
        <f>J16</f>
        <v>100</v>
      </c>
      <c r="X16" s="1263"/>
      <c r="Y16" s="3390"/>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9"/>
      <c r="M17" s="2484"/>
      <c r="N17" s="2484"/>
      <c r="O17" s="2484"/>
      <c r="P17" s="3390"/>
      <c r="Q17" s="1261"/>
      <c r="R17" s="666"/>
      <c r="S17" s="667"/>
      <c r="T17" s="666"/>
      <c r="U17" s="667"/>
      <c r="V17" s="666"/>
      <c r="W17" s="667"/>
      <c r="X17" s="1263"/>
      <c r="Y17" s="3390"/>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0"/>
      <c r="Q18" s="1261" t="str">
        <f>B18</f>
        <v>基础设施水平</v>
      </c>
      <c r="R18" s="666" t="s">
        <v>14</v>
      </c>
      <c r="S18" s="667">
        <f>F18</f>
        <v>100</v>
      </c>
      <c r="T18" s="666" t="s">
        <v>14</v>
      </c>
      <c r="U18" s="667">
        <f>H18</f>
        <v>100</v>
      </c>
      <c r="V18" s="666" t="s">
        <v>14</v>
      </c>
      <c r="W18" s="667">
        <f>J18</f>
        <v>100</v>
      </c>
      <c r="X18" s="1263"/>
      <c r="Y18" s="3390"/>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3"/>
      <c r="L19" s="2489"/>
      <c r="M19" s="2484"/>
      <c r="N19" s="2484"/>
      <c r="O19" s="2484"/>
      <c r="P19" s="3390"/>
      <c r="Q19" s="1261"/>
      <c r="R19" s="666"/>
      <c r="S19" s="667"/>
      <c r="T19" s="666"/>
      <c r="U19" s="667"/>
      <c r="V19" s="666"/>
      <c r="W19" s="667"/>
      <c r="X19" s="1263"/>
      <c r="Y19" s="3390"/>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0"/>
      <c r="Q20" s="1261" t="str">
        <f>B20</f>
        <v>自然及人文环境</v>
      </c>
      <c r="R20" s="666" t="s">
        <v>14</v>
      </c>
      <c r="S20" s="667">
        <f>F20</f>
        <v>100</v>
      </c>
      <c r="T20" s="666" t="s">
        <v>14</v>
      </c>
      <c r="U20" s="667">
        <f>H20</f>
        <v>100</v>
      </c>
      <c r="V20" s="666" t="s">
        <v>14</v>
      </c>
      <c r="W20" s="667">
        <f>J20</f>
        <v>100</v>
      </c>
      <c r="X20" s="1263"/>
      <c r="Y20" s="3390"/>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9"/>
      <c r="M21" s="2484"/>
      <c r="N21" s="2484"/>
      <c r="O21" s="2484"/>
      <c r="P21" s="3390"/>
      <c r="Q21" s="1261"/>
      <c r="R21" s="666"/>
      <c r="S21" s="667"/>
      <c r="T21" s="666"/>
      <c r="U21" s="667"/>
      <c r="V21" s="666"/>
      <c r="W21" s="667"/>
      <c r="X21" s="1263"/>
      <c r="Y21" s="3390"/>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0"/>
      <c r="Q22" s="1261" t="str">
        <f>B22</f>
        <v>楼层</v>
      </c>
      <c r="R22" s="666" t="s">
        <v>14</v>
      </c>
      <c r="S22" s="667">
        <f>F22</f>
        <v>100</v>
      </c>
      <c r="T22" s="666" t="s">
        <v>14</v>
      </c>
      <c r="U22" s="667">
        <f>H22</f>
        <v>100</v>
      </c>
      <c r="V22" s="666" t="s">
        <v>14</v>
      </c>
      <c r="W22" s="667">
        <f>J22</f>
        <v>100</v>
      </c>
      <c r="X22" s="1263"/>
      <c r="Y22" s="3390"/>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0"/>
      <c r="Q23" s="1261">
        <f>B23</f>
        <v>111</v>
      </c>
      <c r="R23" s="666" t="s">
        <v>14</v>
      </c>
      <c r="S23" s="667">
        <f>F23</f>
        <v>100</v>
      </c>
      <c r="T23" s="666" t="s">
        <v>14</v>
      </c>
      <c r="U23" s="667">
        <f>H23</f>
        <v>100</v>
      </c>
      <c r="V23" s="666" t="s">
        <v>14</v>
      </c>
      <c r="W23" s="667">
        <f>J23</f>
        <v>100</v>
      </c>
      <c r="X23" s="1263"/>
      <c r="Y23" s="3390"/>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0"/>
      <c r="Q24" s="1261">
        <f t="shared" ref="Q24:Q36" si="11">B24</f>
        <v>111</v>
      </c>
      <c r="R24" s="666" t="s">
        <v>14</v>
      </c>
      <c r="S24" s="667">
        <f>F24</f>
        <v>100</v>
      </c>
      <c r="T24" s="666" t="s">
        <v>14</v>
      </c>
      <c r="U24" s="667">
        <f>H24</f>
        <v>100</v>
      </c>
      <c r="V24" s="666" t="s">
        <v>14</v>
      </c>
      <c r="W24" s="667">
        <f>J24</f>
        <v>100</v>
      </c>
      <c r="X24" s="1263"/>
      <c r="Y24" s="3390"/>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90"/>
      <c r="Q25" s="530">
        <f t="shared" si="11"/>
        <v>111</v>
      </c>
      <c r="R25" s="663" t="s">
        <v>14</v>
      </c>
      <c r="S25" s="664">
        <f>F25</f>
        <v>100</v>
      </c>
      <c r="T25" s="663" t="s">
        <v>14</v>
      </c>
      <c r="U25" s="664">
        <f>H25</f>
        <v>100</v>
      </c>
      <c r="V25" s="663" t="s">
        <v>14</v>
      </c>
      <c r="W25" s="664">
        <f>J25</f>
        <v>100</v>
      </c>
      <c r="X25" s="665"/>
      <c r="Y25" s="3390"/>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36"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94"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4"/>
      <c r="Q27" s="531" t="str">
        <f t="shared" si="11"/>
        <v>项目停车位配比</v>
      </c>
      <c r="R27" s="668" t="s">
        <v>14</v>
      </c>
      <c r="S27" s="669">
        <f t="shared" si="12"/>
        <v>100</v>
      </c>
      <c r="T27" s="668" t="s">
        <v>14</v>
      </c>
      <c r="U27" s="669">
        <f t="shared" si="13"/>
        <v>100</v>
      </c>
      <c r="V27" s="668" t="s">
        <v>14</v>
      </c>
      <c r="W27" s="669">
        <f t="shared" si="14"/>
        <v>100</v>
      </c>
      <c r="X27" s="670"/>
      <c r="Y27" s="3394"/>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4"/>
      <c r="Q28" s="1261" t="str">
        <f t="shared" si="11"/>
        <v>公共部分装修</v>
      </c>
      <c r="R28" s="666" t="s">
        <v>14</v>
      </c>
      <c r="S28" s="667">
        <f t="shared" si="12"/>
        <v>100</v>
      </c>
      <c r="T28" s="666" t="s">
        <v>14</v>
      </c>
      <c r="U28" s="667">
        <f t="shared" si="13"/>
        <v>100</v>
      </c>
      <c r="V28" s="666" t="s">
        <v>14</v>
      </c>
      <c r="W28" s="667">
        <f t="shared" si="14"/>
        <v>100</v>
      </c>
      <c r="X28" s="1263"/>
      <c r="Y28" s="3394"/>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4"/>
      <c r="Q29" s="1261" t="str">
        <f t="shared" si="11"/>
        <v>成新率</v>
      </c>
      <c r="R29" s="666" t="s">
        <v>14</v>
      </c>
      <c r="S29" s="667" t="e">
        <f t="shared" si="12"/>
        <v>#N/A</v>
      </c>
      <c r="T29" s="666" t="s">
        <v>14</v>
      </c>
      <c r="U29" s="667" t="e">
        <f t="shared" si="13"/>
        <v>#N/A</v>
      </c>
      <c r="V29" s="666" t="s">
        <v>14</v>
      </c>
      <c r="W29" s="667" t="e">
        <f t="shared" si="14"/>
        <v>#N/A</v>
      </c>
      <c r="X29" s="1263"/>
      <c r="Y29" s="3394"/>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4"/>
      <c r="Q30" s="1261" t="str">
        <f t="shared" si="11"/>
        <v>物业等级</v>
      </c>
      <c r="R30" s="666" t="s">
        <v>14</v>
      </c>
      <c r="S30" s="667">
        <f t="shared" si="12"/>
        <v>100</v>
      </c>
      <c r="T30" s="666" t="s">
        <v>14</v>
      </c>
      <c r="U30" s="667">
        <f t="shared" si="13"/>
        <v>100</v>
      </c>
      <c r="V30" s="666" t="s">
        <v>14</v>
      </c>
      <c r="W30" s="667">
        <f t="shared" si="14"/>
        <v>100</v>
      </c>
      <c r="X30" s="1263"/>
      <c r="Y30" s="3394"/>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94"/>
      <c r="Q31" s="530" t="str">
        <f t="shared" si="11"/>
        <v>停车位面积</v>
      </c>
      <c r="R31" s="663" t="s">
        <v>14</v>
      </c>
      <c r="S31" s="664" t="e">
        <f t="shared" si="12"/>
        <v>#N/A</v>
      </c>
      <c r="T31" s="663" t="s">
        <v>14</v>
      </c>
      <c r="U31" s="664" t="e">
        <f t="shared" si="13"/>
        <v>#N/A</v>
      </c>
      <c r="V31" s="663" t="s">
        <v>14</v>
      </c>
      <c r="W31" s="664" t="e">
        <f t="shared" si="14"/>
        <v>#N/A</v>
      </c>
      <c r="X31" s="665"/>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4" t="s">
        <v>1696</v>
      </c>
      <c r="Q32" s="1261" t="str">
        <f t="shared" si="11"/>
        <v>车位类型</v>
      </c>
      <c r="R32" s="666" t="s">
        <v>14</v>
      </c>
      <c r="S32" s="667">
        <f t="shared" si="12"/>
        <v>100</v>
      </c>
      <c r="T32" s="666" t="s">
        <v>14</v>
      </c>
      <c r="U32" s="667">
        <f t="shared" si="13"/>
        <v>100</v>
      </c>
      <c r="V32" s="666" t="s">
        <v>14</v>
      </c>
      <c r="W32" s="667">
        <f t="shared" si="14"/>
        <v>100</v>
      </c>
      <c r="X32" s="1263"/>
      <c r="Y32" s="3394"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4"/>
      <c r="Q33" s="1261" t="str">
        <f t="shared" si="11"/>
        <v>是否直接入户</v>
      </c>
      <c r="R33" s="666" t="s">
        <v>14</v>
      </c>
      <c r="S33" s="667">
        <f t="shared" si="12"/>
        <v>100</v>
      </c>
      <c r="T33" s="666" t="s">
        <v>14</v>
      </c>
      <c r="U33" s="667">
        <f t="shared" si="13"/>
        <v>100</v>
      </c>
      <c r="V33" s="666" t="s">
        <v>14</v>
      </c>
      <c r="W33" s="667">
        <f t="shared" si="14"/>
        <v>100</v>
      </c>
      <c r="X33" s="1263"/>
      <c r="Y33" s="3394"/>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4"/>
      <c r="Q34" s="1261">
        <f t="shared" si="11"/>
        <v>111</v>
      </c>
      <c r="R34" s="666" t="s">
        <v>14</v>
      </c>
      <c r="S34" s="667">
        <f t="shared" si="12"/>
        <v>100</v>
      </c>
      <c r="T34" s="666" t="s">
        <v>14</v>
      </c>
      <c r="U34" s="667">
        <f t="shared" si="13"/>
        <v>100</v>
      </c>
      <c r="V34" s="666" t="s">
        <v>14</v>
      </c>
      <c r="W34" s="667">
        <f t="shared" si="14"/>
        <v>100</v>
      </c>
      <c r="X34" s="1263"/>
      <c r="Y34" s="3394"/>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4"/>
      <c r="Q35" s="531">
        <f t="shared" si="11"/>
        <v>111</v>
      </c>
      <c r="R35" s="668" t="s">
        <v>14</v>
      </c>
      <c r="S35" s="669">
        <f t="shared" si="12"/>
        <v>100</v>
      </c>
      <c r="T35" s="668" t="s">
        <v>14</v>
      </c>
      <c r="U35" s="669">
        <f t="shared" si="13"/>
        <v>100</v>
      </c>
      <c r="V35" s="668" t="s">
        <v>14</v>
      </c>
      <c r="W35" s="669">
        <f t="shared" si="14"/>
        <v>100</v>
      </c>
      <c r="X35" s="670"/>
      <c r="Y35" s="3394"/>
      <c r="Z35" s="671">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4"/>
      <c r="Q36" s="1261">
        <f t="shared" si="11"/>
        <v>111</v>
      </c>
      <c r="R36" s="666" t="s">
        <v>14</v>
      </c>
      <c r="S36" s="667">
        <f t="shared" si="12"/>
        <v>100</v>
      </c>
      <c r="T36" s="666" t="s">
        <v>14</v>
      </c>
      <c r="U36" s="667">
        <f t="shared" si="13"/>
        <v>100</v>
      </c>
      <c r="V36" s="666" t="s">
        <v>14</v>
      </c>
      <c r="W36" s="667">
        <f t="shared" si="14"/>
        <v>100</v>
      </c>
      <c r="X36" s="1263"/>
      <c r="Y36" s="3394"/>
      <c r="Z36" s="1262">
        <f t="shared" si="15"/>
        <v>111</v>
      </c>
      <c r="AA36" s="1262">
        <f t="shared" si="3"/>
        <v>1</v>
      </c>
      <c r="AB36" s="1262">
        <f t="shared" si="4"/>
        <v>1</v>
      </c>
      <c r="AC36" s="1262">
        <f t="shared" si="5"/>
        <v>1</v>
      </c>
    </row>
    <row r="37" spans="1:29" ht="14.4">
      <c r="A37" s="416" t="s">
        <v>1844</v>
      </c>
      <c r="B37" s="1819" t="s">
        <v>3353</v>
      </c>
      <c r="C37" s="1079" t="s">
        <v>0</v>
      </c>
      <c r="D37" s="418"/>
      <c r="E37" s="419"/>
      <c r="F37" s="420"/>
      <c r="G37" s="421"/>
      <c r="H37" s="422"/>
      <c r="I37" s="419"/>
      <c r="J37" s="422"/>
      <c r="K37" s="545"/>
      <c r="L37" s="2491"/>
      <c r="M37" s="2484"/>
      <c r="N37" s="2484"/>
      <c r="O37" s="2484"/>
      <c r="P37" s="3396" t="str">
        <f>A37</f>
        <v>成交单价</v>
      </c>
      <c r="Q37" s="3396"/>
      <c r="R37" s="3357">
        <f>E37</f>
        <v>0</v>
      </c>
      <c r="S37" s="3357"/>
      <c r="T37" s="3357">
        <f>G37</f>
        <v>0</v>
      </c>
      <c r="U37" s="3357"/>
      <c r="V37" s="3357">
        <f>I37</f>
        <v>0</v>
      </c>
      <c r="W37" s="3357"/>
      <c r="X37" s="385"/>
      <c r="Y37" s="672"/>
      <c r="Z37" s="385"/>
      <c r="AA37" s="385"/>
      <c r="AB37" s="385"/>
      <c r="AC37" s="385"/>
    </row>
    <row r="38" spans="1:29" ht="15" thickBot="1">
      <c r="A38" s="423" t="s">
        <v>1845</v>
      </c>
      <c r="B38" s="424" t="str">
        <f>B37</f>
        <v>元/平方米</v>
      </c>
      <c r="C38" s="1080" t="e">
        <f>R39</f>
        <v>#DIV/0!</v>
      </c>
      <c r="D38" s="2139" t="s">
        <v>2136</v>
      </c>
      <c r="E38" s="1081" t="e">
        <f>R38</f>
        <v>#DIV/0!</v>
      </c>
      <c r="F38" s="2140"/>
      <c r="G38" s="1080" t="e">
        <f>T38</f>
        <v>#DIV/0!</v>
      </c>
      <c r="H38" s="2140"/>
      <c r="I38" s="1081" t="e">
        <f>V38</f>
        <v>#DIV/0!</v>
      </c>
      <c r="J38" s="2140"/>
      <c r="K38" s="2142">
        <f>F38+H38+J38</f>
        <v>0</v>
      </c>
      <c r="L38" s="2491"/>
      <c r="M38" s="2484"/>
      <c r="N38" s="2484"/>
      <c r="O38" s="2484"/>
      <c r="P38" s="3396" t="str">
        <f>A38</f>
        <v>比较价值（元/平方米）</v>
      </c>
      <c r="Q38" s="339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397" t="str">
        <f>A39</f>
        <v>估价对象XX用房的比较价值（楼面单价，元/平方米）</v>
      </c>
      <c r="Q39" s="3398"/>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5" t="s">
        <v>1850</v>
      </c>
      <c r="B47" s="860"/>
      <c r="C47" s="885"/>
      <c r="D47" s="885"/>
      <c r="E47" s="885"/>
      <c r="F47" s="1086"/>
      <c r="G47" s="1086"/>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4"/>
      <c r="Q48" s="2507"/>
      <c r="R48" s="2507"/>
      <c r="S48" s="2507"/>
      <c r="T48" s="2507"/>
      <c r="U48" s="2507"/>
      <c r="V48" s="2507"/>
      <c r="W48" s="2507"/>
      <c r="X48" s="2507"/>
      <c r="Y48" s="2507"/>
      <c r="Z48" s="2507"/>
      <c r="AA48" s="2507"/>
      <c r="AB48" s="2507"/>
      <c r="AC48" s="2507"/>
    </row>
    <row r="49" spans="1:29" s="102" customFormat="1">
      <c r="A49" s="443"/>
      <c r="B49" s="444"/>
      <c r="C49" s="1095">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受贵公司委托，我公司对北京市朝阳区天畅园6号楼2层等8套房地产抵押价值进行了预评估。</v>
      </c>
    </row>
    <row r="5" spans="1:1" ht="17.399999999999999">
      <c r="A5" s="1381" t="s">
        <v>899</v>
      </c>
    </row>
    <row r="6" spans="1:1" ht="17.399999999999999">
      <c r="A6" s="1382" t="s">
        <v>900</v>
      </c>
    </row>
    <row r="7" spans="1:1" ht="87">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1" ht="54.6">
      <c r="A8" s="1383" t="s">
        <v>901</v>
      </c>
    </row>
    <row r="9" spans="1:1" ht="17.399999999999999">
      <c r="A9" s="1382" t="s">
        <v>902</v>
      </c>
    </row>
    <row r="10" spans="1:1" ht="87">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2024年12月12日（评估专业人员实地查勘之日）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3334</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60" t="s">
        <v>1771</v>
      </c>
      <c r="S4" s="3361"/>
      <c r="T4" s="3360" t="s">
        <v>1772</v>
      </c>
      <c r="U4" s="3361"/>
      <c r="V4" s="3357" t="s">
        <v>1773</v>
      </c>
      <c r="W4" s="3357"/>
      <c r="X4" s="1263"/>
      <c r="Y4" s="3360" t="s">
        <v>1775</v>
      </c>
      <c r="Z4" s="3361"/>
      <c r="AA4" s="3354" t="s">
        <v>1771</v>
      </c>
      <c r="AB4" s="3355" t="s">
        <v>1772</v>
      </c>
      <c r="AC4" s="3354" t="s">
        <v>1773</v>
      </c>
    </row>
    <row r="5" spans="1:29">
      <c r="A5" s="348"/>
      <c r="B5" s="349"/>
      <c r="C5" s="3370" t="s">
        <v>1673</v>
      </c>
      <c r="D5" s="3367"/>
      <c r="E5" s="3364" t="s">
        <v>1674</v>
      </c>
      <c r="F5" s="3365"/>
      <c r="G5" s="3370" t="s">
        <v>1675</v>
      </c>
      <c r="H5" s="3367"/>
      <c r="I5" s="3370" t="s">
        <v>1676</v>
      </c>
      <c r="J5" s="3367"/>
      <c r="K5" s="537"/>
      <c r="L5" s="2483"/>
      <c r="M5" s="2484"/>
      <c r="N5" s="2484"/>
      <c r="O5" s="2484"/>
      <c r="P5" s="3380"/>
      <c r="Q5" s="3381"/>
      <c r="R5" s="3362"/>
      <c r="S5" s="3363"/>
      <c r="T5" s="3362"/>
      <c r="U5" s="3363"/>
      <c r="V5" s="3357"/>
      <c r="W5" s="3357"/>
      <c r="X5" s="1263"/>
      <c r="Y5" s="3362"/>
      <c r="Z5" s="3363"/>
      <c r="AA5" s="3355"/>
      <c r="AB5" s="3355"/>
      <c r="AC5" s="3355"/>
    </row>
    <row r="6" spans="1:29" ht="15" thickBot="1">
      <c r="A6" s="350"/>
      <c r="B6" s="351"/>
      <c r="C6" s="3368" t="s">
        <v>1677</v>
      </c>
      <c r="D6" s="3369"/>
      <c r="E6" s="3371" t="s">
        <v>1677</v>
      </c>
      <c r="F6" s="3372"/>
      <c r="G6" s="3368" t="s">
        <v>1677</v>
      </c>
      <c r="H6" s="3369"/>
      <c r="I6" s="3368" t="s">
        <v>1677</v>
      </c>
      <c r="J6" s="3369"/>
      <c r="K6" s="537" t="s">
        <v>1678</v>
      </c>
      <c r="L6" s="2483"/>
      <c r="M6" s="2484"/>
      <c r="N6" s="2484"/>
      <c r="O6" s="2484"/>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SUMIF(46:46,YEAR(E7)&amp;"-"&amp;MONTH(E7),47:47)</f>
        <v>0</v>
      </c>
      <c r="G7" s="1820"/>
      <c r="H7" s="355">
        <f>SUMIF(46:46,YEAR(G7)&amp;"-"&amp;MONTH(G7),47:47)</f>
        <v>0</v>
      </c>
      <c r="I7" s="356"/>
      <c r="J7" s="355">
        <f>SUMIF(46:46,YEAR(I7)&amp;"-"&amp;MONTH(I7),47:47)</f>
        <v>0</v>
      </c>
      <c r="K7" s="38"/>
      <c r="L7" s="2485"/>
      <c r="M7" s="2437"/>
      <c r="N7" s="2437"/>
      <c r="O7" s="2437"/>
      <c r="P7" s="3358" t="s">
        <v>1680</v>
      </c>
      <c r="Q7" s="3386"/>
      <c r="R7" s="663" t="s">
        <v>14</v>
      </c>
      <c r="S7" s="664">
        <f t="shared" ref="S7:S14" si="0">F7</f>
        <v>0</v>
      </c>
      <c r="T7" s="663" t="s">
        <v>14</v>
      </c>
      <c r="U7" s="664">
        <f t="shared" ref="U7:U14" si="1">H7</f>
        <v>0</v>
      </c>
      <c r="V7" s="663" t="s">
        <v>14</v>
      </c>
      <c r="W7" s="664">
        <f t="shared" ref="W7:W14" si="2">J7</f>
        <v>0</v>
      </c>
      <c r="X7" s="665"/>
      <c r="Y7" s="3358" t="s">
        <v>1680</v>
      </c>
      <c r="Z7" s="335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58" t="s">
        <v>1683</v>
      </c>
      <c r="Q8" s="3359"/>
      <c r="R8" s="663" t="s">
        <v>14</v>
      </c>
      <c r="S8" s="664">
        <f t="shared" si="0"/>
        <v>100</v>
      </c>
      <c r="T8" s="663" t="s">
        <v>14</v>
      </c>
      <c r="U8" s="664">
        <f t="shared" si="1"/>
        <v>100</v>
      </c>
      <c r="V8" s="663" t="s">
        <v>14</v>
      </c>
      <c r="W8" s="664">
        <f t="shared" si="2"/>
        <v>100</v>
      </c>
      <c r="X8" s="665"/>
      <c r="Y8" s="3358" t="s">
        <v>1683</v>
      </c>
      <c r="Z8" s="335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96" t="s">
        <v>1686</v>
      </c>
      <c r="Q9" s="530" t="str">
        <f t="shared" ref="Q9:Q14" si="6">B9</f>
        <v>用途</v>
      </c>
      <c r="R9" s="663" t="s">
        <v>14</v>
      </c>
      <c r="S9" s="664">
        <f t="shared" si="0"/>
        <v>100</v>
      </c>
      <c r="T9" s="663" t="s">
        <v>14</v>
      </c>
      <c r="U9" s="664">
        <f t="shared" si="1"/>
        <v>100</v>
      </c>
      <c r="V9" s="663" t="s">
        <v>14</v>
      </c>
      <c r="W9" s="664">
        <f t="shared" si="2"/>
        <v>100</v>
      </c>
      <c r="X9" s="665"/>
      <c r="Y9" s="3322"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6"/>
      <c r="M10" s="2487"/>
      <c r="N10" s="2487"/>
      <c r="O10" s="2538"/>
      <c r="P10" s="3396"/>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96"/>
      <c r="Q11" s="530">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96"/>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396"/>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89" t="s">
        <v>1691</v>
      </c>
      <c r="Q14" s="1261" t="str">
        <f t="shared" si="6"/>
        <v>交通便捷度</v>
      </c>
      <c r="R14" s="666" t="s">
        <v>14</v>
      </c>
      <c r="S14" s="667">
        <f t="shared" si="0"/>
        <v>100</v>
      </c>
      <c r="T14" s="666" t="s">
        <v>14</v>
      </c>
      <c r="U14" s="667">
        <f t="shared" si="1"/>
        <v>100</v>
      </c>
      <c r="V14" s="666" t="s">
        <v>14</v>
      </c>
      <c r="W14" s="667">
        <f t="shared" si="2"/>
        <v>100</v>
      </c>
      <c r="X14" s="1263"/>
      <c r="Y14" s="3389"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9"/>
      <c r="M15" s="2484"/>
      <c r="N15" s="2484"/>
      <c r="O15" s="2539"/>
      <c r="P15" s="3390"/>
      <c r="Q15" s="1261"/>
      <c r="R15" s="666"/>
      <c r="S15" s="667"/>
      <c r="T15" s="666"/>
      <c r="U15" s="667"/>
      <c r="V15" s="666"/>
      <c r="W15" s="667"/>
      <c r="X15" s="1263"/>
      <c r="Y15" s="3390"/>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0"/>
      <c r="Q16" s="1261" t="str">
        <f>B16</f>
        <v>公共配套设施</v>
      </c>
      <c r="R16" s="666" t="s">
        <v>14</v>
      </c>
      <c r="S16" s="667">
        <f>F16</f>
        <v>100</v>
      </c>
      <c r="T16" s="666" t="s">
        <v>14</v>
      </c>
      <c r="U16" s="667">
        <f>H16</f>
        <v>100</v>
      </c>
      <c r="V16" s="666" t="s">
        <v>14</v>
      </c>
      <c r="W16" s="667">
        <f>J16</f>
        <v>100</v>
      </c>
      <c r="X16" s="1263"/>
      <c r="Y16" s="3390"/>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9"/>
      <c r="M17" s="2484"/>
      <c r="N17" s="2484"/>
      <c r="O17" s="2539"/>
      <c r="P17" s="3390"/>
      <c r="Q17" s="1261"/>
      <c r="R17" s="666"/>
      <c r="S17" s="667"/>
      <c r="T17" s="666"/>
      <c r="U17" s="667"/>
      <c r="V17" s="666"/>
      <c r="W17" s="667"/>
      <c r="X17" s="1263"/>
      <c r="Y17" s="3390"/>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0"/>
      <c r="Q18" s="1261" t="str">
        <f>B18</f>
        <v>基础设施水平</v>
      </c>
      <c r="R18" s="666" t="s">
        <v>14</v>
      </c>
      <c r="S18" s="667">
        <f>F18</f>
        <v>100</v>
      </c>
      <c r="T18" s="666" t="s">
        <v>14</v>
      </c>
      <c r="U18" s="667">
        <f>H18</f>
        <v>100</v>
      </c>
      <c r="V18" s="666" t="s">
        <v>14</v>
      </c>
      <c r="W18" s="667">
        <f>J18</f>
        <v>100</v>
      </c>
      <c r="X18" s="1263"/>
      <c r="Y18" s="3390"/>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3"/>
      <c r="L19" s="2489"/>
      <c r="M19" s="2484"/>
      <c r="N19" s="2484"/>
      <c r="O19" s="2539"/>
      <c r="P19" s="3390"/>
      <c r="Q19" s="1261"/>
      <c r="R19" s="666"/>
      <c r="S19" s="667"/>
      <c r="T19" s="666"/>
      <c r="U19" s="667"/>
      <c r="V19" s="666"/>
      <c r="W19" s="667"/>
      <c r="X19" s="1263"/>
      <c r="Y19" s="3390"/>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0"/>
      <c r="Q20" s="1261" t="str">
        <f>B20</f>
        <v>自然及人文环境</v>
      </c>
      <c r="R20" s="666" t="s">
        <v>14</v>
      </c>
      <c r="S20" s="667">
        <f>F20</f>
        <v>100</v>
      </c>
      <c r="T20" s="666" t="s">
        <v>14</v>
      </c>
      <c r="U20" s="667">
        <f>H20</f>
        <v>100</v>
      </c>
      <c r="V20" s="666" t="s">
        <v>14</v>
      </c>
      <c r="W20" s="667">
        <f>J20</f>
        <v>100</v>
      </c>
      <c r="X20" s="1263"/>
      <c r="Y20" s="3390"/>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9"/>
      <c r="M21" s="2484"/>
      <c r="N21" s="2484"/>
      <c r="O21" s="2539"/>
      <c r="P21" s="3390"/>
      <c r="Q21" s="1261"/>
      <c r="R21" s="666"/>
      <c r="S21" s="667"/>
      <c r="T21" s="666"/>
      <c r="U21" s="667"/>
      <c r="V21" s="666"/>
      <c r="W21" s="667"/>
      <c r="X21" s="1263"/>
      <c r="Y21" s="3390"/>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0"/>
      <c r="Q22" s="1261" t="str">
        <f>B22</f>
        <v>楼层</v>
      </c>
      <c r="R22" s="666" t="s">
        <v>14</v>
      </c>
      <c r="S22" s="667">
        <f>F22</f>
        <v>100</v>
      </c>
      <c r="T22" s="666" t="s">
        <v>14</v>
      </c>
      <c r="U22" s="667">
        <f>H22</f>
        <v>100</v>
      </c>
      <c r="V22" s="666" t="s">
        <v>14</v>
      </c>
      <c r="W22" s="667">
        <f>J22</f>
        <v>100</v>
      </c>
      <c r="X22" s="1263"/>
      <c r="Y22" s="3390"/>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0"/>
      <c r="Q23" s="1261">
        <f>B23</f>
        <v>111</v>
      </c>
      <c r="R23" s="666" t="s">
        <v>14</v>
      </c>
      <c r="S23" s="667">
        <f>F23</f>
        <v>100</v>
      </c>
      <c r="T23" s="666" t="s">
        <v>14</v>
      </c>
      <c r="U23" s="667">
        <f>H23</f>
        <v>100</v>
      </c>
      <c r="V23" s="666" t="s">
        <v>14</v>
      </c>
      <c r="W23" s="667">
        <f>J23</f>
        <v>100</v>
      </c>
      <c r="X23" s="1263"/>
      <c r="Y23" s="3390"/>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0"/>
      <c r="Q24" s="1261">
        <f t="shared" ref="Q24:Q34" si="11">B24</f>
        <v>111</v>
      </c>
      <c r="R24" s="666" t="s">
        <v>14</v>
      </c>
      <c r="S24" s="667">
        <f>F24</f>
        <v>100</v>
      </c>
      <c r="T24" s="666" t="s">
        <v>14</v>
      </c>
      <c r="U24" s="667">
        <f>H24</f>
        <v>100</v>
      </c>
      <c r="V24" s="666" t="s">
        <v>14</v>
      </c>
      <c r="W24" s="667">
        <f>J24</f>
        <v>100</v>
      </c>
      <c r="X24" s="1263"/>
      <c r="Y24" s="3390"/>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7"/>
      <c r="N25" s="2437"/>
      <c r="O25" s="2537"/>
      <c r="P25" s="3390"/>
      <c r="Q25" s="530">
        <f t="shared" si="11"/>
        <v>111</v>
      </c>
      <c r="R25" s="663" t="s">
        <v>14</v>
      </c>
      <c r="S25" s="664">
        <f>F25</f>
        <v>100</v>
      </c>
      <c r="T25" s="663" t="s">
        <v>14</v>
      </c>
      <c r="U25" s="664">
        <f>H25</f>
        <v>100</v>
      </c>
      <c r="V25" s="663" t="s">
        <v>14</v>
      </c>
      <c r="W25" s="664">
        <f>J25</f>
        <v>100</v>
      </c>
      <c r="X25" s="665"/>
      <c r="Y25" s="3390"/>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436"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94"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94"/>
      <c r="Q27" s="531" t="str">
        <f t="shared" si="11"/>
        <v>成新率</v>
      </c>
      <c r="R27" s="668" t="s">
        <v>14</v>
      </c>
      <c r="S27" s="669" t="e">
        <f t="shared" si="12"/>
        <v>#N/A</v>
      </c>
      <c r="T27" s="668" t="s">
        <v>14</v>
      </c>
      <c r="U27" s="669" t="e">
        <f t="shared" si="13"/>
        <v>#N/A</v>
      </c>
      <c r="V27" s="668" t="s">
        <v>14</v>
      </c>
      <c r="W27" s="669" t="e">
        <f t="shared" si="14"/>
        <v>#N/A</v>
      </c>
      <c r="X27" s="670"/>
      <c r="Y27" s="3394"/>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94"/>
      <c r="Q28" s="1261" t="str">
        <f t="shared" si="11"/>
        <v>物业等级</v>
      </c>
      <c r="R28" s="666" t="s">
        <v>14</v>
      </c>
      <c r="S28" s="667">
        <f t="shared" si="12"/>
        <v>100</v>
      </c>
      <c r="T28" s="666" t="s">
        <v>14</v>
      </c>
      <c r="U28" s="667">
        <f t="shared" si="13"/>
        <v>100</v>
      </c>
      <c r="V28" s="666" t="s">
        <v>14</v>
      </c>
      <c r="W28" s="667">
        <f t="shared" si="14"/>
        <v>100</v>
      </c>
      <c r="X28" s="1263"/>
      <c r="Y28" s="3394"/>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94"/>
      <c r="Q29" s="1261" t="str">
        <f t="shared" si="11"/>
        <v>有无电梯</v>
      </c>
      <c r="R29" s="666" t="s">
        <v>14</v>
      </c>
      <c r="S29" s="667">
        <f t="shared" si="12"/>
        <v>100</v>
      </c>
      <c r="T29" s="666" t="s">
        <v>14</v>
      </c>
      <c r="U29" s="667">
        <f t="shared" si="13"/>
        <v>100</v>
      </c>
      <c r="V29" s="666" t="s">
        <v>14</v>
      </c>
      <c r="W29" s="667">
        <f t="shared" si="14"/>
        <v>100</v>
      </c>
      <c r="X29" s="1263"/>
      <c r="Y29" s="3394"/>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94"/>
      <c r="Q30" s="1261" t="str">
        <f t="shared" si="11"/>
        <v>建筑面积</v>
      </c>
      <c r="R30" s="666" t="s">
        <v>14</v>
      </c>
      <c r="S30" s="667" t="e">
        <f t="shared" si="12"/>
        <v>#N/A</v>
      </c>
      <c r="T30" s="666" t="s">
        <v>14</v>
      </c>
      <c r="U30" s="667" t="e">
        <f t="shared" si="13"/>
        <v>#N/A</v>
      </c>
      <c r="V30" s="666" t="s">
        <v>14</v>
      </c>
      <c r="W30" s="667" t="e">
        <f t="shared" si="14"/>
        <v>#N/A</v>
      </c>
      <c r="X30" s="1263"/>
      <c r="Y30" s="3394"/>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94"/>
      <c r="Q31" s="530" t="str">
        <f t="shared" si="11"/>
        <v>是否封闭</v>
      </c>
      <c r="R31" s="663" t="s">
        <v>14</v>
      </c>
      <c r="S31" s="664">
        <f t="shared" si="12"/>
        <v>100</v>
      </c>
      <c r="T31" s="663" t="s">
        <v>14</v>
      </c>
      <c r="U31" s="664">
        <f t="shared" si="13"/>
        <v>100</v>
      </c>
      <c r="V31" s="663" t="s">
        <v>14</v>
      </c>
      <c r="W31" s="664">
        <f t="shared" si="14"/>
        <v>100</v>
      </c>
      <c r="X31" s="665"/>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94" t="s">
        <v>1696</v>
      </c>
      <c r="Q32" s="1261">
        <f t="shared" si="11"/>
        <v>111</v>
      </c>
      <c r="R32" s="666" t="s">
        <v>14</v>
      </c>
      <c r="S32" s="667">
        <f t="shared" si="12"/>
        <v>100</v>
      </c>
      <c r="T32" s="666" t="s">
        <v>14</v>
      </c>
      <c r="U32" s="667">
        <f t="shared" si="13"/>
        <v>100</v>
      </c>
      <c r="V32" s="666" t="s">
        <v>14</v>
      </c>
      <c r="W32" s="667">
        <f t="shared" si="14"/>
        <v>100</v>
      </c>
      <c r="X32" s="1263"/>
      <c r="Y32" s="3394"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94"/>
      <c r="Q33" s="1261">
        <f t="shared" si="11"/>
        <v>111</v>
      </c>
      <c r="R33" s="666" t="s">
        <v>14</v>
      </c>
      <c r="S33" s="667">
        <f t="shared" si="12"/>
        <v>100</v>
      </c>
      <c r="T33" s="666" t="s">
        <v>14</v>
      </c>
      <c r="U33" s="667">
        <f t="shared" si="13"/>
        <v>100</v>
      </c>
      <c r="V33" s="666" t="s">
        <v>14</v>
      </c>
      <c r="W33" s="667">
        <f t="shared" si="14"/>
        <v>100</v>
      </c>
      <c r="X33" s="1263"/>
      <c r="Y33" s="3394"/>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394"/>
      <c r="Q34" s="1261">
        <f t="shared" si="11"/>
        <v>111</v>
      </c>
      <c r="R34" s="666" t="s">
        <v>14</v>
      </c>
      <c r="S34" s="667">
        <f t="shared" si="12"/>
        <v>100</v>
      </c>
      <c r="T34" s="666" t="s">
        <v>14</v>
      </c>
      <c r="U34" s="667">
        <f t="shared" si="13"/>
        <v>100</v>
      </c>
      <c r="V34" s="666" t="s">
        <v>14</v>
      </c>
      <c r="W34" s="667">
        <f t="shared" si="14"/>
        <v>100</v>
      </c>
      <c r="X34" s="1263"/>
      <c r="Y34" s="3394"/>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3"/>
      <c r="L35" s="2491"/>
      <c r="M35" s="2484"/>
      <c r="N35" s="2484"/>
      <c r="O35" s="2484"/>
      <c r="P35" s="3396" t="str">
        <f>A35</f>
        <v>成交单价（元/平方米）</v>
      </c>
      <c r="Q35" s="3396"/>
      <c r="R35" s="3357">
        <f>E35</f>
        <v>0</v>
      </c>
      <c r="S35" s="3357"/>
      <c r="T35" s="3357">
        <f>G35</f>
        <v>0</v>
      </c>
      <c r="U35" s="3357"/>
      <c r="V35" s="3357">
        <f>I35</f>
        <v>0</v>
      </c>
      <c r="W35" s="3357"/>
      <c r="X35" s="385"/>
      <c r="Y35" s="672"/>
      <c r="Z35" s="385"/>
      <c r="AA35" s="385"/>
      <c r="AB35" s="385"/>
      <c r="AC35" s="385"/>
    </row>
    <row r="36" spans="1:30" ht="15" thickBot="1">
      <c r="A36" s="423" t="s">
        <v>1793</v>
      </c>
      <c r="B36" s="424"/>
      <c r="C36" s="1080" t="e">
        <f>R37</f>
        <v>#DIV/0!</v>
      </c>
      <c r="D36" s="2139" t="s">
        <v>2136</v>
      </c>
      <c r="E36" s="1081" t="e">
        <f>R36</f>
        <v>#DIV/0!</v>
      </c>
      <c r="F36" s="2140"/>
      <c r="G36" s="1080" t="e">
        <f>T36</f>
        <v>#DIV/0!</v>
      </c>
      <c r="H36" s="2140"/>
      <c r="I36" s="1081" t="e">
        <f>V36</f>
        <v>#DIV/0!</v>
      </c>
      <c r="J36" s="2140"/>
      <c r="K36" s="2142">
        <f>F36+H36+J36</f>
        <v>0</v>
      </c>
      <c r="L36" s="2491"/>
      <c r="M36" s="2484"/>
      <c r="N36" s="2484"/>
      <c r="O36" s="2484"/>
      <c r="P36" s="3396" t="str">
        <f>A36</f>
        <v>比较价值（元/平方米）</v>
      </c>
      <c r="Q36" s="339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1"/>
      <c r="M37" s="2484"/>
      <c r="N37" s="2484"/>
      <c r="O37" s="2484"/>
      <c r="P37" s="3397" t="str">
        <f>A37</f>
        <v>估价对象XX用房的比较价值（楼面单价，元/平方米）</v>
      </c>
      <c r="Q37" s="3398"/>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7"/>
      <c r="Q46" s="2507"/>
      <c r="R46" s="2507"/>
      <c r="S46" s="2507"/>
      <c r="T46" s="2507"/>
      <c r="U46" s="2507"/>
      <c r="V46" s="2507"/>
      <c r="W46" s="2507"/>
      <c r="X46" s="2507"/>
      <c r="Y46" s="2507"/>
      <c r="Z46" s="2507"/>
      <c r="AA46" s="2507"/>
      <c r="AB46" s="2507"/>
      <c r="AC46" s="2507"/>
      <c r="AD46" s="2507"/>
    </row>
    <row r="47" spans="1:30" s="102" customFormat="1">
      <c r="A47" s="443"/>
      <c r="B47" s="444"/>
      <c r="C47" s="1100">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60" t="s">
        <v>1771</v>
      </c>
      <c r="S4" s="3361"/>
      <c r="T4" s="3360" t="s">
        <v>1772</v>
      </c>
      <c r="U4" s="3361"/>
      <c r="V4" s="3357" t="s">
        <v>1773</v>
      </c>
      <c r="W4" s="3357"/>
      <c r="X4" s="1263"/>
      <c r="Y4" s="3360" t="s">
        <v>1775</v>
      </c>
      <c r="Z4" s="3361"/>
      <c r="AA4" s="3354" t="s">
        <v>1771</v>
      </c>
      <c r="AB4" s="3355" t="s">
        <v>1772</v>
      </c>
      <c r="AC4" s="3354" t="s">
        <v>1773</v>
      </c>
    </row>
    <row r="5" spans="1:29">
      <c r="A5" s="348"/>
      <c r="B5" s="349"/>
      <c r="C5" s="3370" t="s">
        <v>1673</v>
      </c>
      <c r="D5" s="3367"/>
      <c r="E5" s="3364" t="s">
        <v>1674</v>
      </c>
      <c r="F5" s="3365"/>
      <c r="G5" s="3370" t="s">
        <v>1675</v>
      </c>
      <c r="H5" s="3367"/>
      <c r="I5" s="3370" t="s">
        <v>1676</v>
      </c>
      <c r="J5" s="3367"/>
      <c r="K5" s="537"/>
      <c r="L5" s="2483"/>
      <c r="M5" s="2484"/>
      <c r="N5" s="2484"/>
      <c r="O5" s="2484"/>
      <c r="P5" s="3380"/>
      <c r="Q5" s="3381"/>
      <c r="R5" s="3362"/>
      <c r="S5" s="3363"/>
      <c r="T5" s="3362"/>
      <c r="U5" s="3363"/>
      <c r="V5" s="3357"/>
      <c r="W5" s="3357"/>
      <c r="X5" s="1263"/>
      <c r="Y5" s="3362"/>
      <c r="Z5" s="3363"/>
      <c r="AA5" s="3355"/>
      <c r="AB5" s="3355"/>
      <c r="AC5" s="3355"/>
    </row>
    <row r="6" spans="1:29" ht="15" thickBot="1">
      <c r="A6" s="350"/>
      <c r="B6" s="351"/>
      <c r="C6" s="3368" t="s">
        <v>1677</v>
      </c>
      <c r="D6" s="3369"/>
      <c r="E6" s="3371" t="s">
        <v>1677</v>
      </c>
      <c r="F6" s="3372"/>
      <c r="G6" s="3368" t="s">
        <v>1677</v>
      </c>
      <c r="H6" s="3369"/>
      <c r="I6" s="3368" t="s">
        <v>1677</v>
      </c>
      <c r="J6" s="3369"/>
      <c r="K6" s="537" t="s">
        <v>1678</v>
      </c>
      <c r="L6" s="2483"/>
      <c r="M6" s="2484"/>
      <c r="N6" s="2484"/>
      <c r="O6" s="2484"/>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SUMIF(69:69,YEAR(E7)&amp;"-"&amp;INT((MONTH(E7)+2)/3),70:70)</f>
        <v>0</v>
      </c>
      <c r="G7" s="1820"/>
      <c r="H7" s="355">
        <f>SUMIF(69:69,YEAR(G7)&amp;"-"&amp;INT((MONTH(G7)+2)/3),70:70)</f>
        <v>0</v>
      </c>
      <c r="I7" s="1820"/>
      <c r="J7" s="355">
        <f>SUMIF(69:69,YEAR(I7)&amp;"-"&amp;INT((MONTH(I7)+2)/3),70:70)</f>
        <v>0</v>
      </c>
      <c r="K7" s="38"/>
      <c r="L7" s="2485"/>
      <c r="M7" s="2437"/>
      <c r="N7" s="2437"/>
      <c r="O7" s="2437"/>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58" t="s">
        <v>1683</v>
      </c>
      <c r="Q8" s="3359"/>
      <c r="R8" s="663" t="s">
        <v>14</v>
      </c>
      <c r="S8" s="664">
        <f t="shared" si="0"/>
        <v>0</v>
      </c>
      <c r="T8" s="663" t="s">
        <v>14</v>
      </c>
      <c r="U8" s="664">
        <f t="shared" si="1"/>
        <v>0</v>
      </c>
      <c r="V8" s="663" t="s">
        <v>14</v>
      </c>
      <c r="W8" s="664">
        <f t="shared" si="2"/>
        <v>0</v>
      </c>
      <c r="X8" s="665"/>
      <c r="Y8" s="3358" t="s">
        <v>1683</v>
      </c>
      <c r="Z8" s="3359"/>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7"/>
      <c r="N9" s="2437"/>
      <c r="O9" s="2537"/>
      <c r="P9" s="3396"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139</v>
      </c>
      <c r="G10" s="402"/>
      <c r="H10" s="119">
        <f>ROUND(100/'数据-取费表'!G16,0)</f>
        <v>139</v>
      </c>
      <c r="I10" s="402"/>
      <c r="J10" s="119">
        <f>ROUND(100/'数据-取费表'!G16,0)</f>
        <v>139</v>
      </c>
      <c r="K10" s="592"/>
      <c r="L10" s="2486"/>
      <c r="M10" s="2487"/>
      <c r="N10" s="2487"/>
      <c r="O10" s="2538"/>
      <c r="P10" s="3396"/>
      <c r="Q10" s="530" t="str">
        <f t="shared" si="6"/>
        <v>土地使用年限（年）</v>
      </c>
      <c r="R10" s="663" t="s">
        <v>14</v>
      </c>
      <c r="S10" s="664">
        <f t="shared" si="0"/>
        <v>139</v>
      </c>
      <c r="T10" s="663" t="s">
        <v>14</v>
      </c>
      <c r="U10" s="664">
        <f t="shared" si="1"/>
        <v>139</v>
      </c>
      <c r="V10" s="663" t="s">
        <v>14</v>
      </c>
      <c r="W10" s="664">
        <f t="shared" si="2"/>
        <v>139</v>
      </c>
      <c r="X10" s="665"/>
      <c r="Y10" s="3322"/>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96"/>
      <c r="Q11" s="530"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96"/>
      <c r="Q12" s="530" t="str">
        <f t="shared" si="6"/>
        <v>配建</v>
      </c>
      <c r="R12" s="663" t="s">
        <v>14</v>
      </c>
      <c r="S12" s="664">
        <f t="shared" si="0"/>
        <v>100</v>
      </c>
      <c r="T12" s="663" t="s">
        <v>14</v>
      </c>
      <c r="U12" s="664">
        <f t="shared" si="1"/>
        <v>100</v>
      </c>
      <c r="V12" s="663" t="s">
        <v>14</v>
      </c>
      <c r="W12" s="664">
        <f t="shared" si="2"/>
        <v>100</v>
      </c>
      <c r="X12" s="665"/>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96"/>
      <c r="Q13" s="530">
        <f t="shared" si="6"/>
        <v>111</v>
      </c>
      <c r="R13" s="663" t="s">
        <v>14</v>
      </c>
      <c r="S13" s="664">
        <f t="shared" si="0"/>
        <v>100</v>
      </c>
      <c r="T13" s="663" t="s">
        <v>14</v>
      </c>
      <c r="U13" s="664">
        <f t="shared" si="1"/>
        <v>100</v>
      </c>
      <c r="V13" s="663" t="s">
        <v>14</v>
      </c>
      <c r="W13" s="664">
        <f t="shared" si="2"/>
        <v>100</v>
      </c>
      <c r="X13" s="665"/>
      <c r="Y13" s="3322"/>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96"/>
      <c r="Q14" s="530">
        <f t="shared" si="6"/>
        <v>111</v>
      </c>
      <c r="R14" s="663" t="s">
        <v>14</v>
      </c>
      <c r="S14" s="664">
        <f t="shared" si="0"/>
        <v>100</v>
      </c>
      <c r="T14" s="663" t="s">
        <v>14</v>
      </c>
      <c r="U14" s="664">
        <f t="shared" si="1"/>
        <v>100</v>
      </c>
      <c r="V14" s="663" t="s">
        <v>14</v>
      </c>
      <c r="W14" s="664">
        <f t="shared" si="2"/>
        <v>100</v>
      </c>
      <c r="X14" s="665"/>
      <c r="Y14" s="3322"/>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89" t="s">
        <v>1691</v>
      </c>
      <c r="Q15" s="1261" t="str">
        <f t="shared" si="6"/>
        <v>居住社区成熟度</v>
      </c>
      <c r="R15" s="666" t="s">
        <v>14</v>
      </c>
      <c r="S15" s="667">
        <f t="shared" si="0"/>
        <v>100</v>
      </c>
      <c r="T15" s="666" t="s">
        <v>14</v>
      </c>
      <c r="U15" s="667">
        <f t="shared" si="1"/>
        <v>100</v>
      </c>
      <c r="V15" s="666" t="s">
        <v>14</v>
      </c>
      <c r="W15" s="667">
        <f t="shared" si="2"/>
        <v>100</v>
      </c>
      <c r="X15" s="1263"/>
      <c r="Y15" s="3389"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9"/>
      <c r="M16" s="2484"/>
      <c r="N16" s="2484"/>
      <c r="O16" s="2539"/>
      <c r="P16" s="3390"/>
      <c r="Q16" s="1261"/>
      <c r="R16" s="666"/>
      <c r="S16" s="667"/>
      <c r="T16" s="666"/>
      <c r="U16" s="667"/>
      <c r="V16" s="666"/>
      <c r="W16" s="667"/>
      <c r="X16" s="1263"/>
      <c r="Y16" s="3390"/>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0"/>
      <c r="Q17" s="1261" t="str">
        <f>B17</f>
        <v>商业繁华度</v>
      </c>
      <c r="R17" s="666" t="s">
        <v>14</v>
      </c>
      <c r="S17" s="667">
        <f>F17</f>
        <v>100</v>
      </c>
      <c r="T17" s="666" t="s">
        <v>14</v>
      </c>
      <c r="U17" s="667">
        <f>H17</f>
        <v>100</v>
      </c>
      <c r="V17" s="666" t="s">
        <v>14</v>
      </c>
      <c r="W17" s="667">
        <f>J17</f>
        <v>100</v>
      </c>
      <c r="X17" s="1263"/>
      <c r="Y17" s="3390"/>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9"/>
      <c r="M18" s="2484"/>
      <c r="N18" s="2484"/>
      <c r="O18" s="2539"/>
      <c r="P18" s="3390"/>
      <c r="Q18" s="1261"/>
      <c r="R18" s="666"/>
      <c r="S18" s="667"/>
      <c r="T18" s="666"/>
      <c r="U18" s="667"/>
      <c r="V18" s="666"/>
      <c r="W18" s="667"/>
      <c r="X18" s="1263"/>
      <c r="Y18" s="3390"/>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0"/>
      <c r="Q19" s="1261" t="str">
        <f>B19</f>
        <v>办公集聚程度</v>
      </c>
      <c r="R19" s="666" t="s">
        <v>14</v>
      </c>
      <c r="S19" s="667">
        <f>F19</f>
        <v>100</v>
      </c>
      <c r="T19" s="666" t="s">
        <v>14</v>
      </c>
      <c r="U19" s="667">
        <f>H19</f>
        <v>100</v>
      </c>
      <c r="V19" s="666" t="s">
        <v>14</v>
      </c>
      <c r="W19" s="667">
        <f>J19</f>
        <v>100</v>
      </c>
      <c r="X19" s="1263"/>
      <c r="Y19" s="3390"/>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9"/>
      <c r="M20" s="2484"/>
      <c r="N20" s="2484"/>
      <c r="O20" s="2539"/>
      <c r="P20" s="3390"/>
      <c r="Q20" s="1261"/>
      <c r="R20" s="666"/>
      <c r="S20" s="667"/>
      <c r="T20" s="666"/>
      <c r="U20" s="667"/>
      <c r="V20" s="666"/>
      <c r="W20" s="667"/>
      <c r="X20" s="1263"/>
      <c r="Y20" s="3390"/>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0"/>
      <c r="Q21" s="1261" t="str">
        <f>B21</f>
        <v>交通便捷度</v>
      </c>
      <c r="R21" s="666" t="s">
        <v>14</v>
      </c>
      <c r="S21" s="667">
        <f>F21</f>
        <v>100</v>
      </c>
      <c r="T21" s="666" t="s">
        <v>14</v>
      </c>
      <c r="U21" s="667">
        <f>H21</f>
        <v>100</v>
      </c>
      <c r="V21" s="666" t="s">
        <v>14</v>
      </c>
      <c r="W21" s="667">
        <f>J21</f>
        <v>100</v>
      </c>
      <c r="X21" s="1263"/>
      <c r="Y21" s="3390"/>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9"/>
      <c r="M22" s="2484"/>
      <c r="N22" s="2484"/>
      <c r="O22" s="2539"/>
      <c r="P22" s="3390"/>
      <c r="Q22" s="1261"/>
      <c r="R22" s="666"/>
      <c r="S22" s="667"/>
      <c r="T22" s="666"/>
      <c r="U22" s="667"/>
      <c r="V22" s="666"/>
      <c r="W22" s="667"/>
      <c r="X22" s="1263"/>
      <c r="Y22" s="3390"/>
      <c r="Z22" s="1262"/>
      <c r="AA22" s="1262">
        <v>1</v>
      </c>
      <c r="AB22" s="1262">
        <v>1</v>
      </c>
      <c r="AC22" s="1262">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0"/>
      <c r="Q23" s="1261" t="str">
        <f t="shared" ref="Q23:Q37" si="8">B23</f>
        <v>区域土地利用方向</v>
      </c>
      <c r="R23" s="666" t="s">
        <v>14</v>
      </c>
      <c r="S23" s="667">
        <f>F23</f>
        <v>100</v>
      </c>
      <c r="T23" s="666" t="s">
        <v>14</v>
      </c>
      <c r="U23" s="667">
        <f>H23</f>
        <v>100</v>
      </c>
      <c r="V23" s="666" t="s">
        <v>14</v>
      </c>
      <c r="W23" s="667">
        <f>J23</f>
        <v>100</v>
      </c>
      <c r="X23" s="1263"/>
      <c r="Y23" s="3390"/>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89"/>
      <c r="M24" s="2484"/>
      <c r="N24" s="2484"/>
      <c r="O24" s="2539"/>
      <c r="P24" s="3390"/>
      <c r="Q24" s="1261"/>
      <c r="R24" s="666"/>
      <c r="S24" s="667"/>
      <c r="T24" s="666"/>
      <c r="U24" s="667"/>
      <c r="V24" s="666"/>
      <c r="W24" s="667"/>
      <c r="X24" s="1263"/>
      <c r="Y24" s="3390"/>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0"/>
      <c r="Q25" s="1261" t="str">
        <f t="shared" si="8"/>
        <v>自然及人文环境状况</v>
      </c>
      <c r="R25" s="666" t="s">
        <v>14</v>
      </c>
      <c r="S25" s="667">
        <f>F25</f>
        <v>100</v>
      </c>
      <c r="T25" s="666" t="s">
        <v>14</v>
      </c>
      <c r="U25" s="667">
        <f>H25</f>
        <v>100</v>
      </c>
      <c r="V25" s="666" t="s">
        <v>14</v>
      </c>
      <c r="W25" s="667">
        <f>J25</f>
        <v>100</v>
      </c>
      <c r="X25" s="1263"/>
      <c r="Y25" s="3390"/>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9"/>
      <c r="M26" s="2484"/>
      <c r="N26" s="2484"/>
      <c r="O26" s="2539"/>
      <c r="P26" s="3390"/>
      <c r="Q26" s="1261"/>
      <c r="R26" s="666"/>
      <c r="S26" s="667"/>
      <c r="T26" s="666"/>
      <c r="U26" s="667"/>
      <c r="V26" s="666"/>
      <c r="W26" s="667"/>
      <c r="X26" s="1263"/>
      <c r="Y26" s="3390"/>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90"/>
      <c r="Q27" s="530" t="str">
        <f t="shared" si="8"/>
        <v>公共配套设施</v>
      </c>
      <c r="R27" s="663" t="s">
        <v>14</v>
      </c>
      <c r="S27" s="664">
        <f>F27</f>
        <v>100</v>
      </c>
      <c r="T27" s="663" t="s">
        <v>14</v>
      </c>
      <c r="U27" s="664">
        <f>H27</f>
        <v>100</v>
      </c>
      <c r="V27" s="663" t="s">
        <v>14</v>
      </c>
      <c r="W27" s="664">
        <f>J27</f>
        <v>100</v>
      </c>
      <c r="X27" s="665"/>
      <c r="Y27" s="3390"/>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5"/>
      <c r="M28" s="2437"/>
      <c r="N28" s="2437"/>
      <c r="O28" s="2537"/>
      <c r="P28" s="3390"/>
      <c r="Q28" s="530"/>
      <c r="R28" s="663"/>
      <c r="S28" s="664"/>
      <c r="T28" s="663"/>
      <c r="U28" s="664"/>
      <c r="V28" s="663"/>
      <c r="W28" s="664"/>
      <c r="X28" s="665"/>
      <c r="Y28" s="3390"/>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90"/>
      <c r="Q29" s="530" t="str">
        <f t="shared" ref="Q29" si="9">B29</f>
        <v>基础设施水平</v>
      </c>
      <c r="R29" s="663" t="s">
        <v>14</v>
      </c>
      <c r="S29" s="664">
        <f>F29</f>
        <v>100</v>
      </c>
      <c r="T29" s="663" t="s">
        <v>14</v>
      </c>
      <c r="U29" s="664">
        <f>H29</f>
        <v>100</v>
      </c>
      <c r="V29" s="663" t="s">
        <v>14</v>
      </c>
      <c r="W29" s="664">
        <f>J29</f>
        <v>100</v>
      </c>
      <c r="X29" s="665"/>
      <c r="Y29" s="3390"/>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5"/>
      <c r="M30" s="2437"/>
      <c r="N30" s="2437"/>
      <c r="O30" s="2537"/>
      <c r="P30" s="3390"/>
      <c r="Q30" s="530"/>
      <c r="R30" s="663"/>
      <c r="S30" s="664"/>
      <c r="T30" s="663"/>
      <c r="U30" s="664"/>
      <c r="V30" s="663"/>
      <c r="W30" s="664"/>
      <c r="X30" s="665"/>
      <c r="Y30" s="3390"/>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0"/>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90"/>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0"/>
      <c r="Q32" s="1261" t="str">
        <f t="shared" si="8"/>
        <v>毗邻道路的类型与等级</v>
      </c>
      <c r="R32" s="666" t="s">
        <v>14</v>
      </c>
      <c r="S32" s="667">
        <f t="shared" si="10"/>
        <v>100</v>
      </c>
      <c r="T32" s="666" t="s">
        <v>14</v>
      </c>
      <c r="U32" s="667">
        <f t="shared" si="11"/>
        <v>100</v>
      </c>
      <c r="V32" s="666" t="s">
        <v>14</v>
      </c>
      <c r="W32" s="667">
        <f t="shared" si="12"/>
        <v>100</v>
      </c>
      <c r="X32" s="1263"/>
      <c r="Y32" s="3390"/>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9"/>
      <c r="M33" s="2484"/>
      <c r="N33" s="2484"/>
      <c r="O33" s="2539"/>
      <c r="P33" s="3390"/>
      <c r="Q33" s="1261"/>
      <c r="R33" s="666"/>
      <c r="S33" s="667"/>
      <c r="T33" s="666"/>
      <c r="U33" s="667"/>
      <c r="V33" s="666"/>
      <c r="W33" s="667"/>
      <c r="X33" s="1263"/>
      <c r="Y33" s="3390"/>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0"/>
      <c r="Q34" s="1261" t="str">
        <f t="shared" si="8"/>
        <v>土地级别</v>
      </c>
      <c r="R34" s="666" t="s">
        <v>14</v>
      </c>
      <c r="S34" s="667">
        <f t="shared" si="10"/>
        <v>100</v>
      </c>
      <c r="T34" s="666" t="s">
        <v>14</v>
      </c>
      <c r="U34" s="667">
        <f t="shared" si="11"/>
        <v>100</v>
      </c>
      <c r="V34" s="666" t="s">
        <v>14</v>
      </c>
      <c r="W34" s="667">
        <f t="shared" si="12"/>
        <v>100</v>
      </c>
      <c r="X34" s="1263"/>
      <c r="Y34" s="3390"/>
      <c r="Z34" s="1262" t="str">
        <f t="shared" si="13"/>
        <v>土地级别</v>
      </c>
      <c r="AA34" s="1262">
        <f t="shared" si="3"/>
        <v>1</v>
      </c>
      <c r="AB34" s="1262">
        <f t="shared" si="4"/>
        <v>1</v>
      </c>
      <c r="AC34" s="1262">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0"/>
      <c r="Q35" s="1261">
        <f t="shared" si="8"/>
        <v>111</v>
      </c>
      <c r="R35" s="666" t="s">
        <v>14</v>
      </c>
      <c r="S35" s="667">
        <f t="shared" si="10"/>
        <v>100</v>
      </c>
      <c r="T35" s="666" t="s">
        <v>14</v>
      </c>
      <c r="U35" s="667">
        <f t="shared" si="11"/>
        <v>100</v>
      </c>
      <c r="V35" s="666" t="s">
        <v>14</v>
      </c>
      <c r="W35" s="667">
        <f t="shared" si="12"/>
        <v>100</v>
      </c>
      <c r="X35" s="1263"/>
      <c r="Y35" s="3390"/>
      <c r="Z35" s="1262">
        <f t="shared" si="13"/>
        <v>111</v>
      </c>
      <c r="AA35" s="1262">
        <f t="shared" si="3"/>
        <v>1</v>
      </c>
      <c r="AB35" s="1262">
        <f t="shared" si="4"/>
        <v>1</v>
      </c>
      <c r="AC35" s="1262">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36" t="s">
        <v>1696</v>
      </c>
      <c r="Q36" s="1261">
        <f t="shared" si="8"/>
        <v>111</v>
      </c>
      <c r="R36" s="666" t="s">
        <v>14</v>
      </c>
      <c r="S36" s="667">
        <f t="shared" si="10"/>
        <v>100</v>
      </c>
      <c r="T36" s="666" t="s">
        <v>14</v>
      </c>
      <c r="U36" s="667">
        <f t="shared" si="11"/>
        <v>100</v>
      </c>
      <c r="V36" s="666" t="s">
        <v>14</v>
      </c>
      <c r="W36" s="667">
        <f t="shared" si="12"/>
        <v>100</v>
      </c>
      <c r="X36" s="1263"/>
      <c r="Y36" s="3394" t="s">
        <v>1696</v>
      </c>
      <c r="Z36" s="1262">
        <f t="shared" si="13"/>
        <v>111</v>
      </c>
      <c r="AA36" s="1262">
        <f t="shared" si="3"/>
        <v>1</v>
      </c>
      <c r="AB36" s="1262">
        <f t="shared" si="4"/>
        <v>1</v>
      </c>
      <c r="AC36" s="1262">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94"/>
      <c r="Q37" s="1261">
        <f t="shared" si="8"/>
        <v>111</v>
      </c>
      <c r="R37" s="668" t="s">
        <v>14</v>
      </c>
      <c r="S37" s="669">
        <f t="shared" si="10"/>
        <v>100</v>
      </c>
      <c r="T37" s="668" t="s">
        <v>14</v>
      </c>
      <c r="U37" s="669">
        <f t="shared" si="11"/>
        <v>100</v>
      </c>
      <c r="V37" s="668" t="s">
        <v>14</v>
      </c>
      <c r="W37" s="669">
        <f t="shared" si="12"/>
        <v>100</v>
      </c>
      <c r="X37" s="670"/>
      <c r="Y37" s="3394"/>
      <c r="Z37" s="671">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94"/>
      <c r="Q38" s="1261" t="str">
        <f>B38</f>
        <v>宗地面积</v>
      </c>
      <c r="R38" s="666" t="s">
        <v>14</v>
      </c>
      <c r="S38" s="667" t="e">
        <f t="shared" si="10"/>
        <v>#N/A</v>
      </c>
      <c r="T38" s="666" t="s">
        <v>14</v>
      </c>
      <c r="U38" s="667" t="e">
        <f t="shared" si="11"/>
        <v>#N/A</v>
      </c>
      <c r="V38" s="666" t="s">
        <v>14</v>
      </c>
      <c r="W38" s="667" t="e">
        <f t="shared" si="12"/>
        <v>#N/A</v>
      </c>
      <c r="X38" s="1263"/>
      <c r="Y38" s="3394"/>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394"/>
      <c r="Q39" s="1261" t="str">
        <f t="shared" ref="Q39:Q45" si="14">B39</f>
        <v>宗地形状</v>
      </c>
      <c r="R39" s="666" t="s">
        <v>14</v>
      </c>
      <c r="S39" s="667">
        <f t="shared" si="10"/>
        <v>100</v>
      </c>
      <c r="T39" s="666" t="s">
        <v>14</v>
      </c>
      <c r="U39" s="667">
        <f t="shared" si="11"/>
        <v>100</v>
      </c>
      <c r="V39" s="666" t="s">
        <v>14</v>
      </c>
      <c r="W39" s="667">
        <f t="shared" si="12"/>
        <v>100</v>
      </c>
      <c r="X39" s="1263"/>
      <c r="Y39" s="3394"/>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394"/>
      <c r="Q40" s="1261" t="str">
        <f t="shared" si="14"/>
        <v>临街宽度及深度</v>
      </c>
      <c r="R40" s="666" t="s">
        <v>14</v>
      </c>
      <c r="S40" s="667">
        <f t="shared" si="10"/>
        <v>100</v>
      </c>
      <c r="T40" s="666" t="s">
        <v>14</v>
      </c>
      <c r="U40" s="667">
        <f t="shared" si="11"/>
        <v>100</v>
      </c>
      <c r="V40" s="666" t="s">
        <v>14</v>
      </c>
      <c r="W40" s="667">
        <f t="shared" si="12"/>
        <v>100</v>
      </c>
      <c r="X40" s="1263"/>
      <c r="Y40" s="3394"/>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7"/>
      <c r="N41" s="2437"/>
      <c r="O41" s="2537"/>
      <c r="P41" s="3394"/>
      <c r="Q41" s="1261" t="str">
        <f t="shared" si="14"/>
        <v>宗地开发程度</v>
      </c>
      <c r="R41" s="663" t="s">
        <v>14</v>
      </c>
      <c r="S41" s="664">
        <f t="shared" si="10"/>
        <v>100</v>
      </c>
      <c r="T41" s="663" t="s">
        <v>14</v>
      </c>
      <c r="U41" s="664">
        <f t="shared" si="11"/>
        <v>100</v>
      </c>
      <c r="V41" s="663" t="s">
        <v>14</v>
      </c>
      <c r="W41" s="664">
        <f t="shared" si="12"/>
        <v>100</v>
      </c>
      <c r="X41" s="665"/>
      <c r="Y41" s="3394"/>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394" t="s">
        <v>1696</v>
      </c>
      <c r="Q42" s="1261" t="str">
        <f t="shared" si="14"/>
        <v>工程地质条件</v>
      </c>
      <c r="R42" s="666" t="s">
        <v>14</v>
      </c>
      <c r="S42" s="667">
        <f t="shared" si="10"/>
        <v>100</v>
      </c>
      <c r="T42" s="666" t="s">
        <v>14</v>
      </c>
      <c r="U42" s="667">
        <f t="shared" si="11"/>
        <v>100</v>
      </c>
      <c r="V42" s="666" t="s">
        <v>14</v>
      </c>
      <c r="W42" s="667">
        <f t="shared" si="12"/>
        <v>100</v>
      </c>
      <c r="X42" s="1263"/>
      <c r="Y42" s="3394" t="s">
        <v>1696</v>
      </c>
      <c r="Z42" s="1262" t="str">
        <f t="shared" si="13"/>
        <v>工程地质条件</v>
      </c>
      <c r="AA42" s="1262">
        <f t="shared" si="3"/>
        <v>1</v>
      </c>
      <c r="AB42" s="1262">
        <f t="shared" si="4"/>
        <v>1</v>
      </c>
      <c r="AC42" s="1262">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94"/>
      <c r="Q43" s="1261">
        <f t="shared" si="14"/>
        <v>111</v>
      </c>
      <c r="R43" s="666" t="s">
        <v>14</v>
      </c>
      <c r="S43" s="667">
        <f t="shared" si="10"/>
        <v>100</v>
      </c>
      <c r="T43" s="666" t="s">
        <v>14</v>
      </c>
      <c r="U43" s="667">
        <f t="shared" si="11"/>
        <v>100</v>
      </c>
      <c r="V43" s="666" t="s">
        <v>14</v>
      </c>
      <c r="W43" s="667">
        <f t="shared" si="12"/>
        <v>100</v>
      </c>
      <c r="X43" s="1263"/>
      <c r="Y43" s="3394"/>
      <c r="Z43" s="1262">
        <f t="shared" si="13"/>
        <v>111</v>
      </c>
      <c r="AA43" s="1262">
        <f t="shared" si="3"/>
        <v>1</v>
      </c>
      <c r="AB43" s="1262">
        <f t="shared" si="4"/>
        <v>1</v>
      </c>
      <c r="AC43" s="1262">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94"/>
      <c r="Q44" s="1261">
        <f t="shared" si="14"/>
        <v>111</v>
      </c>
      <c r="R44" s="666" t="s">
        <v>14</v>
      </c>
      <c r="S44" s="667">
        <f t="shared" si="10"/>
        <v>100</v>
      </c>
      <c r="T44" s="666" t="s">
        <v>14</v>
      </c>
      <c r="U44" s="667">
        <f t="shared" si="11"/>
        <v>100</v>
      </c>
      <c r="V44" s="666" t="s">
        <v>14</v>
      </c>
      <c r="W44" s="667">
        <f t="shared" si="12"/>
        <v>100</v>
      </c>
      <c r="X44" s="1263"/>
      <c r="Y44" s="3394"/>
      <c r="Z44" s="1262">
        <f t="shared" si="13"/>
        <v>111</v>
      </c>
      <c r="AA44" s="1262">
        <f t="shared" si="3"/>
        <v>1</v>
      </c>
      <c r="AB44" s="1262">
        <f t="shared" si="4"/>
        <v>1</v>
      </c>
      <c r="AC44" s="1262">
        <f t="shared" si="5"/>
        <v>1</v>
      </c>
    </row>
    <row r="45" spans="1:29" s="408" customFormat="1" ht="15.6" thickBot="1">
      <c r="A45" s="406"/>
      <c r="B45" s="1066">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94"/>
      <c r="Q45" s="1261">
        <f t="shared" si="14"/>
        <v>111</v>
      </c>
      <c r="R45" s="668" t="s">
        <v>14</v>
      </c>
      <c r="S45" s="669">
        <f t="shared" si="10"/>
        <v>100</v>
      </c>
      <c r="T45" s="668" t="s">
        <v>14</v>
      </c>
      <c r="U45" s="669">
        <f t="shared" si="11"/>
        <v>100</v>
      </c>
      <c r="V45" s="668" t="s">
        <v>14</v>
      </c>
      <c r="W45" s="669">
        <f t="shared" si="12"/>
        <v>100</v>
      </c>
      <c r="X45" s="670"/>
      <c r="Y45" s="3394"/>
      <c r="Z45" s="671">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3"/>
      <c r="L46" s="2491"/>
      <c r="M46" s="2484"/>
      <c r="N46" s="2484"/>
      <c r="O46" s="2484"/>
      <c r="P46" s="3396" t="str">
        <f>A46</f>
        <v>成交单价</v>
      </c>
      <c r="Q46" s="3396"/>
      <c r="R46" s="3357">
        <f>E46</f>
        <v>0</v>
      </c>
      <c r="S46" s="3357"/>
      <c r="T46" s="3357">
        <f>G46</f>
        <v>0</v>
      </c>
      <c r="U46" s="3357"/>
      <c r="V46" s="3357">
        <f>I46</f>
        <v>0</v>
      </c>
      <c r="W46" s="3357"/>
      <c r="X46" s="385"/>
      <c r="Y46" s="672"/>
      <c r="Z46" s="385"/>
      <c r="AA46" s="385"/>
      <c r="AB46" s="385"/>
      <c r="AC46" s="385"/>
    </row>
    <row r="47" spans="1:29" ht="15" thickBot="1">
      <c r="A47" s="423" t="s">
        <v>1793</v>
      </c>
      <c r="B47" s="603"/>
      <c r="C47" s="426" t="e">
        <f>R48</f>
        <v>#DIV/0!</v>
      </c>
      <c r="D47" s="2139" t="s">
        <v>2136</v>
      </c>
      <c r="E47" s="426" t="e">
        <f>R47</f>
        <v>#DIV/0!</v>
      </c>
      <c r="F47" s="2140"/>
      <c r="G47" s="425" t="e">
        <f>T47</f>
        <v>#DIV/0!</v>
      </c>
      <c r="H47" s="2140"/>
      <c r="I47" s="426" t="e">
        <f>V47</f>
        <v>#DIV/0!</v>
      </c>
      <c r="J47" s="2140"/>
      <c r="K47" s="2142">
        <f>F47+H47+J47</f>
        <v>0</v>
      </c>
      <c r="L47" s="2491"/>
      <c r="M47" s="2484"/>
      <c r="N47" s="2484"/>
      <c r="O47" s="2484"/>
      <c r="P47" s="3396" t="str">
        <f>A47</f>
        <v>比较价值（元/平方米）</v>
      </c>
      <c r="Q47" s="3396"/>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1"/>
      <c r="M48" s="2484"/>
      <c r="N48" s="2484"/>
      <c r="O48" s="2484"/>
      <c r="P48" s="3397" t="str">
        <f>A48</f>
        <v>估价对象XX用房的比较价值（楼面单价，元/平方米）</v>
      </c>
      <c r="Q48" s="3398"/>
      <c r="R48" s="3439" t="e">
        <f>ROUND(IF(D47="简单平均",AVERAGE(R47:W47),R47*F47+T47*H47+V47*J47),0)</f>
        <v>#DIV/0!</v>
      </c>
      <c r="S48" s="3439"/>
      <c r="T48" s="3439"/>
      <c r="U48" s="3439"/>
      <c r="V48" s="3439"/>
      <c r="W48" s="343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9" t="s">
        <v>1883</v>
      </c>
      <c r="D55" s="1830" t="s">
        <v>1884</v>
      </c>
      <c r="E55" s="606" t="s">
        <v>1885</v>
      </c>
      <c r="F55" s="836" t="s">
        <v>1886</v>
      </c>
      <c r="G55" s="3374" t="s">
        <v>1887</v>
      </c>
      <c r="H55" s="3440"/>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89">
        <v>1</v>
      </c>
      <c r="E56" s="610">
        <f>'数据-汇总表'!E8+'数据-汇总表'!E9</f>
        <v>247.16</v>
      </c>
      <c r="F56" s="832" t="e">
        <f t="shared" ref="F56:F64" si="15">ROUND(B56*E56/10000,0)</f>
        <v>#DIV/0!</v>
      </c>
      <c r="G56" s="3373"/>
      <c r="H56" s="3396"/>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0">
        <v>0.25</v>
      </c>
      <c r="E57" s="614"/>
      <c r="F57" s="832" t="e">
        <f t="shared" si="15"/>
        <v>#DIV/0!</v>
      </c>
      <c r="G57" s="2746" t="s">
        <v>1892</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0">
        <v>0.25</v>
      </c>
      <c r="E58" s="614"/>
      <c r="F58" s="832" t="e">
        <f t="shared" si="15"/>
        <v>#DIV/0!</v>
      </c>
      <c r="G58" s="2747"/>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0">
        <v>0.25</v>
      </c>
      <c r="E59" s="614"/>
      <c r="F59" s="832" t="e">
        <f t="shared" si="15"/>
        <v>#DIV/0!</v>
      </c>
      <c r="G59" s="2747"/>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0">
        <v>0.25</v>
      </c>
      <c r="E63" s="209">
        <f>'数据-汇总表'!E14</f>
        <v>0</v>
      </c>
      <c r="F63" s="832" t="e">
        <f t="shared" si="15"/>
        <v>#DIV/0!</v>
      </c>
      <c r="G63" s="1833" t="s">
        <v>1892</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247.16</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4"/>
      <c r="Q67" s="2484"/>
      <c r="R67" s="2484"/>
      <c r="S67" s="2484"/>
      <c r="T67" s="2484"/>
      <c r="U67" s="2484"/>
      <c r="V67" s="2484"/>
      <c r="W67" s="2484"/>
      <c r="X67" s="2484"/>
      <c r="Y67" s="2484"/>
      <c r="Z67" s="2484"/>
      <c r="AA67" s="2484"/>
      <c r="AB67" s="2484"/>
      <c r="AC67" s="2484"/>
    </row>
    <row r="68" spans="1:29" ht="22.2"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4.4">
      <c r="A69" s="1628" t="s">
        <v>1904</v>
      </c>
      <c r="B69" s="1045"/>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6"/>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60" t="s">
        <v>1771</v>
      </c>
      <c r="S4" s="3361"/>
      <c r="T4" s="3360" t="s">
        <v>1772</v>
      </c>
      <c r="U4" s="3361"/>
      <c r="V4" s="3357" t="s">
        <v>1773</v>
      </c>
      <c r="W4" s="3357"/>
      <c r="X4" s="1263"/>
      <c r="Y4" s="3360" t="s">
        <v>1775</v>
      </c>
      <c r="Z4" s="3361"/>
      <c r="AA4" s="3354" t="s">
        <v>1771</v>
      </c>
      <c r="AB4" s="3355" t="s">
        <v>1772</v>
      </c>
      <c r="AC4" s="3354" t="s">
        <v>1773</v>
      </c>
    </row>
    <row r="5" spans="1:29">
      <c r="A5" s="348"/>
      <c r="B5" s="349"/>
      <c r="C5" s="3370" t="s">
        <v>1673</v>
      </c>
      <c r="D5" s="3367"/>
      <c r="E5" s="3364" t="s">
        <v>1674</v>
      </c>
      <c r="F5" s="3365"/>
      <c r="G5" s="3370" t="s">
        <v>1675</v>
      </c>
      <c r="H5" s="3367"/>
      <c r="I5" s="3370" t="s">
        <v>1676</v>
      </c>
      <c r="J5" s="3367"/>
      <c r="K5" s="537"/>
      <c r="L5" s="2483"/>
      <c r="M5" s="2484"/>
      <c r="N5" s="2484"/>
      <c r="O5" s="2484"/>
      <c r="P5" s="3380"/>
      <c r="Q5" s="3381"/>
      <c r="R5" s="3362"/>
      <c r="S5" s="3363"/>
      <c r="T5" s="3362"/>
      <c r="U5" s="3363"/>
      <c r="V5" s="3357"/>
      <c r="W5" s="3357"/>
      <c r="X5" s="1263"/>
      <c r="Y5" s="3362"/>
      <c r="Z5" s="3363"/>
      <c r="AA5" s="3355"/>
      <c r="AB5" s="3355"/>
      <c r="AC5" s="3355"/>
    </row>
    <row r="6" spans="1:29" ht="15" thickBot="1">
      <c r="A6" s="350"/>
      <c r="B6" s="351"/>
      <c r="C6" s="3441" t="s">
        <v>1919</v>
      </c>
      <c r="D6" s="3442"/>
      <c r="E6" s="3443" t="s">
        <v>1919</v>
      </c>
      <c r="F6" s="3444"/>
      <c r="G6" s="3441" t="s">
        <v>1919</v>
      </c>
      <c r="H6" s="3442"/>
      <c r="I6" s="3441" t="s">
        <v>1919</v>
      </c>
      <c r="J6" s="3442"/>
      <c r="K6" s="537" t="s">
        <v>1678</v>
      </c>
      <c r="L6" s="2483"/>
      <c r="M6" s="2484"/>
      <c r="N6" s="2484"/>
      <c r="O6" s="2484"/>
      <c r="P6" s="3382"/>
      <c r="Q6" s="3383"/>
      <c r="R6" s="3362"/>
      <c r="S6" s="3363"/>
      <c r="T6" s="3384"/>
      <c r="U6" s="3385"/>
      <c r="V6" s="3357"/>
      <c r="W6" s="3357"/>
      <c r="X6" s="1263"/>
      <c r="Y6" s="3384"/>
      <c r="Z6" s="3385"/>
      <c r="AA6" s="3356"/>
      <c r="AB6" s="3356"/>
      <c r="AC6" s="3356"/>
    </row>
    <row r="7" spans="1:29" s="102" customFormat="1" ht="15" thickBot="1">
      <c r="A7" s="352" t="s">
        <v>1679</v>
      </c>
      <c r="B7" s="353"/>
      <c r="C7" s="354">
        <f>'数据-取费表'!B2</f>
        <v>45638</v>
      </c>
      <c r="D7" s="355">
        <v>100</v>
      </c>
      <c r="E7" s="356"/>
      <c r="F7" s="357">
        <f>SUMIF(65:65,YEAR(E7)&amp;"-"&amp;INT((MONTH(E7)+2)/3),66:66)</f>
        <v>0</v>
      </c>
      <c r="G7" s="1820"/>
      <c r="H7" s="355">
        <f>SUMIF(65:65,YEAR(G7)&amp;"-"&amp;INT((MONTH(G7)+2)/3),66:66)</f>
        <v>0</v>
      </c>
      <c r="I7" s="1820"/>
      <c r="J7" s="355">
        <f>SUMIF(65:65,YEAR(I7)&amp;"-"&amp;INT((MONTH(I7)+2)/3),66:66)</f>
        <v>0</v>
      </c>
      <c r="K7" s="38"/>
      <c r="L7" s="2485"/>
      <c r="M7" s="2437"/>
      <c r="N7" s="2437"/>
      <c r="O7" s="2437"/>
      <c r="P7" s="3358" t="s">
        <v>1680</v>
      </c>
      <c r="Q7" s="3386"/>
      <c r="R7" s="663" t="s">
        <v>14</v>
      </c>
      <c r="S7" s="664">
        <f t="shared" ref="S7:S15" si="0">F7</f>
        <v>0</v>
      </c>
      <c r="T7" s="663" t="s">
        <v>14</v>
      </c>
      <c r="U7" s="664">
        <f t="shared" ref="U7:U15" si="1">H7</f>
        <v>0</v>
      </c>
      <c r="V7" s="663" t="s">
        <v>14</v>
      </c>
      <c r="W7" s="664">
        <f t="shared" ref="W7:W15" si="2">J7</f>
        <v>0</v>
      </c>
      <c r="X7" s="665"/>
      <c r="Y7" s="3358" t="s">
        <v>1680</v>
      </c>
      <c r="Z7" s="335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58" t="s">
        <v>1683</v>
      </c>
      <c r="Q8" s="3359"/>
      <c r="R8" s="663" t="s">
        <v>14</v>
      </c>
      <c r="S8" s="664">
        <f t="shared" si="0"/>
        <v>0</v>
      </c>
      <c r="T8" s="663" t="s">
        <v>14</v>
      </c>
      <c r="U8" s="664">
        <f t="shared" si="1"/>
        <v>0</v>
      </c>
      <c r="V8" s="663" t="s">
        <v>14</v>
      </c>
      <c r="W8" s="664">
        <f t="shared" si="2"/>
        <v>0</v>
      </c>
      <c r="X8" s="665"/>
      <c r="Y8" s="3358" t="s">
        <v>1683</v>
      </c>
      <c r="Z8" s="3359"/>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7"/>
      <c r="N9" s="2437"/>
      <c r="O9" s="2537"/>
      <c r="P9" s="3396" t="s">
        <v>1686</v>
      </c>
      <c r="Q9" s="530"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139</v>
      </c>
      <c r="G10" s="371"/>
      <c r="H10" s="119">
        <f>ROUND(100/'数据-取费表'!G16,0)</f>
        <v>139</v>
      </c>
      <c r="I10" s="371"/>
      <c r="J10" s="119">
        <f>ROUND(100/'数据-取费表'!G16,0)</f>
        <v>139</v>
      </c>
      <c r="K10" s="592"/>
      <c r="L10" s="2486"/>
      <c r="M10" s="2487"/>
      <c r="N10" s="2487"/>
      <c r="O10" s="2538"/>
      <c r="P10" s="3396"/>
      <c r="Q10" s="530" t="str">
        <f t="shared" si="6"/>
        <v>土地使用年限（年）</v>
      </c>
      <c r="R10" s="663" t="s">
        <v>14</v>
      </c>
      <c r="S10" s="664">
        <f t="shared" si="0"/>
        <v>139</v>
      </c>
      <c r="T10" s="663" t="s">
        <v>14</v>
      </c>
      <c r="U10" s="664">
        <f t="shared" si="1"/>
        <v>139</v>
      </c>
      <c r="V10" s="663" t="s">
        <v>14</v>
      </c>
      <c r="W10" s="664">
        <f t="shared" si="2"/>
        <v>139</v>
      </c>
      <c r="X10" s="665"/>
      <c r="Y10" s="3322"/>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96"/>
      <c r="Q11" s="530"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96"/>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96"/>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96"/>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89" t="s">
        <v>1691</v>
      </c>
      <c r="Q15" s="1261" t="str">
        <f t="shared" si="6"/>
        <v>产业集聚程度</v>
      </c>
      <c r="R15" s="666" t="s">
        <v>14</v>
      </c>
      <c r="S15" s="667">
        <f t="shared" si="0"/>
        <v>100</v>
      </c>
      <c r="T15" s="666" t="s">
        <v>14</v>
      </c>
      <c r="U15" s="667">
        <f t="shared" si="1"/>
        <v>100</v>
      </c>
      <c r="V15" s="666" t="s">
        <v>14</v>
      </c>
      <c r="W15" s="667">
        <f t="shared" si="2"/>
        <v>100</v>
      </c>
      <c r="X15" s="1263"/>
      <c r="Y15" s="3389"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9"/>
      <c r="M16" s="2484"/>
      <c r="N16" s="2484"/>
      <c r="O16" s="2539"/>
      <c r="P16" s="3390"/>
      <c r="Q16" s="1261"/>
      <c r="R16" s="666"/>
      <c r="S16" s="667"/>
      <c r="T16" s="666"/>
      <c r="U16" s="667"/>
      <c r="V16" s="666"/>
      <c r="W16" s="667"/>
      <c r="X16" s="1263"/>
      <c r="Y16" s="3390"/>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0"/>
      <c r="Q17" s="1261" t="str">
        <f>B17</f>
        <v>交通便捷度</v>
      </c>
      <c r="R17" s="666" t="s">
        <v>14</v>
      </c>
      <c r="S17" s="667">
        <f>F17</f>
        <v>100</v>
      </c>
      <c r="T17" s="666" t="s">
        <v>14</v>
      </c>
      <c r="U17" s="667">
        <f>H17</f>
        <v>100</v>
      </c>
      <c r="V17" s="666" t="s">
        <v>14</v>
      </c>
      <c r="W17" s="667">
        <f>J17</f>
        <v>100</v>
      </c>
      <c r="X17" s="1263"/>
      <c r="Y17" s="3390"/>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9"/>
      <c r="M18" s="2484"/>
      <c r="N18" s="2484"/>
      <c r="O18" s="2539"/>
      <c r="P18" s="3390"/>
      <c r="Q18" s="1261"/>
      <c r="R18" s="666"/>
      <c r="S18" s="667"/>
      <c r="T18" s="666"/>
      <c r="U18" s="667"/>
      <c r="V18" s="666"/>
      <c r="W18" s="667"/>
      <c r="X18" s="1263"/>
      <c r="Y18" s="3390"/>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0"/>
      <c r="Q19" s="1261" t="str">
        <f t="shared" ref="Q19:Q33" si="8">B19</f>
        <v>区域土地利用方向</v>
      </c>
      <c r="R19" s="666" t="s">
        <v>14</v>
      </c>
      <c r="S19" s="667">
        <f>F19</f>
        <v>100</v>
      </c>
      <c r="T19" s="666" t="s">
        <v>14</v>
      </c>
      <c r="U19" s="667">
        <f>H19</f>
        <v>100</v>
      </c>
      <c r="V19" s="666" t="s">
        <v>14</v>
      </c>
      <c r="W19" s="667">
        <f>J19</f>
        <v>100</v>
      </c>
      <c r="X19" s="1263"/>
      <c r="Y19" s="3390"/>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89"/>
      <c r="M20" s="2484"/>
      <c r="N20" s="2484"/>
      <c r="O20" s="2539"/>
      <c r="P20" s="3390"/>
      <c r="Q20" s="1261"/>
      <c r="R20" s="666"/>
      <c r="S20" s="667"/>
      <c r="T20" s="666"/>
      <c r="U20" s="667"/>
      <c r="V20" s="666"/>
      <c r="W20" s="667"/>
      <c r="X20" s="1263"/>
      <c r="Y20" s="3390"/>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0"/>
      <c r="Q21" s="1261" t="str">
        <f t="shared" si="8"/>
        <v>环境状况</v>
      </c>
      <c r="R21" s="666" t="s">
        <v>14</v>
      </c>
      <c r="S21" s="667">
        <f>F21</f>
        <v>100</v>
      </c>
      <c r="T21" s="666" t="s">
        <v>14</v>
      </c>
      <c r="U21" s="667">
        <f>H21</f>
        <v>100</v>
      </c>
      <c r="V21" s="666" t="s">
        <v>14</v>
      </c>
      <c r="W21" s="667">
        <f>J21</f>
        <v>100</v>
      </c>
      <c r="X21" s="1263"/>
      <c r="Y21" s="3390"/>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9"/>
      <c r="M22" s="2484"/>
      <c r="N22" s="2484"/>
      <c r="O22" s="2539"/>
      <c r="P22" s="3390"/>
      <c r="Q22" s="1261"/>
      <c r="R22" s="666"/>
      <c r="S22" s="667"/>
      <c r="T22" s="666"/>
      <c r="U22" s="667"/>
      <c r="V22" s="666"/>
      <c r="W22" s="667"/>
      <c r="X22" s="1263"/>
      <c r="Y22" s="3390"/>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90"/>
      <c r="Q23" s="530" t="str">
        <f t="shared" si="8"/>
        <v>公共配套设施</v>
      </c>
      <c r="R23" s="663" t="s">
        <v>14</v>
      </c>
      <c r="S23" s="664">
        <f>F23</f>
        <v>100</v>
      </c>
      <c r="T23" s="663" t="s">
        <v>14</v>
      </c>
      <c r="U23" s="664">
        <f>H23</f>
        <v>100</v>
      </c>
      <c r="V23" s="663" t="s">
        <v>14</v>
      </c>
      <c r="W23" s="664">
        <f>J23</f>
        <v>100</v>
      </c>
      <c r="X23" s="665"/>
      <c r="Y23" s="3390"/>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5"/>
      <c r="M24" s="2437"/>
      <c r="N24" s="2437"/>
      <c r="O24" s="2537"/>
      <c r="P24" s="3390"/>
      <c r="Q24" s="530"/>
      <c r="R24" s="663"/>
      <c r="S24" s="664"/>
      <c r="T24" s="663"/>
      <c r="U24" s="664"/>
      <c r="V24" s="663"/>
      <c r="W24" s="664"/>
      <c r="X24" s="665"/>
      <c r="Y24" s="3390"/>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90"/>
      <c r="Q25" s="530" t="str">
        <f t="shared" ref="Q25" si="9">B25</f>
        <v>基础设施水平</v>
      </c>
      <c r="R25" s="663" t="s">
        <v>14</v>
      </c>
      <c r="S25" s="664">
        <f>F25</f>
        <v>100</v>
      </c>
      <c r="T25" s="663" t="s">
        <v>14</v>
      </c>
      <c r="U25" s="664">
        <f>H25</f>
        <v>100</v>
      </c>
      <c r="V25" s="663" t="s">
        <v>14</v>
      </c>
      <c r="W25" s="664">
        <f>J25</f>
        <v>100</v>
      </c>
      <c r="X25" s="665"/>
      <c r="Y25" s="3390"/>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5"/>
      <c r="M26" s="2437"/>
      <c r="N26" s="2437"/>
      <c r="O26" s="2537"/>
      <c r="P26" s="3390"/>
      <c r="Q26" s="530"/>
      <c r="R26" s="663"/>
      <c r="S26" s="664"/>
      <c r="T26" s="663"/>
      <c r="U26" s="664"/>
      <c r="V26" s="663"/>
      <c r="W26" s="664"/>
      <c r="X26" s="665"/>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0"/>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90"/>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0"/>
      <c r="Q28" s="1261" t="str">
        <f t="shared" si="8"/>
        <v>毗邻道路的类型与等级</v>
      </c>
      <c r="R28" s="666" t="s">
        <v>14</v>
      </c>
      <c r="S28" s="667">
        <f t="shared" si="10"/>
        <v>100</v>
      </c>
      <c r="T28" s="666" t="s">
        <v>14</v>
      </c>
      <c r="U28" s="667">
        <f t="shared" si="11"/>
        <v>100</v>
      </c>
      <c r="V28" s="666" t="s">
        <v>14</v>
      </c>
      <c r="W28" s="667">
        <f t="shared" si="12"/>
        <v>100</v>
      </c>
      <c r="X28" s="1263"/>
      <c r="Y28" s="3390"/>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9"/>
      <c r="M29" s="2484"/>
      <c r="N29" s="2484"/>
      <c r="O29" s="2539"/>
      <c r="P29" s="3390"/>
      <c r="Q29" s="1261"/>
      <c r="R29" s="666"/>
      <c r="S29" s="667"/>
      <c r="T29" s="666"/>
      <c r="U29" s="667"/>
      <c r="V29" s="666"/>
      <c r="W29" s="667"/>
      <c r="X29" s="1263"/>
      <c r="Y29" s="3390"/>
      <c r="Z29" s="1262"/>
      <c r="AA29" s="1262">
        <v>1</v>
      </c>
      <c r="AB29" s="1262">
        <v>1</v>
      </c>
      <c r="AC29" s="1262">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0"/>
      <c r="Q30" s="1261" t="str">
        <f t="shared" si="8"/>
        <v>土地级别</v>
      </c>
      <c r="R30" s="666" t="s">
        <v>14</v>
      </c>
      <c r="S30" s="667">
        <f t="shared" si="10"/>
        <v>100</v>
      </c>
      <c r="T30" s="666" t="s">
        <v>14</v>
      </c>
      <c r="U30" s="667">
        <f t="shared" si="11"/>
        <v>100</v>
      </c>
      <c r="V30" s="666" t="s">
        <v>14</v>
      </c>
      <c r="W30" s="667">
        <f t="shared" si="12"/>
        <v>100</v>
      </c>
      <c r="X30" s="1263"/>
      <c r="Y30" s="3390"/>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0"/>
      <c r="Q31" s="1261">
        <f t="shared" si="8"/>
        <v>111</v>
      </c>
      <c r="R31" s="666" t="s">
        <v>14</v>
      </c>
      <c r="S31" s="667">
        <f t="shared" si="10"/>
        <v>100</v>
      </c>
      <c r="T31" s="666" t="s">
        <v>14</v>
      </c>
      <c r="U31" s="667">
        <f t="shared" si="11"/>
        <v>100</v>
      </c>
      <c r="V31" s="666" t="s">
        <v>14</v>
      </c>
      <c r="W31" s="667">
        <f t="shared" si="12"/>
        <v>100</v>
      </c>
      <c r="X31" s="1263"/>
      <c r="Y31" s="3390"/>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36" t="s">
        <v>1696</v>
      </c>
      <c r="Q32" s="1261">
        <f t="shared" si="8"/>
        <v>111</v>
      </c>
      <c r="R32" s="666" t="s">
        <v>14</v>
      </c>
      <c r="S32" s="667">
        <f t="shared" si="10"/>
        <v>100</v>
      </c>
      <c r="T32" s="666" t="s">
        <v>14</v>
      </c>
      <c r="U32" s="667">
        <f t="shared" si="11"/>
        <v>100</v>
      </c>
      <c r="V32" s="666" t="s">
        <v>14</v>
      </c>
      <c r="W32" s="667">
        <f t="shared" si="12"/>
        <v>100</v>
      </c>
      <c r="X32" s="1263"/>
      <c r="Y32" s="3394"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94"/>
      <c r="Q33" s="1261">
        <f t="shared" si="8"/>
        <v>111</v>
      </c>
      <c r="R33" s="668" t="s">
        <v>14</v>
      </c>
      <c r="S33" s="669">
        <f t="shared" si="10"/>
        <v>100</v>
      </c>
      <c r="T33" s="668" t="s">
        <v>14</v>
      </c>
      <c r="U33" s="669">
        <f t="shared" si="11"/>
        <v>100</v>
      </c>
      <c r="V33" s="668" t="s">
        <v>14</v>
      </c>
      <c r="W33" s="669">
        <f t="shared" si="12"/>
        <v>100</v>
      </c>
      <c r="X33" s="670"/>
      <c r="Y33" s="3394"/>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94"/>
      <c r="Q34" s="1261" t="str">
        <f>B34</f>
        <v>宗地面积</v>
      </c>
      <c r="R34" s="666" t="s">
        <v>14</v>
      </c>
      <c r="S34" s="667" t="e">
        <f t="shared" si="10"/>
        <v>#N/A</v>
      </c>
      <c r="T34" s="666" t="s">
        <v>14</v>
      </c>
      <c r="U34" s="667" t="e">
        <f t="shared" si="11"/>
        <v>#N/A</v>
      </c>
      <c r="V34" s="666" t="s">
        <v>14</v>
      </c>
      <c r="W34" s="667" t="e">
        <f t="shared" si="12"/>
        <v>#N/A</v>
      </c>
      <c r="X34" s="1263"/>
      <c r="Y34" s="3394"/>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9"/>
      <c r="M35" s="2484"/>
      <c r="N35" s="2484"/>
      <c r="O35" s="2539"/>
      <c r="P35" s="3394"/>
      <c r="Q35" s="1261" t="str">
        <f t="shared" ref="Q35:Q40" si="14">B35</f>
        <v>宗地形状</v>
      </c>
      <c r="R35" s="666" t="s">
        <v>14</v>
      </c>
      <c r="S35" s="667">
        <f t="shared" si="10"/>
        <v>100</v>
      </c>
      <c r="T35" s="666" t="s">
        <v>14</v>
      </c>
      <c r="U35" s="667">
        <f t="shared" si="11"/>
        <v>100</v>
      </c>
      <c r="V35" s="666" t="s">
        <v>14</v>
      </c>
      <c r="W35" s="667">
        <f t="shared" si="12"/>
        <v>100</v>
      </c>
      <c r="X35" s="1263"/>
      <c r="Y35" s="3394"/>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7"/>
      <c r="N36" s="2437"/>
      <c r="O36" s="2537"/>
      <c r="P36" s="3394"/>
      <c r="Q36" s="1261" t="str">
        <f t="shared" si="14"/>
        <v>宗地开发程度</v>
      </c>
      <c r="R36" s="663" t="s">
        <v>14</v>
      </c>
      <c r="S36" s="664">
        <f t="shared" si="10"/>
        <v>100</v>
      </c>
      <c r="T36" s="663" t="s">
        <v>14</v>
      </c>
      <c r="U36" s="664">
        <f t="shared" si="11"/>
        <v>100</v>
      </c>
      <c r="V36" s="663" t="s">
        <v>14</v>
      </c>
      <c r="W36" s="664">
        <f t="shared" si="12"/>
        <v>100</v>
      </c>
      <c r="X36" s="665"/>
      <c r="Y36" s="3394"/>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9"/>
      <c r="M37" s="2484"/>
      <c r="N37" s="2484"/>
      <c r="O37" s="2539"/>
      <c r="P37" s="3394" t="s">
        <v>1696</v>
      </c>
      <c r="Q37" s="1261" t="str">
        <f t="shared" si="14"/>
        <v>工程地质条件</v>
      </c>
      <c r="R37" s="666" t="s">
        <v>14</v>
      </c>
      <c r="S37" s="667">
        <f t="shared" si="10"/>
        <v>100</v>
      </c>
      <c r="T37" s="666" t="s">
        <v>14</v>
      </c>
      <c r="U37" s="667">
        <f t="shared" si="11"/>
        <v>100</v>
      </c>
      <c r="V37" s="666" t="s">
        <v>14</v>
      </c>
      <c r="W37" s="667">
        <f t="shared" si="12"/>
        <v>100</v>
      </c>
      <c r="X37" s="1263"/>
      <c r="Y37" s="3394" t="s">
        <v>1696</v>
      </c>
      <c r="Z37" s="1262" t="str">
        <f t="shared" si="13"/>
        <v>工程地质条件</v>
      </c>
      <c r="AA37" s="1262">
        <f t="shared" si="3"/>
        <v>1</v>
      </c>
      <c r="AB37" s="1262">
        <f t="shared" si="4"/>
        <v>1</v>
      </c>
      <c r="AC37" s="1262">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94"/>
      <c r="Q38" s="1261">
        <f t="shared" si="14"/>
        <v>111</v>
      </c>
      <c r="R38" s="666" t="s">
        <v>14</v>
      </c>
      <c r="S38" s="667">
        <f t="shared" si="10"/>
        <v>100</v>
      </c>
      <c r="T38" s="666" t="s">
        <v>14</v>
      </c>
      <c r="U38" s="667">
        <f t="shared" si="11"/>
        <v>100</v>
      </c>
      <c r="V38" s="666" t="s">
        <v>14</v>
      </c>
      <c r="W38" s="667">
        <f t="shared" si="12"/>
        <v>100</v>
      </c>
      <c r="X38" s="1263"/>
      <c r="Y38" s="3394"/>
      <c r="Z38" s="1262">
        <f t="shared" si="13"/>
        <v>111</v>
      </c>
      <c r="AA38" s="1262">
        <f t="shared" si="3"/>
        <v>1</v>
      </c>
      <c r="AB38" s="1262">
        <f t="shared" si="4"/>
        <v>1</v>
      </c>
      <c r="AC38" s="1262">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94"/>
      <c r="Q39" s="1261">
        <f t="shared" si="14"/>
        <v>111</v>
      </c>
      <c r="R39" s="666" t="s">
        <v>14</v>
      </c>
      <c r="S39" s="667">
        <f t="shared" si="10"/>
        <v>100</v>
      </c>
      <c r="T39" s="666" t="s">
        <v>14</v>
      </c>
      <c r="U39" s="667">
        <f t="shared" si="11"/>
        <v>100</v>
      </c>
      <c r="V39" s="666" t="s">
        <v>14</v>
      </c>
      <c r="W39" s="667">
        <f t="shared" si="12"/>
        <v>100</v>
      </c>
      <c r="X39" s="1263"/>
      <c r="Y39" s="3394"/>
      <c r="Z39" s="1262">
        <f t="shared" si="13"/>
        <v>111</v>
      </c>
      <c r="AA39" s="1262">
        <f t="shared" si="3"/>
        <v>1</v>
      </c>
      <c r="AB39" s="1262">
        <f t="shared" si="4"/>
        <v>1</v>
      </c>
      <c r="AC39" s="1262">
        <f t="shared" si="5"/>
        <v>1</v>
      </c>
    </row>
    <row r="40" spans="1:31" s="408" customFormat="1" ht="15.6" thickBot="1">
      <c r="A40" s="406"/>
      <c r="B40" s="1066">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94"/>
      <c r="Q40" s="1261">
        <f t="shared" si="14"/>
        <v>111</v>
      </c>
      <c r="R40" s="668" t="s">
        <v>14</v>
      </c>
      <c r="S40" s="669">
        <f t="shared" si="10"/>
        <v>100</v>
      </c>
      <c r="T40" s="668" t="s">
        <v>14</v>
      </c>
      <c r="U40" s="669">
        <f t="shared" si="11"/>
        <v>100</v>
      </c>
      <c r="V40" s="668" t="s">
        <v>14</v>
      </c>
      <c r="W40" s="669">
        <f t="shared" si="12"/>
        <v>100</v>
      </c>
      <c r="X40" s="670"/>
      <c r="Y40" s="3394"/>
      <c r="Z40" s="671">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3"/>
      <c r="L41" s="2491"/>
      <c r="M41" s="2484"/>
      <c r="N41" s="2484"/>
      <c r="O41" s="2484"/>
      <c r="P41" s="3396" t="str">
        <f>A41</f>
        <v>成交单价</v>
      </c>
      <c r="Q41" s="3396"/>
      <c r="R41" s="3357">
        <f>E41</f>
        <v>0</v>
      </c>
      <c r="S41" s="3357"/>
      <c r="T41" s="3357">
        <f>G41</f>
        <v>0</v>
      </c>
      <c r="U41" s="3357"/>
      <c r="V41" s="3357">
        <f>I41</f>
        <v>0</v>
      </c>
      <c r="W41" s="3357"/>
      <c r="X41" s="385"/>
      <c r="Y41" s="672"/>
      <c r="Z41" s="385"/>
      <c r="AA41" s="385"/>
      <c r="AB41" s="385"/>
      <c r="AC41" s="385"/>
    </row>
    <row r="42" spans="1:31" ht="15" thickBot="1">
      <c r="A42" s="423" t="s">
        <v>1793</v>
      </c>
      <c r="B42" s="603"/>
      <c r="C42" s="426" t="e">
        <f>R43</f>
        <v>#DIV/0!</v>
      </c>
      <c r="D42" s="2139" t="s">
        <v>2136</v>
      </c>
      <c r="E42" s="426" t="e">
        <f>R42</f>
        <v>#DIV/0!</v>
      </c>
      <c r="F42" s="2140"/>
      <c r="G42" s="425" t="e">
        <f>T42</f>
        <v>#DIV/0!</v>
      </c>
      <c r="H42" s="2140"/>
      <c r="I42" s="426" t="e">
        <f>V42</f>
        <v>#DIV/0!</v>
      </c>
      <c r="J42" s="2140"/>
      <c r="K42" s="2142">
        <f>F42+H42+J42</f>
        <v>0</v>
      </c>
      <c r="L42" s="2491"/>
      <c r="M42" s="2484"/>
      <c r="N42" s="2484"/>
      <c r="O42" s="2484"/>
      <c r="P42" s="3396" t="str">
        <f>A42</f>
        <v>比较价值（元/平方米）</v>
      </c>
      <c r="Q42" s="3396"/>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1"/>
      <c r="M43" s="2484"/>
      <c r="N43" s="2484"/>
      <c r="O43" s="2484"/>
      <c r="P43" s="3397" t="str">
        <f>A43</f>
        <v>估价对象XX用房的比较价值（楼面单价，元/平方米）</v>
      </c>
      <c r="Q43" s="3398"/>
      <c r="R43" s="3439" t="e">
        <f>ROUND(IF(D42="简单平均",AVERAGE(R42:W42),R42*F42+T42*H42+V42*J42),0)</f>
        <v>#DIV/0!</v>
      </c>
      <c r="S43" s="3439"/>
      <c r="T43" s="3439"/>
      <c r="U43" s="3439"/>
      <c r="V43" s="3439"/>
      <c r="W43" s="343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29" t="s">
        <v>1883</v>
      </c>
      <c r="D50" s="1830" t="s">
        <v>1884</v>
      </c>
      <c r="E50" s="606" t="s">
        <v>1885</v>
      </c>
      <c r="F50" s="607" t="s">
        <v>1886</v>
      </c>
      <c r="G50" s="3374" t="s">
        <v>1887</v>
      </c>
      <c r="H50" s="3440"/>
      <c r="I50" s="1262" t="s">
        <v>1923</v>
      </c>
      <c r="J50" s="1262">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89">
        <v>1</v>
      </c>
      <c r="E51" s="610">
        <f>'数据-汇总表'!E8+'数据-汇总表'!E9</f>
        <v>247.16</v>
      </c>
      <c r="F51" s="611" t="e">
        <f t="shared" ref="F51:F60" si="15">ROUND(B51*E51/10000,0)</f>
        <v>#DIV/0!</v>
      </c>
      <c r="G51" s="3373"/>
      <c r="H51" s="3396"/>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0">
        <v>0.25</v>
      </c>
      <c r="E52" s="614"/>
      <c r="F52" s="611" t="e">
        <f t="shared" si="15"/>
        <v>#DIV/0!</v>
      </c>
      <c r="G52" s="2746" t="s">
        <v>1892</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0">
        <v>0.25</v>
      </c>
      <c r="E53" s="614"/>
      <c r="F53" s="611" t="e">
        <f t="shared" si="15"/>
        <v>#DIV/0!</v>
      </c>
      <c r="G53" s="2747"/>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0">
        <v>0.25</v>
      </c>
      <c r="E54" s="614"/>
      <c r="F54" s="611" t="e">
        <f t="shared" si="15"/>
        <v>#DIV/0!</v>
      </c>
      <c r="G54" s="2747"/>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8"/>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0">
        <v>0.25</v>
      </c>
      <c r="E59" s="209">
        <f>'数据-汇总表'!E14</f>
        <v>0</v>
      </c>
      <c r="F59" s="611" t="e">
        <f t="shared" si="15"/>
        <v>#DIV/0!</v>
      </c>
      <c r="G59" s="1833" t="s">
        <v>1892</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4.4">
      <c r="A65" s="1628" t="s">
        <v>1904</v>
      </c>
      <c r="B65" s="1045"/>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7"/>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85" zoomScaleNormal="85" workbookViewId="0">
      <pane ySplit="24" topLeftCell="A28" activePane="bottomLeft" state="frozen"/>
      <selection activeCell="C50" sqref="C50"/>
      <selection pane="bottomLeft" activeCell="A25" sqref="A25:XFD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8" t="s">
        <v>2084</v>
      </c>
      <c r="D1" s="3449"/>
      <c r="E1" s="3449"/>
      <c r="F1" s="3449"/>
      <c r="G1" s="3449"/>
      <c r="H1" s="3449"/>
      <c r="I1" s="3449"/>
      <c r="J1" s="3449"/>
      <c r="K1" s="3449"/>
      <c r="L1" s="3449"/>
      <c r="M1" s="3449"/>
      <c r="N1" s="3449"/>
      <c r="O1" s="3449"/>
      <c r="P1" s="3449"/>
      <c r="Q1" s="3449"/>
      <c r="R1" s="3449"/>
      <c r="S1" s="3450"/>
      <c r="T1" s="928" t="s">
        <v>2085</v>
      </c>
    </row>
    <row r="2" spans="1:45" s="625" customFormat="1" ht="39.6">
      <c r="A2" s="929"/>
      <c r="B2" s="622" t="s">
        <v>2086</v>
      </c>
      <c r="C2" s="14" t="str">
        <f t="shared" ref="C2:L2" si="0">C3&amp;"(含)"&amp;"-"&amp;D3</f>
        <v>0(含)-50</v>
      </c>
      <c r="D2" s="623" t="str">
        <f t="shared" si="0"/>
        <v>50(含)-100</v>
      </c>
      <c r="E2" s="623" t="str">
        <f t="shared" si="0"/>
        <v>100(含)-150</v>
      </c>
      <c r="F2" s="623" t="str">
        <f t="shared" si="0"/>
        <v>150(含)-200</v>
      </c>
      <c r="G2" s="623" t="str">
        <f t="shared" si="0"/>
        <v>200(含)-300</v>
      </c>
      <c r="H2" s="623" t="str">
        <f t="shared" si="0"/>
        <v>300(含)-500</v>
      </c>
      <c r="I2" s="623" t="str">
        <f t="shared" si="0"/>
        <v>500(含)-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f>'比较法-商业'!C103</f>
        <v>0</v>
      </c>
      <c r="D3" s="6">
        <f>'比较法-商业'!D103</f>
        <v>50</v>
      </c>
      <c r="E3" s="6">
        <f>'比较法-商业'!E103</f>
        <v>100</v>
      </c>
      <c r="F3" s="6">
        <f>'比较法-商业'!F103</f>
        <v>150</v>
      </c>
      <c r="G3" s="6">
        <f>'比较法-商业'!G103</f>
        <v>200</v>
      </c>
      <c r="H3" s="6">
        <f>'比较法-商业'!H103</f>
        <v>300</v>
      </c>
      <c r="I3" s="6">
        <f>'比较法-商业'!I103</f>
        <v>500</v>
      </c>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91">
        <f>'比较法-商业'!C104</f>
        <v>100</v>
      </c>
      <c r="D4" s="491">
        <f>'比较法-商业'!D104</f>
        <v>98</v>
      </c>
      <c r="E4" s="491">
        <f>'比较法-商业'!E104</f>
        <v>96</v>
      </c>
      <c r="F4" s="491">
        <f>'比较法-商业'!F104</f>
        <v>94</v>
      </c>
      <c r="G4" s="491">
        <f>'比较法-商业'!G104</f>
        <v>92</v>
      </c>
      <c r="H4" s="491">
        <f>'比较法-商业'!H104</f>
        <v>90</v>
      </c>
      <c r="I4" s="491">
        <f>'比较法-商业'!I104</f>
        <v>88</v>
      </c>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6" thickTop="1">
      <c r="A5" s="924"/>
      <c r="B5" s="3159" t="s">
        <v>3538</v>
      </c>
      <c r="C5" s="3160" t="s">
        <v>3539</v>
      </c>
      <c r="D5" s="3161" t="s">
        <v>3540</v>
      </c>
      <c r="E5" s="3161" t="s">
        <v>3541</v>
      </c>
      <c r="F5" s="3162" t="s">
        <v>3542</v>
      </c>
      <c r="G5" s="1225"/>
      <c r="H5" s="1225"/>
      <c r="I5" s="1225"/>
      <c r="J5" s="1225"/>
      <c r="K5" s="1225"/>
      <c r="L5" s="1226"/>
      <c r="M5" s="1227"/>
      <c r="N5" s="1227"/>
      <c r="O5" s="1225"/>
      <c r="P5" s="1225"/>
      <c r="Q5" s="1225"/>
      <c r="R5" s="1225"/>
      <c r="S5" s="1228"/>
      <c r="T5" s="942">
        <f>'比较法-商业'!K42</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7">D6-$T5</f>
        <v>96</v>
      </c>
      <c r="F6" s="1229">
        <f t="shared" si="7"/>
        <v>94</v>
      </c>
      <c r="G6" s="1229">
        <f t="shared" si="7"/>
        <v>92</v>
      </c>
      <c r="H6" s="1229">
        <f t="shared" si="7"/>
        <v>90</v>
      </c>
      <c r="I6" s="1229">
        <f t="shared" si="7"/>
        <v>88</v>
      </c>
      <c r="J6" s="1229">
        <f t="shared" si="7"/>
        <v>86</v>
      </c>
      <c r="K6" s="1229">
        <f t="shared" si="7"/>
        <v>84</v>
      </c>
      <c r="L6" s="1229">
        <f t="shared" si="7"/>
        <v>82</v>
      </c>
      <c r="M6" s="1229">
        <f t="shared" si="7"/>
        <v>80</v>
      </c>
      <c r="N6" s="1229">
        <f t="shared" si="7"/>
        <v>78</v>
      </c>
      <c r="O6" s="1229">
        <f t="shared" si="7"/>
        <v>76</v>
      </c>
      <c r="P6" s="1229">
        <f t="shared" si="7"/>
        <v>74</v>
      </c>
      <c r="Q6" s="1229">
        <f t="shared" si="7"/>
        <v>72</v>
      </c>
      <c r="R6" s="1229">
        <f t="shared" si="7"/>
        <v>70</v>
      </c>
      <c r="S6" s="1229">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2092</v>
      </c>
      <c r="B17" s="1985"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2094</v>
      </c>
      <c r="E19" s="1251"/>
      <c r="F19" s="1251"/>
      <c r="G19" s="1251"/>
      <c r="H19" s="995"/>
      <c r="I19" s="151"/>
      <c r="J19" s="151"/>
      <c r="K19" s="151"/>
      <c r="L19" s="151"/>
      <c r="M19" s="151"/>
      <c r="N19" s="151"/>
      <c r="O19" s="151"/>
      <c r="P19" s="151"/>
      <c r="Q19" s="151"/>
      <c r="R19" s="151"/>
      <c r="S19" s="121"/>
    </row>
    <row r="20" spans="1:45" ht="16.2" thickBot="1">
      <c r="A20" s="631" t="s">
        <v>2095</v>
      </c>
      <c r="B20" s="286" t="e">
        <f ca="1">IF(D20="——",S22,S22-F20)</f>
        <v>#REF!</v>
      </c>
      <c r="C20" s="151"/>
      <c r="D20" s="1987"/>
      <c r="E20" s="1252"/>
      <c r="F20" s="928" t="e">
        <f ca="1">SUMIF(INDIRECT("'"&amp;H20&amp;"'"&amp;"!A:A"),"承租人权益价值",INDIRECT("'"&amp;H20&amp;"'"&amp;"!c:c"))</f>
        <v>#REF!</v>
      </c>
      <c r="G20" s="928" t="s">
        <v>2096</v>
      </c>
      <c r="H20" s="1988"/>
      <c r="I20" s="151"/>
      <c r="J20" s="151"/>
      <c r="K20" s="151"/>
      <c r="L20" s="151"/>
      <c r="M20" s="151"/>
      <c r="N20" s="151"/>
      <c r="O20" s="151"/>
      <c r="P20" s="151"/>
      <c r="Q20" s="151"/>
      <c r="R20" s="151"/>
      <c r="S20" s="121"/>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1268.5999999999999</v>
      </c>
      <c r="C22" s="3445" t="s">
        <v>27</v>
      </c>
      <c r="D22" s="3446"/>
      <c r="E22" s="3446"/>
      <c r="F22" s="3446"/>
      <c r="G22" s="3446"/>
      <c r="H22" s="3446"/>
      <c r="I22" s="3446"/>
      <c r="J22" s="3446"/>
      <c r="K22" s="3446"/>
      <c r="L22" s="3446"/>
      <c r="M22" s="3446"/>
      <c r="N22" s="3446"/>
      <c r="O22" s="3446"/>
      <c r="P22" s="3446"/>
      <c r="Q22" s="3447"/>
      <c r="R22" s="21">
        <f ca="1">ROUND(S22*10000/B22,0)</f>
        <v>24231</v>
      </c>
      <c r="S22" s="21">
        <f ca="1">SUM(S24:S10000)</f>
        <v>3074</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'数据-基础表'!C14</f>
        <v>6-203</v>
      </c>
      <c r="B24" s="632">
        <f>'数据-基础表'!G14</f>
        <v>247.16</v>
      </c>
      <c r="C24" s="2566">
        <v>1</v>
      </c>
      <c r="D24" s="2567" t="s">
        <v>3529</v>
      </c>
      <c r="E24" s="2566">
        <v>1</v>
      </c>
      <c r="F24" s="2567"/>
      <c r="G24" s="2566">
        <v>1</v>
      </c>
      <c r="H24" s="2567"/>
      <c r="I24" s="2566">
        <v>1</v>
      </c>
      <c r="J24" s="2567"/>
      <c r="K24" s="2566">
        <v>1</v>
      </c>
      <c r="L24" s="2567"/>
      <c r="M24" s="2566">
        <v>1</v>
      </c>
      <c r="N24" s="2567"/>
      <c r="O24" s="2566">
        <v>1</v>
      </c>
      <c r="P24" s="2567"/>
      <c r="Q24" s="2566">
        <v>1</v>
      </c>
      <c r="R24" s="632">
        <f ca="1">结果表!H102</f>
        <v>23794</v>
      </c>
      <c r="S24" s="633">
        <f t="shared" ref="S24:S54" ca="1" si="11">ROUND(R24*B24/10000,0)</f>
        <v>588</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'数据-基础表'!C13</f>
        <v>6-202</v>
      </c>
      <c r="B25" s="52">
        <f>'数据-基础表'!G13</f>
        <v>64.790000000000006</v>
      </c>
      <c r="C25" s="21">
        <f>IF(B25="",1,(LOOKUP(B25,$3:$3,$4:$4)-LOOKUP($B$24,$3:$3,$4:$4)+100)/100)</f>
        <v>1.06</v>
      </c>
      <c r="D25" s="634" t="s">
        <v>3529</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25222</v>
      </c>
      <c r="S25" s="308">
        <f t="shared" ca="1" si="11"/>
        <v>163</v>
      </c>
    </row>
    <row r="26" spans="1:45">
      <c r="A26" s="142" t="str">
        <f>'数据-基础表'!C15</f>
        <v>6-205</v>
      </c>
      <c r="B26" s="52">
        <f>'数据-基础表'!G15</f>
        <v>137.59</v>
      </c>
      <c r="C26" s="21">
        <f t="shared" ref="C26:C89" si="12">IF(B26="",1,(LOOKUP(B26,$3:$3,$4:$4)-LOOKUP($B$24,$3:$3,$4:$4)+100)/100)</f>
        <v>1.04</v>
      </c>
      <c r="D26" s="634" t="s">
        <v>3529</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24746</v>
      </c>
      <c r="S26" s="308">
        <f t="shared" ca="1" si="11"/>
        <v>340</v>
      </c>
    </row>
    <row r="27" spans="1:45">
      <c r="A27" s="142" t="str">
        <f>'数据-基础表'!C16</f>
        <v>6-206</v>
      </c>
      <c r="B27" s="52">
        <f>'数据-基础表'!G16</f>
        <v>65.73</v>
      </c>
      <c r="C27" s="21">
        <f t="shared" si="12"/>
        <v>1.06</v>
      </c>
      <c r="D27" s="634" t="s">
        <v>3529</v>
      </c>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25222</v>
      </c>
      <c r="S27" s="308">
        <f t="shared" ca="1" si="11"/>
        <v>166</v>
      </c>
    </row>
    <row r="28" spans="1:45">
      <c r="A28" s="142" t="str">
        <f>'数据-基础表'!C17</f>
        <v>6-207</v>
      </c>
      <c r="B28" s="52">
        <f>'数据-基础表'!G17</f>
        <v>65.91</v>
      </c>
      <c r="C28" s="21">
        <f t="shared" si="12"/>
        <v>1.06</v>
      </c>
      <c r="D28" s="634" t="s">
        <v>3529</v>
      </c>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25222</v>
      </c>
      <c r="S28" s="308">
        <f t="shared" ca="1" si="11"/>
        <v>166</v>
      </c>
    </row>
    <row r="29" spans="1:45">
      <c r="A29" s="142" t="str">
        <f>'数据-基础表'!C18</f>
        <v>6-208</v>
      </c>
      <c r="B29" s="52">
        <f>'数据-基础表'!G18</f>
        <v>318.62</v>
      </c>
      <c r="C29" s="21">
        <f t="shared" si="12"/>
        <v>0.98</v>
      </c>
      <c r="D29" s="634" t="s">
        <v>3529</v>
      </c>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23318</v>
      </c>
      <c r="S29" s="308">
        <f t="shared" ca="1" si="11"/>
        <v>743</v>
      </c>
    </row>
    <row r="30" spans="1:45">
      <c r="A30" s="142" t="str">
        <f>'数据-基础表'!C19</f>
        <v>6-209</v>
      </c>
      <c r="B30" s="52">
        <f>'数据-基础表'!G19</f>
        <v>242.93</v>
      </c>
      <c r="C30" s="21">
        <f t="shared" si="12"/>
        <v>1</v>
      </c>
      <c r="D30" s="634" t="s">
        <v>3484</v>
      </c>
      <c r="E30" s="21">
        <f t="shared" si="13"/>
        <v>1.02</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24270</v>
      </c>
      <c r="S30" s="308">
        <f t="shared" ca="1" si="11"/>
        <v>590</v>
      </c>
    </row>
    <row r="31" spans="1:45">
      <c r="A31" s="142" t="str">
        <f>'数据-基础表'!C20</f>
        <v>6-210</v>
      </c>
      <c r="B31" s="52">
        <f>'数据-基础表'!G20</f>
        <v>125.87</v>
      </c>
      <c r="C31" s="21">
        <f t="shared" si="12"/>
        <v>1.04</v>
      </c>
      <c r="D31" s="634" t="s">
        <v>3484</v>
      </c>
      <c r="E31" s="21">
        <f t="shared" si="13"/>
        <v>1.02</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ca="1" si="20"/>
        <v>25241</v>
      </c>
      <c r="S31" s="308">
        <f t="shared" ca="1" si="11"/>
        <v>318</v>
      </c>
    </row>
    <row r="32" spans="1:45">
      <c r="A32" s="142"/>
      <c r="B32" s="52"/>
      <c r="C32" s="21">
        <f t="shared" si="12"/>
        <v>1</v>
      </c>
      <c r="D32" s="634"/>
      <c r="E32" s="21">
        <f t="shared" si="13"/>
        <v>0.02</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0.02</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0.02</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0.02</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0.02</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0.02</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0.02</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0.02</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0.02</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0.02</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0.02</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0.02</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0.02</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0.02</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0.02</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0.02</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0.02</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0.02</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0.02</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0.02</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0.02</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0.02</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0.02</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0.02</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0.02</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0.02</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0.02</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0.02</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0.02</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0.02</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0.02</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0.02</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0.02</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0.02</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0.02</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0.02</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0.02</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0.02</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0.02</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0.02</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0.02</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0.02</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0.02</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0.02</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0.02</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0.02</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0.02</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0.02</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0.02</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0.02</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0.02</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0.02</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0.02</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0.02</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0.02</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0.02</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0.02</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0.02</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0.02</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0.02</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0.02</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0.02</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0.02</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0.02</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0.02</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0.02</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0.02</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0.02</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0.02</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0.02</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0.02</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0.02</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0.02</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0.02</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0.02</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0.02</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0.02</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0.02</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0.02</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0.02</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0.02</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0.02</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0.02</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0.02</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0.02</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0.02</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0.02</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0.02</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0.02</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0.02</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0.02</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0.02</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0.02</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0.02</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0.02</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0.02</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0.02</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0.02</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0.02</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0.02</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0.02</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0.02</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0.02</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0.02</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0.02</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0.02</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0.02</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0.02</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0.02</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0.02</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0.02</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0.02</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0.02</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0.02</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0.02</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0.02</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0.02</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0.02</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0.02</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0.02</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0.02</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0.02</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0.02</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0.02</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0.02</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0.02</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0.02</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0.02</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0.02</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0.02</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0.02</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0.02</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0.02</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0.02</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0.02</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0.02</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0.02</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0.02</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0.02</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0.02</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0.02</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0.02</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0.02</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0.02</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0.02</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0.02</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0.02</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0.02</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0.02</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0.02</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0.02</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0.02</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0.02</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0.02</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0.02</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0.02</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0.02</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0.02</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0.02</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0.02</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0.02</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0.02</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0.02</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0.02</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0.02</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0.02</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0.02</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0.02</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0.02</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0.02</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0.02</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0.02</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0.02</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0.02</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0.02</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0.02</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0.02</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0.02</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0.02</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0.02</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0.02</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0.02</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0.02</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0.02</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0.02</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0.02</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0.02</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0.02</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0.02</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0.02</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0.02</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0.02</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0.02</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0.02</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0.02</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0.02</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0.02</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0.02</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0.02</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0.02</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0.02</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0.02</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0.02</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0.02</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0.02</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0.02</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0.02</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0.02</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0.02</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0.02</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0.02</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0.02</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0.02</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0.02</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0.02</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0.02</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0.02</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0.02</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0.02</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0.02</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0.02</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0.02</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0.02</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0.02</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0.02</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0.02</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0.02</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0.02</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0.02</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0.02</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0.02</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0.02</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0.02</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0.02</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0.02</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0.02</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0.02</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0.02</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0.02</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0.02</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0.02</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0.02</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0.02</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0.02</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0.02</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0.02</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0.02</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0.02</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0.02</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0.02</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0.02</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0.02</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0.02</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0.02</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0.02</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0.02</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0.02</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0.02</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0.02</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0.02</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0.02</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0.02</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0.02</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0.02</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0.02</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0.02</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0.02</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0.02</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0.02</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0.02</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0.02</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0.02</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0.02</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0.02</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0.02</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0.02</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0.02</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0.02</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0.02</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0.02</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0.02</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0.02</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0.02</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0.02</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0.02</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0.02</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0.02</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0.02</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0.02</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0.02</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0.02</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0.02</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0.02</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0.02</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0.02</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0.02</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0.02</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0.02</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0.02</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0.02</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0.02</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0.02</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0.02</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0.02</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0.02</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0.02</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0.02</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0.02</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0.02</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0.02</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0.02</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0.02</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0.02</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0.02</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0.02</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0.02</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0.02</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0.02</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0.02</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0.02</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0.02</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0.02</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0.02</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0.02</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0.02</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0.02</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0.02</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0.02</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0.02</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0.02</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0.02</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0.02</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0.02</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0.02</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0.02</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0.02</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0.02</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0.02</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0.02</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0.02</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0.02</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0.02</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0.02</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0.02</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0.02</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0.02</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0.02</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0.02</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0.02</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0.02</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0.02</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0.02</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0.02</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0.02</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0.02</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0.02</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0.02</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0.02</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0.02</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0.02</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0.02</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0.02</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0.02</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0.02</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0.02</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0.02</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0.02</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0.02</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0.02</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0.02</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0.02</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0.02</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0.02</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0.02</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0.02</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0.02</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0.02</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0.02</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0.02</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0.02</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0.02</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0.02</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0.02</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0.02</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0.02</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0.02</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0.02</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0.02</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0.02</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0.02</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0.02</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0.02</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0.02</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0.02</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0.02</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0.02</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0.02</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0.02</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0.02</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0.02</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0.02</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0.02</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0.02</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0.02</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0.02</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0.02</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0.02</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0.02</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0.02</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0.02</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0.02</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0.02</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0.02</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0.02</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0.02</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0.02</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0.02</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0.02</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0.02</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0.02</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0.02</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0.02</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0.02</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0.02</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0.02</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0.02</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0.02</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0.02</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0.02</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0.02</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0.02</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0.02</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0.02</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0.02</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0.02</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0.02</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0.02</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0.02</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0.02</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0.02</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0.02</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0.02</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0.02</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0.02</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0.02</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0.02</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0.02</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0.02</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0.02</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0.02</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0.02</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0.02</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0.02</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0.02</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0.02</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0.02</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0.02</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0.02</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0.02</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0.02</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0.02</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0.02</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0.02</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0.02</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0.02</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0.02</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0.02</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0.02</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0.02</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0.02</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0.02</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0.02</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0.02</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0.02</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0.02</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0.02</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0.02</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0.02</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0.02</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0.02</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0.02</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0.02</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0.02</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0.02</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0.02</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0.02</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0.02</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0.02</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0.02</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0.02</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0.02</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0.02</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0.02</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2081</v>
      </c>
      <c r="B1" s="4"/>
      <c r="C1" s="4"/>
      <c r="D1" s="4"/>
      <c r="E1" s="4"/>
      <c r="F1" s="2541"/>
      <c r="G1" s="2541"/>
      <c r="H1" s="2541"/>
      <c r="I1" s="2541"/>
      <c r="J1" s="2541"/>
      <c r="K1" s="2541"/>
      <c r="L1" s="2541"/>
      <c r="M1" s="2541"/>
      <c r="N1" s="2541"/>
      <c r="O1" s="2541"/>
      <c r="P1" s="2541"/>
    </row>
    <row r="2" spans="1:16" ht="15.6">
      <c r="A2" s="1982" t="s">
        <v>2073</v>
      </c>
      <c r="B2" s="2385">
        <f ca="1">SUMIF(B6:B13,"&lt;&gt;#ref!",B6:B13)</f>
        <v>0</v>
      </c>
      <c r="C2" s="1982" t="s">
        <v>2074</v>
      </c>
      <c r="D2" s="1982" t="s">
        <v>2075</v>
      </c>
      <c r="E2" s="2395">
        <f ca="1">SUMIF(E6:E13,"&lt;&gt;#ref!",E6:E13)</f>
        <v>0</v>
      </c>
      <c r="F2" s="2541"/>
      <c r="G2" s="2541"/>
      <c r="H2" s="2541"/>
      <c r="I2" s="2541"/>
      <c r="J2" s="2541"/>
      <c r="K2" s="2541"/>
      <c r="L2" s="2541"/>
      <c r="M2" s="2541"/>
      <c r="N2" s="2541"/>
      <c r="O2" s="2541"/>
      <c r="P2" s="2541"/>
    </row>
    <row r="3" spans="1:16" ht="15.6">
      <c r="A3" s="1982" t="s">
        <v>2076</v>
      </c>
      <c r="B3" s="2385" t="e">
        <f ca="1">ROUND(B2*10000/E2,0)</f>
        <v>#DIV/0!</v>
      </c>
      <c r="C3" s="1982"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3"/>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0</v>
      </c>
      <c r="C6" s="1982"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2"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2"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2"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2"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2"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2"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2"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848C1-732F-4C83-BC3B-5C7C4C34ECAE}">
  <dimension ref="A2:O23"/>
  <sheetViews>
    <sheetView topLeftCell="G4" workbookViewId="0">
      <selection activeCell="I3" sqref="I3:I10"/>
    </sheetView>
  </sheetViews>
  <sheetFormatPr defaultRowHeight="14.4"/>
  <cols>
    <col min="2" max="2" width="18.6640625" customWidth="1"/>
    <col min="3" max="3" width="20" customWidth="1"/>
    <col min="5" max="5" width="19.21875" customWidth="1"/>
    <col min="6" max="6" width="11" customWidth="1"/>
    <col min="7" max="7" width="5.109375" customWidth="1"/>
    <col min="8" max="8" width="7.109375" customWidth="1"/>
    <col min="9" max="9" width="12.5546875" customWidth="1"/>
    <col min="11" max="11" width="8.44140625" customWidth="1"/>
    <col min="12" max="13" width="13.77734375" customWidth="1"/>
    <col min="15" max="15" width="10.5546875" bestFit="1" customWidth="1"/>
  </cols>
  <sheetData>
    <row r="2" spans="1:15" s="3140" customFormat="1" ht="28.8">
      <c r="A2" s="3139" t="s">
        <v>3433</v>
      </c>
      <c r="B2" s="3139" t="s">
        <v>3387</v>
      </c>
      <c r="C2" s="3139" t="s">
        <v>3388</v>
      </c>
      <c r="D2" s="3139" t="s">
        <v>3389</v>
      </c>
      <c r="E2" s="3139" t="s">
        <v>3390</v>
      </c>
      <c r="F2" s="3139" t="s">
        <v>3395</v>
      </c>
      <c r="G2" s="3139" t="s">
        <v>3396</v>
      </c>
      <c r="H2" s="3139" t="s">
        <v>3398</v>
      </c>
      <c r="I2" s="3139" t="s">
        <v>3393</v>
      </c>
      <c r="J2" s="3139" t="s">
        <v>3394</v>
      </c>
      <c r="K2" s="3139" t="s">
        <v>3397</v>
      </c>
      <c r="L2" s="3139" t="s">
        <v>3391</v>
      </c>
      <c r="M2" s="3139" t="s">
        <v>3392</v>
      </c>
      <c r="N2" s="3139" t="s">
        <v>2543</v>
      </c>
      <c r="O2" s="3139" t="s">
        <v>3424</v>
      </c>
    </row>
    <row r="3" spans="1:15" s="3140" customFormat="1" ht="43.2">
      <c r="A3" s="3140">
        <v>1</v>
      </c>
      <c r="B3" s="3139" t="s">
        <v>3399</v>
      </c>
      <c r="C3" s="3139" t="s">
        <v>3400</v>
      </c>
      <c r="D3" s="3139" t="s">
        <v>3401</v>
      </c>
      <c r="E3" s="3139" t="s">
        <v>3402</v>
      </c>
      <c r="F3" s="3139" t="s">
        <v>3407</v>
      </c>
      <c r="G3" s="3140">
        <v>2</v>
      </c>
      <c r="H3" s="3139" t="s">
        <v>3408</v>
      </c>
      <c r="I3" s="3140">
        <v>64.790000000000006</v>
      </c>
      <c r="J3" s="3139" t="s">
        <v>3406</v>
      </c>
      <c r="K3" s="3140">
        <v>2008</v>
      </c>
      <c r="L3" s="3139" t="s">
        <v>3403</v>
      </c>
      <c r="M3" s="3139" t="s">
        <v>3404</v>
      </c>
      <c r="N3" s="3139" t="s">
        <v>3405</v>
      </c>
    </row>
    <row r="4" spans="1:15" ht="43.2">
      <c r="A4">
        <v>2</v>
      </c>
      <c r="B4" s="3139" t="s">
        <v>3409</v>
      </c>
      <c r="C4" s="3139" t="s">
        <v>3400</v>
      </c>
      <c r="D4" s="3139" t="s">
        <v>3401</v>
      </c>
      <c r="E4" s="3139" t="s">
        <v>3410</v>
      </c>
      <c r="F4" s="3139" t="s">
        <v>3407</v>
      </c>
      <c r="G4" s="3140">
        <v>2</v>
      </c>
      <c r="H4" s="1403" t="s">
        <v>3411</v>
      </c>
      <c r="I4">
        <v>247.16</v>
      </c>
      <c r="J4" s="3139" t="s">
        <v>3406</v>
      </c>
      <c r="K4" s="3140">
        <v>2008</v>
      </c>
      <c r="L4" s="3139" t="s">
        <v>3403</v>
      </c>
      <c r="M4" s="3139" t="s">
        <v>3404</v>
      </c>
      <c r="N4" s="3139" t="s">
        <v>3405</v>
      </c>
    </row>
    <row r="5" spans="1:15" ht="43.2">
      <c r="A5">
        <v>3</v>
      </c>
      <c r="B5" s="3139" t="s">
        <v>3413</v>
      </c>
      <c r="C5" s="3139" t="s">
        <v>3400</v>
      </c>
      <c r="D5" s="3139" t="s">
        <v>3401</v>
      </c>
      <c r="E5" s="3139" t="s">
        <v>3412</v>
      </c>
      <c r="F5" s="3139" t="s">
        <v>3407</v>
      </c>
      <c r="G5" s="3140">
        <v>2</v>
      </c>
      <c r="H5" s="1403" t="s">
        <v>3414</v>
      </c>
      <c r="I5">
        <v>137.59</v>
      </c>
      <c r="J5" s="3139" t="s">
        <v>3406</v>
      </c>
      <c r="K5" s="3140">
        <v>2008</v>
      </c>
      <c r="L5" s="3139" t="s">
        <v>3403</v>
      </c>
      <c r="M5" s="3139" t="s">
        <v>3404</v>
      </c>
      <c r="N5" s="3139" t="s">
        <v>3405</v>
      </c>
    </row>
    <row r="6" spans="1:15" ht="43.2">
      <c r="A6" s="3140">
        <v>4</v>
      </c>
      <c r="B6" s="3139" t="s">
        <v>3415</v>
      </c>
      <c r="C6" s="3139" t="s">
        <v>3400</v>
      </c>
      <c r="D6" s="3139" t="s">
        <v>3401</v>
      </c>
      <c r="E6" s="3139" t="s">
        <v>3416</v>
      </c>
      <c r="F6" s="3139" t="s">
        <v>3407</v>
      </c>
      <c r="G6" s="3140">
        <v>2</v>
      </c>
      <c r="H6" s="1403" t="s">
        <v>3417</v>
      </c>
      <c r="I6">
        <v>65.73</v>
      </c>
      <c r="J6" s="3139" t="s">
        <v>3406</v>
      </c>
      <c r="K6" s="3140">
        <v>2008</v>
      </c>
      <c r="L6" s="3139" t="s">
        <v>3403</v>
      </c>
      <c r="M6" s="3139" t="s">
        <v>3404</v>
      </c>
      <c r="N6" s="3139" t="s">
        <v>3405</v>
      </c>
    </row>
    <row r="7" spans="1:15" ht="43.2">
      <c r="A7">
        <v>5</v>
      </c>
      <c r="B7" s="3139" t="s">
        <v>3419</v>
      </c>
      <c r="C7" s="3139" t="s">
        <v>3425</v>
      </c>
      <c r="D7" s="3139" t="s">
        <v>3401</v>
      </c>
      <c r="E7" s="3139" t="s">
        <v>3418</v>
      </c>
      <c r="F7" s="3139" t="s">
        <v>3407</v>
      </c>
      <c r="G7" s="3140">
        <v>2</v>
      </c>
      <c r="H7" s="1403" t="s">
        <v>3420</v>
      </c>
      <c r="I7">
        <v>65.91</v>
      </c>
      <c r="J7" s="3139" t="s">
        <v>3406</v>
      </c>
      <c r="K7" s="3140">
        <v>2008</v>
      </c>
      <c r="L7" s="3139" t="s">
        <v>3403</v>
      </c>
      <c r="M7" s="3139" t="s">
        <v>3404</v>
      </c>
      <c r="N7" s="3139" t="s">
        <v>3405</v>
      </c>
      <c r="O7" s="3141">
        <v>52837</v>
      </c>
    </row>
    <row r="8" spans="1:15" ht="43.2">
      <c r="A8">
        <v>6</v>
      </c>
      <c r="B8" s="3139" t="s">
        <v>3423</v>
      </c>
      <c r="C8" s="3139" t="s">
        <v>3425</v>
      </c>
      <c r="D8" s="3139" t="s">
        <v>3401</v>
      </c>
      <c r="E8" s="3139" t="s">
        <v>3421</v>
      </c>
      <c r="F8" s="3139" t="s">
        <v>3407</v>
      </c>
      <c r="G8" s="3140">
        <v>2</v>
      </c>
      <c r="H8" s="1403" t="s">
        <v>3422</v>
      </c>
      <c r="I8">
        <v>318.62</v>
      </c>
      <c r="J8" s="3139" t="s">
        <v>3406</v>
      </c>
      <c r="K8" s="3140">
        <v>2008</v>
      </c>
      <c r="L8" s="3139" t="s">
        <v>3403</v>
      </c>
      <c r="M8" s="3139" t="s">
        <v>3404</v>
      </c>
      <c r="N8" s="3139" t="s">
        <v>3405</v>
      </c>
      <c r="O8" s="3141">
        <v>52837</v>
      </c>
    </row>
    <row r="9" spans="1:15" ht="43.2">
      <c r="A9" s="3140">
        <v>7</v>
      </c>
      <c r="B9" s="3139" t="s">
        <v>3426</v>
      </c>
      <c r="C9" s="3139" t="s">
        <v>3427</v>
      </c>
      <c r="D9" s="3139" t="s">
        <v>3401</v>
      </c>
      <c r="E9" s="3139" t="s">
        <v>3428</v>
      </c>
      <c r="F9" s="3139" t="s">
        <v>3407</v>
      </c>
      <c r="G9" s="3140">
        <v>2</v>
      </c>
      <c r="H9" s="3140" t="s">
        <v>3429</v>
      </c>
      <c r="I9">
        <v>242.93</v>
      </c>
      <c r="J9" s="3139" t="s">
        <v>3406</v>
      </c>
      <c r="K9" s="3140">
        <v>2008</v>
      </c>
      <c r="L9" s="3139" t="s">
        <v>3403</v>
      </c>
      <c r="M9" s="3139" t="s">
        <v>3404</v>
      </c>
      <c r="N9" s="3139" t="s">
        <v>3405</v>
      </c>
    </row>
    <row r="10" spans="1:15" ht="43.2">
      <c r="A10">
        <v>8</v>
      </c>
      <c r="B10" s="3139" t="s">
        <v>3430</v>
      </c>
      <c r="C10" s="3139" t="s">
        <v>3427</v>
      </c>
      <c r="D10" s="3139" t="s">
        <v>3401</v>
      </c>
      <c r="E10" s="3139" t="s">
        <v>3431</v>
      </c>
      <c r="F10" s="3139" t="s">
        <v>3407</v>
      </c>
      <c r="G10" s="3140">
        <v>2</v>
      </c>
      <c r="H10" s="3140" t="s">
        <v>3432</v>
      </c>
      <c r="I10">
        <v>125.87</v>
      </c>
      <c r="J10" s="3139" t="s">
        <v>3406</v>
      </c>
      <c r="K10" s="3140">
        <v>2008</v>
      </c>
      <c r="L10" s="3139" t="s">
        <v>3403</v>
      </c>
      <c r="M10" s="3139" t="s">
        <v>3404</v>
      </c>
      <c r="N10" s="3139" t="s">
        <v>3405</v>
      </c>
    </row>
    <row r="11" spans="1:15">
      <c r="H11" s="1403" t="s">
        <v>2592</v>
      </c>
      <c r="I11">
        <f>SUM(I3:I10)</f>
        <v>1268.5999999999999</v>
      </c>
    </row>
    <row r="14" spans="1:15">
      <c r="B14" s="1403" t="s">
        <v>3550</v>
      </c>
    </row>
    <row r="15" spans="1:15">
      <c r="B15" s="1403" t="s">
        <v>3552</v>
      </c>
      <c r="C15" s="1403" t="s">
        <v>3553</v>
      </c>
      <c r="D15" s="1403" t="s">
        <v>3551</v>
      </c>
    </row>
    <row r="16" spans="1:15">
      <c r="B16">
        <v>1650000</v>
      </c>
      <c r="C16">
        <v>899.8</v>
      </c>
      <c r="D16">
        <f>B16/C16/365</f>
        <v>5.0239474830023116</v>
      </c>
    </row>
    <row r="17" spans="2:8">
      <c r="B17" s="1403"/>
    </row>
    <row r="19" spans="2:8">
      <c r="B19" s="1403" t="s">
        <v>3554</v>
      </c>
    </row>
    <row r="20" spans="2:8">
      <c r="B20" s="1403" t="s">
        <v>3555</v>
      </c>
      <c r="C20" s="1403" t="s">
        <v>3557</v>
      </c>
      <c r="D20" s="1403" t="s">
        <v>3559</v>
      </c>
      <c r="F20" s="1403" t="s">
        <v>3561</v>
      </c>
      <c r="G20" s="1403" t="s">
        <v>3562</v>
      </c>
      <c r="H20" s="1403" t="s">
        <v>3563</v>
      </c>
    </row>
    <row r="21" spans="2:8">
      <c r="B21" s="1403" t="s">
        <v>3556</v>
      </c>
      <c r="C21" s="1403" t="s">
        <v>3558</v>
      </c>
      <c r="D21">
        <v>64.790000000000006</v>
      </c>
      <c r="E21" s="1403" t="s">
        <v>3560</v>
      </c>
      <c r="F21">
        <v>13794.87</v>
      </c>
      <c r="G21">
        <v>7</v>
      </c>
    </row>
    <row r="22" spans="2:8">
      <c r="E22" s="1403" t="s">
        <v>3564</v>
      </c>
      <c r="F22">
        <v>13794.87</v>
      </c>
      <c r="G22">
        <v>7</v>
      </c>
    </row>
    <row r="23" spans="2:8">
      <c r="E23" s="1403" t="s">
        <v>3565</v>
      </c>
      <c r="F23">
        <v>14484.61</v>
      </c>
      <c r="G23">
        <v>7.35</v>
      </c>
      <c r="H23" s="3163">
        <v>0.05</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1F6-3163-433F-8DB1-82380A7EF66D}">
  <dimension ref="N15:S24"/>
  <sheetViews>
    <sheetView tabSelected="1" workbookViewId="0">
      <selection activeCell="N18" sqref="N18"/>
    </sheetView>
  </sheetViews>
  <sheetFormatPr defaultRowHeight="14.4"/>
  <sheetData>
    <row r="15" spans="14:14">
      <c r="N15" s="1403" t="s">
        <v>3545</v>
      </c>
    </row>
    <row r="16" spans="14:14">
      <c r="N16" s="1403" t="s">
        <v>3546</v>
      </c>
    </row>
    <row r="17" spans="14:19">
      <c r="N17" s="1403" t="s">
        <v>3568</v>
      </c>
    </row>
    <row r="18" spans="14:19">
      <c r="N18" s="1403" t="s">
        <v>3547</v>
      </c>
    </row>
    <row r="21" spans="14:19">
      <c r="O21" s="1403" t="s">
        <v>3393</v>
      </c>
      <c r="P21" s="1403" t="s">
        <v>3480</v>
      </c>
      <c r="Q21" s="1403" t="s">
        <v>3481</v>
      </c>
      <c r="R21" s="1403" t="s">
        <v>3482</v>
      </c>
    </row>
    <row r="22" spans="14:19">
      <c r="N22" s="1403" t="s">
        <v>3479</v>
      </c>
      <c r="O22">
        <v>147</v>
      </c>
      <c r="P22">
        <v>1</v>
      </c>
      <c r="Q22" s="1403">
        <v>40751</v>
      </c>
      <c r="R22" s="1403" t="s">
        <v>3485</v>
      </c>
      <c r="S22" s="1403" t="s">
        <v>3548</v>
      </c>
    </row>
    <row r="23" spans="14:19">
      <c r="O23" s="1403">
        <v>55.92</v>
      </c>
      <c r="P23">
        <v>1</v>
      </c>
      <c r="Q23">
        <v>42919</v>
      </c>
      <c r="R23" s="1403" t="s">
        <v>3485</v>
      </c>
      <c r="S23" s="1403" t="s">
        <v>3549</v>
      </c>
    </row>
    <row r="24" spans="14:19">
      <c r="O24">
        <v>51.76</v>
      </c>
      <c r="P24">
        <v>1</v>
      </c>
      <c r="Q24">
        <v>36322</v>
      </c>
      <c r="R24" s="1403" t="s">
        <v>3483</v>
      </c>
      <c r="S24" s="1403" t="s">
        <v>3549</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t="s">
        <v>3470</v>
      </c>
      <c r="C1" s="1715" t="s">
        <v>1563</v>
      </c>
      <c r="D1" s="190"/>
      <c r="E1" s="190"/>
      <c r="F1" s="190"/>
      <c r="G1" s="1061">
        <f>MATCH(B1,'数据-取费表'!A6:A16,0)+5</f>
        <v>6</v>
      </c>
      <c r="H1" s="997" t="str">
        <f>IF(ISERROR(FIND("住宅",B1)),"非住宅","住宅")</f>
        <v>非住宅</v>
      </c>
    </row>
    <row r="2" spans="1:8" s="192" customFormat="1" ht="18" customHeight="1">
      <c r="A2" s="193" t="s">
        <v>1462</v>
      </c>
      <c r="B2" s="3117">
        <f ca="1">ROUND(IF(D2="——",C52/10000,C52/10000-E2),4)</f>
        <v>79.878200000000007</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3232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49432</v>
      </c>
      <c r="D5" s="203" t="s">
        <v>1469</v>
      </c>
      <c r="E5" s="204" t="s">
        <v>1470</v>
      </c>
      <c r="F5" s="204" t="s">
        <v>1471</v>
      </c>
      <c r="G5" s="205"/>
    </row>
    <row r="6" spans="1:8" s="206" customFormat="1" ht="13.5" customHeight="1">
      <c r="A6" s="731" t="s">
        <v>1472</v>
      </c>
      <c r="B6" s="207" t="s">
        <v>1473</v>
      </c>
      <c r="C6" s="208">
        <f>ROUND(基准地价修正!U3*基准地价修正!T3,0)</f>
        <v>0</v>
      </c>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49432</v>
      </c>
      <c r="D8" s="214"/>
      <c r="E8" s="212"/>
      <c r="F8" s="213"/>
      <c r="G8" s="1712" t="s">
        <v>3471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49432</v>
      </c>
      <c r="D10" s="794">
        <f ca="1">IF(B1="",'数据-汇总表'!E6,IF(INDIRECT("'数据-取费表'!c"&amp;$G$1)="住宅",INDIRECT("'数据-取费表'!s"&amp;$G$1),INDIRECT("'数据-取费表'!k"&amp;$G$1)+INDIRECT("'数据-取费表'!s"&amp;$G$1)))</f>
        <v>247.16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247.16</v>
      </c>
      <c r="E19" s="203">
        <f>'数据-取费表'!B31</f>
        <v>200</v>
      </c>
      <c r="F19" s="223"/>
      <c r="G19" s="1712" t="s">
        <v>3472</v>
      </c>
    </row>
    <row r="20" spans="1:7" s="206" customFormat="1" ht="13.5" customHeight="1">
      <c r="A20" s="247" t="s">
        <v>1574</v>
      </c>
      <c r="B20" s="202" t="s">
        <v>1575</v>
      </c>
      <c r="C20" s="224">
        <f ca="1">ROUND((C5+C19)*F20,0)</f>
        <v>989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3143</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3112</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31</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7563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7563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66219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710585</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617900</v>
      </c>
      <c r="D34" s="209"/>
      <c r="E34" s="212"/>
      <c r="F34" s="249"/>
      <c r="G34" s="211"/>
    </row>
    <row r="35" spans="1:7" ht="13.5" customHeight="1">
      <c r="A35" s="733" t="s">
        <v>351</v>
      </c>
      <c r="B35" s="207" t="s">
        <v>1527</v>
      </c>
      <c r="C35" s="212">
        <f ca="1">ROUND(C34*F35,0)</f>
        <v>30895</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49432</v>
      </c>
      <c r="D37" s="209">
        <f ca="1">D19</f>
        <v>247.16</v>
      </c>
      <c r="E37" s="241">
        <f>'数据-取费表'!B35</f>
        <v>200</v>
      </c>
      <c r="F37" s="251"/>
      <c r="G37" s="253"/>
    </row>
    <row r="38" spans="1:7" ht="13.5" customHeight="1">
      <c r="A38" s="733" t="s">
        <v>354</v>
      </c>
      <c r="B38" s="207" t="s">
        <v>1533</v>
      </c>
      <c r="C38" s="212">
        <f ca="1">ROUND(C34*F38,0)</f>
        <v>12358</v>
      </c>
      <c r="D38" s="212"/>
      <c r="E38" s="212"/>
      <c r="F38" s="251">
        <f>'数据-取费表'!B36</f>
        <v>0.02</v>
      </c>
      <c r="G38" s="211" t="s">
        <v>1528</v>
      </c>
    </row>
    <row r="39" spans="1:7" s="206" customFormat="1" ht="13.5" customHeight="1">
      <c r="A39" s="247" t="s">
        <v>1534</v>
      </c>
      <c r="B39" s="202" t="s">
        <v>1535</v>
      </c>
      <c r="C39" s="224">
        <f ca="1">ROUND(C33*F20,0)</f>
        <v>14212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22469</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22028</v>
      </c>
      <c r="D42" s="230"/>
      <c r="E42" s="230"/>
      <c r="F42" s="231"/>
      <c r="G42" s="3346" t="s">
        <v>1591</v>
      </c>
    </row>
    <row r="43" spans="1:7" ht="13.5" customHeight="1">
      <c r="A43" s="733" t="s">
        <v>347</v>
      </c>
      <c r="B43" s="207" t="s">
        <v>1545</v>
      </c>
      <c r="C43" s="230">
        <f ca="1">ROUND(IF('数据-取费表'!B22&lt;=1,C39*F22*'数据-取费表'!B20/2,C39*(POWER((1+F22),'数据-取费表'!B20/2)-1)),0)</f>
        <v>441</v>
      </c>
      <c r="D43" s="230"/>
      <c r="E43" s="230"/>
      <c r="F43" s="231"/>
      <c r="G43" s="3347"/>
    </row>
    <row r="44" spans="1:7" ht="13.5" customHeight="1">
      <c r="A44" s="733" t="s">
        <v>348</v>
      </c>
      <c r="B44" s="207" t="s">
        <v>1546</v>
      </c>
      <c r="C44" s="230">
        <f ca="1">ROUND(IF('数据-取费表'!B22&lt;=1,C40*F22*'数据-取费表'!B20/2,C40*(POWER((1+F22),'数据-取费表'!B20/2)-1)),4)</f>
        <v>5.9999999999999995E-4</v>
      </c>
      <c r="D44" s="230"/>
      <c r="E44" s="230"/>
      <c r="F44" s="231"/>
      <c r="G44" s="3348"/>
    </row>
    <row r="45" spans="1:7" s="206" customFormat="1" ht="13.5" customHeight="1">
      <c r="A45" s="247" t="s">
        <v>1547</v>
      </c>
      <c r="B45" s="236" t="s">
        <v>1513</v>
      </c>
      <c r="C45" s="237">
        <f ca="1">C46</f>
        <v>108720</v>
      </c>
      <c r="D45" s="227">
        <f ca="1">C47</f>
        <v>3.0000000000000001E-3</v>
      </c>
      <c r="E45" s="228" t="s">
        <v>1539</v>
      </c>
      <c r="F45" s="238">
        <f ca="1">F27</f>
        <v>0.15</v>
      </c>
      <c r="G45" s="239" t="s">
        <v>1548</v>
      </c>
    </row>
    <row r="46" spans="1:7" s="206" customFormat="1" ht="13.5" customHeight="1">
      <c r="A46" s="733" t="s">
        <v>346</v>
      </c>
      <c r="B46" s="240" t="s">
        <v>1549</v>
      </c>
      <c r="C46" s="241">
        <f ca="1">ROUND((C33+C39)*F27,0)</f>
        <v>108720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927295</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732563</v>
      </c>
      <c r="D51" s="224"/>
      <c r="E51" s="224"/>
      <c r="F51" s="256"/>
      <c r="G51" s="226" t="s">
        <v>1560</v>
      </c>
    </row>
    <row r="52" spans="1:7" s="200" customFormat="1" ht="16.8" thickBot="1">
      <c r="A52" s="257" t="s">
        <v>1561</v>
      </c>
      <c r="B52" s="258"/>
      <c r="C52" s="259">
        <f ca="1">C31+C51</f>
        <v>798782</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H1" zoomScaleNormal="80" zoomScaleSheetLayoutView="100" workbookViewId="0">
      <selection activeCell="G50" sqref="G50:G58"/>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7"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0</v>
      </c>
      <c r="C2" s="1844" t="s">
        <v>1935</v>
      </c>
      <c r="D2" s="162" t="s">
        <v>1936</v>
      </c>
      <c r="E2" s="3115"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0"/>
      <c r="K2" s="1055"/>
      <c r="L2" s="1845" t="s">
        <v>1939</v>
      </c>
      <c r="M2" s="810">
        <f>SUMPRODUCT((区片价!B10:B29=I2)*(区片价!C3:G3=E2)*(区片价!C10:G29))</f>
        <v>0</v>
      </c>
      <c r="N2" s="812">
        <f>SUMPRODUCT((因素修正幅度!B10:B29=I2)*(因素修正幅度!C3:G3=E2)*(因素修正幅度!C10:G29))</f>
        <v>0</v>
      </c>
      <c r="O2" s="1055"/>
      <c r="P2" s="1055"/>
      <c r="Q2" s="1055"/>
      <c r="R2" s="1127">
        <v>1</v>
      </c>
      <c r="S2" s="3059">
        <f>ROUND(SUMPRODUCT((B106:B110=R2)*(C105:N105=G2)*(C106:N110)),4)</f>
        <v>1.5019</v>
      </c>
      <c r="T2" s="3059">
        <f t="shared" ref="T2:T16" si="0">ROUND($C$5*$C$22*$C$23*$C$24*S2*$C$28,0)</f>
        <v>17859</v>
      </c>
      <c r="U2" s="1128"/>
      <c r="V2" s="3059">
        <f>ROUND(T2*U2/10000,0)</f>
        <v>0</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3" t="s">
        <v>2439</v>
      </c>
      <c r="F3" s="1846" t="s">
        <v>3455</v>
      </c>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7">
        <v>2</v>
      </c>
      <c r="S3" s="3059">
        <f>ROUND(SUMPRODUCT((B106:B110=R3)*(C105:N105=G2)*(C106:N110)),4)</f>
        <v>1.1838</v>
      </c>
      <c r="T3" s="3059">
        <f t="shared" si="0"/>
        <v>14076</v>
      </c>
      <c r="U3" s="1128">
        <f>'数据-汇总表'!E20</f>
        <v>0</v>
      </c>
      <c r="V3" s="3059">
        <f t="shared" ref="V3:V16" si="1">ROUND(T3*U3/10000,0)</f>
        <v>0</v>
      </c>
      <c r="W3" s="1131"/>
      <c r="X3" s="1131"/>
      <c r="Y3" s="1131"/>
      <c r="Z3" s="1131"/>
      <c r="AA3" s="1131"/>
      <c r="AB3" s="1131"/>
      <c r="AC3" s="1132"/>
      <c r="AD3" s="1133"/>
      <c r="AE3" s="1133"/>
      <c r="AF3" s="1133"/>
      <c r="AG3" s="1133"/>
      <c r="AH3" s="1133"/>
      <c r="AI3" s="1133"/>
      <c r="AJ3" s="1134"/>
    </row>
    <row r="4" spans="1:36" ht="15.6">
      <c r="A4" s="3458"/>
      <c r="B4" s="3459"/>
      <c r="C4" s="3459"/>
      <c r="D4" s="3460"/>
      <c r="E4" s="3460"/>
      <c r="F4" s="3460"/>
      <c r="G4" s="3460"/>
      <c r="H4" s="3460"/>
      <c r="I4" s="3460"/>
      <c r="J4" s="3461"/>
      <c r="K4" s="1055"/>
      <c r="L4" s="1845" t="s">
        <v>1946</v>
      </c>
      <c r="M4" s="810">
        <f>SUMPRODUCT((区片价!B55:B86=I2)*(区片价!C3:G3=E2)*(区片价!C55:G86))</f>
        <v>0</v>
      </c>
      <c r="N4" s="812">
        <f>SUMPRODUCT((因素修正幅度!B55:B86=I2)*(因素修正幅度!C3:G3=E2)*(因素修正幅度!C55:G86))</f>
        <v>0</v>
      </c>
      <c r="O4" s="1055"/>
      <c r="P4" s="1055"/>
      <c r="Q4" s="1055"/>
      <c r="R4" s="1127">
        <v>3</v>
      </c>
      <c r="S4" s="3059">
        <f>ROUND(SUMPRODUCT((B106:B110=R4)*(C105:N105=G2)*(C106:N110)),4)</f>
        <v>1.0004999999999999</v>
      </c>
      <c r="T4" s="3059">
        <f t="shared" si="0"/>
        <v>11897</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8">
        <f>ROUND(IF(E2="商业",C6*C7*C17+C20,(IF(E2="住宅",C6*C13*C17+C20,IF(E2="办公",C6*C12*C17+C20,C6+C20)))),0)</f>
        <v>14860</v>
      </c>
      <c r="D5" s="1250">
        <f>ROUND(C6*C17+C20,0)</f>
        <v>14860</v>
      </c>
      <c r="E5" s="1250"/>
      <c r="F5" s="1849"/>
      <c r="G5" s="1850"/>
      <c r="H5" s="1850"/>
      <c r="I5" s="1850"/>
      <c r="J5" s="1851"/>
      <c r="K5" s="1852"/>
      <c r="L5" s="1845" t="s">
        <v>1948</v>
      </c>
      <c r="M5" s="810">
        <f>SUMPRODUCT((区片价!B87:B126=I2)*(区片价!C3:G3=E2)*(区片价!C87:G126))</f>
        <v>14860</v>
      </c>
      <c r="N5" s="812">
        <f>SUMPRODUCT((因素修正幅度!B87:B126=I2)*(因素修正幅度!C3:G3=E2)*(因素修正幅度!C87:G126))</f>
        <v>0.1</v>
      </c>
      <c r="O5" s="1055"/>
      <c r="P5" s="1055"/>
      <c r="Q5" s="1055"/>
      <c r="R5" s="1127">
        <v>4</v>
      </c>
      <c r="S5" s="3059">
        <f>ROUND(SUMPRODUCT((B106:B110=R5)*(C105:N105=G2)*(C106:N110)),4)</f>
        <v>0.88239999999999996</v>
      </c>
      <c r="T5" s="3059">
        <f t="shared" si="0"/>
        <v>10492</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9">
        <f>SUMIF(L1:L12,G2,M1:M12)</f>
        <v>14860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5"/>
      <c r="P6" s="1055"/>
      <c r="Q6" s="1055"/>
      <c r="R6" s="1127">
        <v>5</v>
      </c>
      <c r="S6" s="3059">
        <f>ROUND(SUMPRODUCT((B106:B110=R6)*(C105:N105=G2)*(C106:N110)),4)</f>
        <v>0.84799999999999998</v>
      </c>
      <c r="T6" s="3059">
        <f t="shared" si="0"/>
        <v>10083</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3237</v>
      </c>
      <c r="B7" s="1863" t="s">
        <v>1952</v>
      </c>
      <c r="C7" s="710">
        <f>IF(C8="不临65条商业街",1,ROUND(1+(1.6*E8+1.2*E9+0.8*E10+0.4*E11)*C9,4))</f>
        <v>1</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5"/>
      <c r="P7" s="1055"/>
      <c r="Q7" s="1055"/>
      <c r="R7" s="1127">
        <v>6</v>
      </c>
      <c r="S7" s="3112"/>
      <c r="T7" s="3059">
        <f t="shared" si="0"/>
        <v>0</v>
      </c>
      <c r="U7" s="1128"/>
      <c r="V7" s="3059">
        <f t="shared" si="1"/>
        <v>0</v>
      </c>
      <c r="W7" s="1265" t="s">
        <v>1955</v>
      </c>
      <c r="X7" s="1129" t="str">
        <f>G2</f>
        <v>五级</v>
      </c>
      <c r="Y7" s="1129" t="s">
        <v>1956</v>
      </c>
      <c r="Z7" s="1130">
        <f>G3</f>
        <v>0</v>
      </c>
      <c r="AA7" s="1131"/>
      <c r="AB7" s="1131"/>
      <c r="AC7" s="1132"/>
      <c r="AD7" s="1133"/>
      <c r="AE7" s="1133"/>
      <c r="AF7" s="1133"/>
      <c r="AG7" s="1133"/>
      <c r="AH7" s="1133"/>
      <c r="AI7" s="1133"/>
      <c r="AJ7" s="1134"/>
    </row>
    <row r="8" spans="1:36" ht="26.4">
      <c r="A8" s="3005"/>
      <c r="B8" s="162" t="s">
        <v>1957</v>
      </c>
      <c r="C8" s="1868" t="s">
        <v>3456</v>
      </c>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7">
        <v>7</v>
      </c>
      <c r="S8" s="1128"/>
      <c r="T8" s="3059">
        <f t="shared" si="0"/>
        <v>0</v>
      </c>
      <c r="U8" s="1128"/>
      <c r="V8" s="3059">
        <f t="shared" si="1"/>
        <v>0</v>
      </c>
      <c r="W8" s="3455" t="s">
        <v>1960</v>
      </c>
      <c r="X8" s="3456"/>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7">
        <v>8</v>
      </c>
      <c r="S9" s="1128"/>
      <c r="T9" s="3059">
        <f t="shared" si="0"/>
        <v>0</v>
      </c>
      <c r="U9" s="1128"/>
      <c r="V9" s="3059">
        <f t="shared" si="1"/>
        <v>0</v>
      </c>
      <c r="W9" s="3457"/>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7">
        <v>9</v>
      </c>
      <c r="S10" s="1128"/>
      <c r="T10" s="3059">
        <f t="shared" si="0"/>
        <v>0</v>
      </c>
      <c r="U10" s="1128"/>
      <c r="V10" s="3059">
        <f t="shared" si="1"/>
        <v>0</v>
      </c>
      <c r="W10" s="345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7">
        <v>10</v>
      </c>
      <c r="S11" s="1128"/>
      <c r="T11" s="3059">
        <f t="shared" si="0"/>
        <v>0</v>
      </c>
      <c r="U11" s="1128"/>
      <c r="V11" s="3059">
        <f t="shared" si="1"/>
        <v>0</v>
      </c>
      <c r="W11" s="1131"/>
      <c r="X11" s="1131"/>
      <c r="Y11" s="1131"/>
      <c r="Z11" s="1131"/>
      <c r="AA11" s="1131"/>
      <c r="AB11" s="1131"/>
      <c r="AC11" s="1132"/>
      <c r="AD11" s="2550"/>
      <c r="AE11" s="2550"/>
      <c r="AF11" s="2550"/>
      <c r="AG11" s="2550"/>
      <c r="AH11" s="2550"/>
      <c r="AI11" s="2550"/>
      <c r="AJ11" s="2551"/>
    </row>
    <row r="12" spans="1:36" ht="25.8" thickBot="1">
      <c r="A12" s="3008" t="s">
        <v>3238</v>
      </c>
      <c r="B12" s="3009" t="s">
        <v>3239</v>
      </c>
      <c r="C12" s="3010"/>
      <c r="D12" s="3011" t="s">
        <v>3240</v>
      </c>
      <c r="E12" s="3012" t="s">
        <v>3241</v>
      </c>
      <c r="F12" s="3013"/>
      <c r="G12" s="3014"/>
      <c r="H12" s="3014"/>
      <c r="I12" s="3014"/>
      <c r="J12" s="3015"/>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7">
        <v>11</v>
      </c>
      <c r="S12" s="1128"/>
      <c r="T12" s="3059">
        <f t="shared" si="0"/>
        <v>0</v>
      </c>
      <c r="U12" s="1128"/>
      <c r="V12" s="3059">
        <f t="shared" si="1"/>
        <v>0</v>
      </c>
      <c r="W12" s="1131"/>
      <c r="X12" s="1131"/>
      <c r="Y12" s="1131"/>
      <c r="Z12" s="1131"/>
      <c r="AA12" s="1131"/>
      <c r="AB12" s="1131"/>
      <c r="AC12" s="1132"/>
      <c r="AD12" s="2550"/>
      <c r="AE12" s="2550"/>
      <c r="AF12" s="2550"/>
      <c r="AG12" s="2550"/>
      <c r="AH12" s="2550"/>
      <c r="AI12" s="2550"/>
      <c r="AJ12" s="2551"/>
    </row>
    <row r="13" spans="1:36" ht="24.6" thickBot="1">
      <c r="A13" s="3008" t="s">
        <v>3242</v>
      </c>
      <c r="B13" s="1876" t="s">
        <v>1982</v>
      </c>
      <c r="C13" s="710">
        <f>ROUND(C16*D16*E16*F16*G16*H16*I16*J16,4)</f>
        <v>0</v>
      </c>
      <c r="D13" s="1877" t="s">
        <v>1983</v>
      </c>
      <c r="E13" s="1878"/>
      <c r="F13" s="1878"/>
      <c r="G13" s="1879"/>
      <c r="H13" s="1879"/>
      <c r="I13" s="1879"/>
      <c r="J13" s="1880"/>
      <c r="K13" s="1055"/>
      <c r="L13" s="3"/>
      <c r="M13" s="4"/>
      <c r="N13" s="3006"/>
      <c r="O13" s="1055"/>
      <c r="P13" s="1055"/>
      <c r="Q13" s="1055"/>
      <c r="R13" s="1127">
        <v>12</v>
      </c>
      <c r="S13" s="1128"/>
      <c r="T13" s="3059">
        <f t="shared" si="0"/>
        <v>0</v>
      </c>
      <c r="U13" s="1128"/>
      <c r="V13" s="3059">
        <f t="shared" si="1"/>
        <v>0</v>
      </c>
      <c r="W13" s="1131"/>
      <c r="X13" s="1131"/>
      <c r="Y13" s="1131"/>
      <c r="Z13" s="1131"/>
      <c r="AA13" s="1131"/>
      <c r="AB13" s="1131"/>
      <c r="AC13" s="1132"/>
      <c r="AD13" s="2550"/>
      <c r="AE13" s="2550"/>
      <c r="AF13" s="2550"/>
      <c r="AG13" s="2550"/>
      <c r="AH13" s="2550"/>
      <c r="AI13" s="2550"/>
      <c r="AJ13" s="2551"/>
    </row>
    <row r="14" spans="1:36" ht="24">
      <c r="A14" s="3004"/>
      <c r="B14" s="1881" t="s">
        <v>1985</v>
      </c>
      <c r="C14" s="1882" t="s">
        <v>1986</v>
      </c>
      <c r="D14" s="1259" t="s">
        <v>1987</v>
      </c>
      <c r="E14" s="27" t="s">
        <v>1988</v>
      </c>
      <c r="F14" s="3016" t="s">
        <v>3243</v>
      </c>
      <c r="G14" s="3016" t="s">
        <v>3243</v>
      </c>
      <c r="H14" s="3016" t="s">
        <v>3243</v>
      </c>
      <c r="I14" s="3016" t="s">
        <v>3243</v>
      </c>
      <c r="J14" s="3016" t="s">
        <v>3243</v>
      </c>
      <c r="K14" s="1055"/>
      <c r="L14" s="1055"/>
      <c r="M14" s="1055"/>
      <c r="N14" s="1055"/>
      <c r="O14" s="1055"/>
      <c r="P14" s="1055"/>
      <c r="Q14" s="1055"/>
      <c r="R14" s="1127">
        <v>13</v>
      </c>
      <c r="S14" s="1128"/>
      <c r="T14" s="3059">
        <f t="shared" si="0"/>
        <v>0</v>
      </c>
      <c r="U14" s="1128"/>
      <c r="V14" s="3059">
        <f t="shared" si="1"/>
        <v>0</v>
      </c>
      <c r="W14" s="1131"/>
      <c r="X14" s="1131"/>
      <c r="Y14" s="1131"/>
      <c r="Z14" s="1131"/>
      <c r="AA14" s="1131"/>
      <c r="AB14" s="1131"/>
      <c r="AC14" s="1132"/>
      <c r="AD14" s="2550"/>
      <c r="AE14" s="2550"/>
      <c r="AF14" s="2550"/>
      <c r="AG14" s="2550"/>
      <c r="AH14" s="2550"/>
      <c r="AI14" s="2550"/>
      <c r="AJ14" s="2551"/>
    </row>
    <row r="15" spans="1:36" ht="15">
      <c r="A15" s="3004"/>
      <c r="B15" s="1883"/>
      <c r="C15" s="1884"/>
      <c r="D15" s="1885"/>
      <c r="E15" s="1886"/>
      <c r="F15" s="1468" t="s">
        <v>3244</v>
      </c>
      <c r="G15" s="1926"/>
      <c r="H15" s="3017"/>
      <c r="I15" s="3018"/>
      <c r="J15" s="3019"/>
      <c r="K15" s="1055"/>
      <c r="L15" s="1055"/>
      <c r="M15" s="1055"/>
      <c r="N15" s="1055"/>
      <c r="O15" s="1055"/>
      <c r="P15" s="1055"/>
      <c r="Q15" s="1055"/>
      <c r="R15" s="1127">
        <v>14</v>
      </c>
      <c r="S15" s="1128"/>
      <c r="T15" s="3059">
        <f t="shared" si="0"/>
        <v>0</v>
      </c>
      <c r="U15" s="1128"/>
      <c r="V15" s="3059">
        <f t="shared" si="1"/>
        <v>0</v>
      </c>
      <c r="W15" s="1131"/>
      <c r="X15" s="1131"/>
      <c r="Y15" s="1131"/>
      <c r="Z15" s="1131"/>
      <c r="AA15" s="1131"/>
      <c r="AB15" s="1131"/>
      <c r="AC15" s="1132"/>
      <c r="AD15" s="2550"/>
      <c r="AE15" s="2550"/>
      <c r="AF15" s="2550"/>
      <c r="AG15" s="2550"/>
      <c r="AH15" s="2550"/>
      <c r="AI15" s="2550"/>
      <c r="AJ15" s="2551"/>
    </row>
    <row r="16" spans="1:36" ht="15.6" thickBot="1">
      <c r="A16" s="3004"/>
      <c r="B16" s="3022" t="s">
        <v>1989</v>
      </c>
      <c r="C16" s="3020"/>
      <c r="D16" s="3020"/>
      <c r="E16" s="3020"/>
      <c r="F16" s="3020">
        <v>1</v>
      </c>
      <c r="G16" s="3020">
        <v>1</v>
      </c>
      <c r="H16" s="3020">
        <v>1</v>
      </c>
      <c r="I16" s="3020">
        <v>1</v>
      </c>
      <c r="J16" s="3021">
        <v>1</v>
      </c>
      <c r="K16" s="1055"/>
      <c r="L16" s="1842"/>
      <c r="M16" s="1842"/>
      <c r="N16" s="1842"/>
      <c r="O16" s="1842"/>
      <c r="P16" s="1842"/>
      <c r="Q16" s="1055"/>
      <c r="R16" s="1127">
        <v>15</v>
      </c>
      <c r="S16" s="1128"/>
      <c r="T16" s="3059">
        <f t="shared" si="0"/>
        <v>0</v>
      </c>
      <c r="U16" s="1128"/>
      <c r="V16" s="3059">
        <f t="shared" si="1"/>
        <v>0</v>
      </c>
      <c r="W16" s="1131"/>
      <c r="X16" s="1131"/>
      <c r="Y16" s="1131"/>
      <c r="Z16" s="1131"/>
      <c r="AA16" s="1131"/>
      <c r="AB16" s="1131"/>
      <c r="AC16" s="1132"/>
      <c r="AD16" s="2550"/>
      <c r="AE16" s="2550"/>
      <c r="AF16" s="2550"/>
      <c r="AG16" s="2550"/>
      <c r="AH16" s="2550"/>
      <c r="AI16" s="2550"/>
      <c r="AJ16" s="2551"/>
    </row>
    <row r="17" spans="1:37" ht="24">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3.8">
      <c r="A18" s="3034"/>
      <c r="B18" s="2307"/>
      <c r="C18" s="3030"/>
      <c r="D18" s="3025" t="s">
        <v>3248</v>
      </c>
      <c r="E18" s="2354"/>
      <c r="F18" s="3026" t="s">
        <v>3251</v>
      </c>
      <c r="G18" s="3030">
        <f>ROUND(1-(1/(POWER(1+G24,E18))),4)</f>
        <v>0</v>
      </c>
      <c r="H18" s="3026" t="s">
        <v>3253</v>
      </c>
      <c r="I18" s="3030">
        <f>ROUND(1-(1/(POWER(1+G24,J24))),4)</f>
        <v>0.88249999999999995</v>
      </c>
      <c r="J18" s="3035"/>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6" customFormat="1" ht="14.4" thickBot="1">
      <c r="A19" s="3036"/>
      <c r="B19" s="3037"/>
      <c r="C19" s="3038"/>
      <c r="D19" s="3038" t="s">
        <v>3249</v>
      </c>
      <c r="E19" s="3039"/>
      <c r="F19" s="3040" t="s">
        <v>3252</v>
      </c>
      <c r="G19" s="3039"/>
      <c r="H19" s="3038"/>
      <c r="I19" s="3038"/>
      <c r="J19" s="3041"/>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2"/>
      <c r="AH19" s="1978"/>
      <c r="AI19" s="561"/>
      <c r="AJ19" s="561"/>
      <c r="AK19" s="1897"/>
    </row>
    <row r="20" spans="1:37" s="1856" customFormat="1" ht="13.8">
      <c r="A20" s="3462" t="s">
        <v>3254</v>
      </c>
      <c r="B20" s="159" t="s">
        <v>1994</v>
      </c>
      <c r="C20" s="3027">
        <f>ROUND(IF(F21="与级别开发程度一致",0,(G21-E21)/C21),0)</f>
        <v>0</v>
      </c>
      <c r="D20" s="3042" t="s">
        <v>1998</v>
      </c>
      <c r="E20" s="3043"/>
      <c r="F20" s="3468" t="s">
        <v>1995</v>
      </c>
      <c r="G20" s="3469"/>
      <c r="H20" s="3028" t="s">
        <v>3457</v>
      </c>
      <c r="I20" s="3028" t="s">
        <v>3459</v>
      </c>
      <c r="J20" s="3029" t="s">
        <v>3460</v>
      </c>
      <c r="K20" s="1887" t="s">
        <v>3461</v>
      </c>
      <c r="L20" s="1887" t="s">
        <v>3462</v>
      </c>
      <c r="M20" s="1887" t="s">
        <v>3463</v>
      </c>
      <c r="N20" s="1887" t="s">
        <v>3464</v>
      </c>
      <c r="O20" s="1888" t="s">
        <v>3465</v>
      </c>
      <c r="P20" s="1842"/>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6" customFormat="1" ht="27" thickBot="1">
      <c r="A21" s="3463"/>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3458</v>
      </c>
      <c r="G21" s="1993">
        <f>SUM(H21:O21)</f>
        <v>315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50</v>
      </c>
      <c r="N21" s="2001">
        <f>SUMPRODUCT((七通一平=N20)*(修正!B1:M1=G2)*(修正!B8:M16))</f>
        <v>40</v>
      </c>
      <c r="O21" s="2003">
        <f>SUMPRODUCT((七通一平=O20)*(修正!B1:M1=G2)*(修正!B8:M16))</f>
        <v>15</v>
      </c>
      <c r="P21" s="1842"/>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6" customFormat="1" ht="15" thickBot="1">
      <c r="A22" s="1994" t="s">
        <v>363</v>
      </c>
      <c r="B22" s="1995" t="s">
        <v>2000</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4" t="s">
        <v>2002</v>
      </c>
      <c r="E23" s="716">
        <v>44197</v>
      </c>
      <c r="F23" s="1894" t="s">
        <v>2003</v>
      </c>
      <c r="G23" s="717">
        <f>'数据-取费表'!B2</f>
        <v>45638</v>
      </c>
      <c r="H23" s="3044" t="s">
        <v>3256</v>
      </c>
      <c r="I23" s="3045" t="str">
        <f>IF(H23="季度增幅（自定义）",SUMIF(N25:N28,E2,O25:O28),"")</f>
        <v/>
      </c>
      <c r="J23" s="3136" t="s">
        <v>3255</v>
      </c>
      <c r="K23" s="1060"/>
      <c r="L23" s="1895" t="s">
        <v>2004</v>
      </c>
      <c r="M23" s="1239">
        <f>ROUND(SUMIF(地价!B2:G2,E2,地价!B16:G16),0)</f>
        <v>350</v>
      </c>
      <c r="N23" s="1896"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6" thickBot="1">
      <c r="A24" s="1898" t="s">
        <v>365</v>
      </c>
      <c r="B24" s="1899" t="s">
        <v>2006</v>
      </c>
      <c r="C24" s="719">
        <f>ROUND(POWER(1+G24,J24-I24)*(POWER(1+G24,I24)-1)/(POWER(1+G24,J24)-1),4)</f>
        <v>0.7389</v>
      </c>
      <c r="D24" s="1900" t="s">
        <v>2007</v>
      </c>
      <c r="E24" s="1246">
        <f>存贷款利率!E27/100</f>
        <v>4.3499999999999997E-2</v>
      </c>
      <c r="F24" s="1900" t="s">
        <v>1999</v>
      </c>
      <c r="G24" s="723">
        <f>SUMIF(M30:Q30,E2,M33:Q33)</f>
        <v>5.5E-2</v>
      </c>
      <c r="H24" s="1900" t="s">
        <v>2008</v>
      </c>
      <c r="I24" s="724">
        <f>SUMIF('数据-取费表'!C6:C15,E2,'数据-取费表'!F6:F15)/COUNTIF('数据-取费表'!C6:C15,E2)</f>
        <v>19.72</v>
      </c>
      <c r="J24" s="725">
        <f>IF(E2="住宅",70,IF(E2="商业",40,50))</f>
        <v>40</v>
      </c>
      <c r="K24" s="1060"/>
      <c r="L24" s="1901" t="s">
        <v>2009</v>
      </c>
      <c r="M24" s="1240">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5" t="s">
        <v>366</v>
      </c>
      <c r="B25" s="1906" t="s">
        <v>3466</v>
      </c>
      <c r="C25" s="461">
        <f>IF(B25="容积率修正",IF(G3&lt;10,D26,J26),C27)</f>
        <v>0</v>
      </c>
      <c r="D25" s="1907"/>
      <c r="E25" s="1907"/>
      <c r="F25" s="1907"/>
      <c r="G25" s="1907"/>
      <c r="H25" s="1907"/>
      <c r="I25" s="1907"/>
      <c r="J25" s="1908"/>
      <c r="K25" s="1060"/>
      <c r="L25" s="2549"/>
      <c r="M25" s="2549"/>
      <c r="N25" s="1909" t="s">
        <v>2013</v>
      </c>
      <c r="O25" s="1091"/>
      <c r="P25" s="1092">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4">
      <c r="A26" s="1804" t="s">
        <v>2014</v>
      </c>
      <c r="B26" s="1910" t="s">
        <v>2015</v>
      </c>
      <c r="C26" s="1910" t="s">
        <v>3257</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3258</v>
      </c>
      <c r="J26" s="374" t="str">
        <f>IF(G3&gt;=10,D115,"——")</f>
        <v>——</v>
      </c>
      <c r="K26" s="1060"/>
      <c r="L26" s="2549"/>
      <c r="M26" s="2549"/>
      <c r="N26" s="1909" t="s">
        <v>2016</v>
      </c>
      <c r="O26" s="1091"/>
      <c r="P26" s="1092">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1"/>
      <c r="P27" s="1092">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 thickBot="1">
      <c r="A28" s="1898" t="s">
        <v>367</v>
      </c>
      <c r="B28" s="1891" t="s">
        <v>2020</v>
      </c>
      <c r="C28" s="715">
        <f>SUMIF(A47:A101,E2,B47:B101)</f>
        <v>1.0365</v>
      </c>
      <c r="D28" s="1892"/>
      <c r="E28" s="1917"/>
      <c r="F28" s="1917"/>
      <c r="G28" s="1917"/>
      <c r="H28" s="1917"/>
      <c r="I28" s="1917"/>
      <c r="J28" s="1918"/>
      <c r="K28" s="1060"/>
      <c r="L28" s="2549"/>
      <c r="M28" s="2549"/>
      <c r="N28" s="1919" t="s">
        <v>2021</v>
      </c>
      <c r="O28" s="1093"/>
      <c r="P28" s="1094">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 thickBot="1">
      <c r="A29" s="1898" t="s">
        <v>368</v>
      </c>
      <c r="B29" s="1920" t="s">
        <v>2022</v>
      </c>
      <c r="C29" s="720"/>
      <c r="D29" s="1866"/>
      <c r="E29" s="1866"/>
      <c r="F29" s="1921"/>
      <c r="G29" s="1866"/>
      <c r="H29" s="1866"/>
      <c r="I29" s="1866"/>
      <c r="J29" s="1867"/>
      <c r="K29" s="1055"/>
      <c r="L29" s="1842"/>
      <c r="M29" s="1842"/>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4">
      <c r="A30" s="1922"/>
      <c r="B30" s="1910" t="s">
        <v>2024</v>
      </c>
      <c r="C30" s="2143">
        <f>IF(B25="容积率修正",E33+SUM(E37:E42),SUM(V2:V16)+SUM(E37:E42))</f>
        <v>0</v>
      </c>
      <c r="D30" s="1923"/>
      <c r="E30" s="1840"/>
      <c r="F30" s="1924"/>
      <c r="G30" s="1840"/>
      <c r="H30" s="1840"/>
      <c r="I30" s="1840"/>
      <c r="J30" s="1925"/>
      <c r="K30" s="1055"/>
      <c r="L30" s="3051" t="s">
        <v>1936</v>
      </c>
      <c r="M30" s="3052" t="s">
        <v>1990</v>
      </c>
      <c r="N30" s="3052" t="s">
        <v>1991</v>
      </c>
      <c r="O30" s="3052" t="s">
        <v>1992</v>
      </c>
      <c r="P30" s="3052" t="s">
        <v>1993</v>
      </c>
      <c r="Q30" s="3055" t="s">
        <v>3262</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 thickBot="1">
      <c r="A31" s="1922"/>
      <c r="B31" s="1926" t="s">
        <v>2025</v>
      </c>
      <c r="C31" s="721">
        <f>E34+SUM(I37:I42)</f>
        <v>0</v>
      </c>
      <c r="D31" s="1927"/>
      <c r="E31" s="1928"/>
      <c r="F31" s="1929"/>
      <c r="G31" s="1928"/>
      <c r="H31" s="1928"/>
      <c r="I31" s="1928"/>
      <c r="J31" s="1930"/>
      <c r="K31" s="1055"/>
      <c r="L31" s="3053" t="s">
        <v>1996</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5"/>
      <c r="L32" s="3054" t="s">
        <v>1999</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3.8">
      <c r="A33" s="1936"/>
      <c r="B33" s="1937" t="s">
        <v>2030</v>
      </c>
      <c r="C33" s="167">
        <f>ROUND(C5*C22*C23*C24*C25*C28,0)</f>
        <v>0</v>
      </c>
      <c r="D33" s="1938"/>
      <c r="E33" s="726">
        <f>ROUND(C33*D33/10000,0)</f>
        <v>0</v>
      </c>
      <c r="F33" s="3046" t="s">
        <v>3260</v>
      </c>
      <c r="G33" s="1939"/>
      <c r="H33" s="1939"/>
      <c r="I33" s="1939"/>
      <c r="J33" s="1940"/>
      <c r="K33" s="1055"/>
      <c r="L33" s="3049" t="s">
        <v>3263</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8" thickBot="1">
      <c r="A34" s="1941"/>
      <c r="B34" s="1942" t="s">
        <v>2031</v>
      </c>
      <c r="C34" s="179" t="e">
        <f>ROUND(IF(E2="工业",C33*M42,IF(B25="楼层修正",SUM(V2:V16)*M41*10000/D34,C33*M41)),0)</f>
        <v>#DIV/0!</v>
      </c>
      <c r="D34" s="1943"/>
      <c r="E34" s="726">
        <f>ROUND(IF(B25="楼层修正",SUM(V2:V16)*M40,C34*D34/10000),0)</f>
        <v>0</v>
      </c>
      <c r="F34" s="1944" t="s">
        <v>2032</v>
      </c>
      <c r="G34" s="1945"/>
      <c r="H34" s="1945"/>
      <c r="I34" s="1945"/>
      <c r="J34" s="1946"/>
      <c r="K34" s="1055"/>
      <c r="L34" s="3049" t="s">
        <v>3264</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7" t="s">
        <v>3261</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3265</v>
      </c>
      <c r="L36" s="3137">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6" thickBot="1">
      <c r="A37" s="3466"/>
      <c r="B37" s="1953" t="s">
        <v>2036</v>
      </c>
      <c r="C37" s="167">
        <f>ROUND(D5*C22*C23*C24*C28*F37,0)</f>
        <v>7134</v>
      </c>
      <c r="D37" s="1938"/>
      <c r="E37" s="163">
        <f>ROUND(C37*D37/10000,0)</f>
        <v>0</v>
      </c>
      <c r="F37" s="163">
        <f>SUMIF(修正!A57:A68,G2,修正!B57:B68)</f>
        <v>0.6</v>
      </c>
      <c r="G37" s="163">
        <f>ROUND(IF(E2="工业",C37*$M$42,C37*$M$41),0)</f>
        <v>1784</v>
      </c>
      <c r="H37" s="163">
        <f>D37</f>
        <v>0</v>
      </c>
      <c r="I37" s="163">
        <f>ROUND(G37*H37/10000,0)</f>
        <v>0</v>
      </c>
      <c r="J37" s="2750"/>
      <c r="K37" s="3057" t="s">
        <v>3266</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7"/>
      <c r="B38" s="1882" t="s">
        <v>2037</v>
      </c>
      <c r="C38" s="167">
        <f>ROUND(D5*C22*C23*C24*C28*F38,0)</f>
        <v>3567</v>
      </c>
      <c r="D38" s="1938"/>
      <c r="E38" s="163">
        <f t="shared" ref="E38:E42" si="4">ROUND(C38*D38/10000,0)</f>
        <v>0</v>
      </c>
      <c r="F38" s="163">
        <f>SUMIF(修正!A57:A68,G2,修正!C57:C68)</f>
        <v>0.3</v>
      </c>
      <c r="G38" s="163">
        <f>ROUND(IF(E2="工业",C38*$M$42,C38*$M$41),0)</f>
        <v>892</v>
      </c>
      <c r="H38" s="163">
        <f t="shared" ref="H38:H42" si="5">D38</f>
        <v>0</v>
      </c>
      <c r="I38" s="163">
        <f t="shared" ref="I38:I42" si="6">ROUND(G38*H38/10000,0)</f>
        <v>0</v>
      </c>
      <c r="J38" s="2749"/>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8" thickBot="1">
      <c r="A39" s="3467"/>
      <c r="B39" s="1882" t="s">
        <v>3259</v>
      </c>
      <c r="C39" s="167">
        <f>ROUND(D5*C22*C23*C24*C28*F39,0)</f>
        <v>2973</v>
      </c>
      <c r="D39" s="1938"/>
      <c r="E39" s="163">
        <f t="shared" si="4"/>
        <v>0</v>
      </c>
      <c r="F39" s="163">
        <f>SUMIF(修正!A57:A68,G2,修正!D57:D68)</f>
        <v>0.25</v>
      </c>
      <c r="G39" s="163">
        <f>ROUND(IF(E2="工业",C39*$M$42,C39*$M$41),0)</f>
        <v>743</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f>ROUND(D5*C22*C23*C24*C28*F40,0)</f>
        <v>2973</v>
      </c>
      <c r="D40" s="1938"/>
      <c r="E40" s="163">
        <f t="shared" si="4"/>
        <v>0</v>
      </c>
      <c r="F40" s="167">
        <f>SUMIF(修正!A57:A68,G2,修正!E57:E68)</f>
        <v>0.25</v>
      </c>
      <c r="G40" s="163">
        <f>ROUND(IF(E2="工业",C40*$M$42,C40*$M$41),0)</f>
        <v>743</v>
      </c>
      <c r="H40" s="163">
        <f t="shared" si="5"/>
        <v>0</v>
      </c>
      <c r="I40" s="163">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8"/>
      <c r="L41" s="3058" t="s">
        <v>3267</v>
      </c>
      <c r="M41" s="1957">
        <v>0.25</v>
      </c>
      <c r="Z41" s="1056"/>
      <c r="AA41" s="1056"/>
      <c r="AB41" s="1056"/>
      <c r="AC41" s="1056"/>
      <c r="AD41" s="1056"/>
      <c r="AE41" s="1056"/>
      <c r="AF41" s="1056"/>
      <c r="AG41" s="1056"/>
      <c r="AH41" s="1056"/>
      <c r="AI41" s="1056"/>
      <c r="AJ41" s="1056"/>
    </row>
    <row r="42" spans="1:37" s="1055" customFormat="1" ht="13.8" thickBot="1">
      <c r="A42" s="1941"/>
      <c r="B42" s="1958" t="s">
        <v>2041</v>
      </c>
      <c r="C42" s="179">
        <f>ROUND(D5*C22*C23*C44*C28*F42,0)</f>
        <v>0</v>
      </c>
      <c r="D42" s="1943"/>
      <c r="E42" s="179">
        <f t="shared" si="4"/>
        <v>0</v>
      </c>
      <c r="F42" s="722">
        <f>SUMIF(修正!A57:A68,G2,修正!G57:G68)</f>
        <v>0.15</v>
      </c>
      <c r="G42" s="179">
        <f>ROUND(IF(E2="工业",C42*$M$42,C42*$M$41),0)</f>
        <v>0</v>
      </c>
      <c r="H42" s="179">
        <f t="shared" si="5"/>
        <v>0</v>
      </c>
      <c r="I42" s="179">
        <f t="shared" si="6"/>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0" t="s">
        <v>2120</v>
      </c>
      <c r="C44" s="333">
        <f>ROUND(POWER(1+E44,H44-G44)*(POWER(1+E44,G44)-1)/(POWER(1+E44,H44)-1),4)</f>
        <v>0</v>
      </c>
      <c r="D44" s="163" t="s">
        <v>1999</v>
      </c>
      <c r="E44" s="1989">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5" t="s">
        <v>2043</v>
      </c>
      <c r="B48" s="1966">
        <f>1+E50</f>
        <v>1.0365</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8" t="s">
        <v>2052</v>
      </c>
      <c r="B50" s="1971" t="str">
        <f>估价对象房地状况!C4</f>
        <v>估价对象位于XX商圈，周边商业氛围成熟，人流量大，商业繁华度好</v>
      </c>
      <c r="C50" s="1885" t="s">
        <v>3467</v>
      </c>
      <c r="D50" s="1001">
        <f t="shared" ref="D50:D58" si="7">SUMIF($J$49:$N$49,C50,J50:N50)</f>
        <v>0</v>
      </c>
      <c r="E50" s="701">
        <f>ROUND(SUM(D50:D58),4)</f>
        <v>3.6499999999999998E-2</v>
      </c>
      <c r="F50" s="1673">
        <f>IF(E2="商业",SUMIF(L1:L12,G2,N1:N12),"——")</f>
        <v>0.1</v>
      </c>
      <c r="G50" s="999">
        <v>1.4999999999999999E-2</v>
      </c>
      <c r="H50" s="1002">
        <f t="shared" ref="H50:H58" si="8">IFERROR(ROUNDDOWN($F$50*I50/2,4),"——")</f>
        <v>1.4999999999999999E-2</v>
      </c>
      <c r="I50" s="3064">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52.8">
      <c r="A51" s="1968" t="s">
        <v>2053</v>
      </c>
      <c r="B51" s="1260" t="str">
        <f>估价对象房地状况!C18</f>
        <v>估价对象周边道路状况、公共交通通达情况、停车便捷程度，综合评价交通便捷度较好</v>
      </c>
      <c r="C51" s="1885" t="s">
        <v>3468</v>
      </c>
      <c r="D51" s="1001">
        <f t="shared" si="7"/>
        <v>1.0999999999999999E-2</v>
      </c>
      <c r="E51" s="702"/>
      <c r="F51" s="1673"/>
      <c r="G51" s="999">
        <v>1.0999999999999999E-2</v>
      </c>
      <c r="H51" s="1002">
        <f t="shared" si="8"/>
        <v>1.0999999999999999E-2</v>
      </c>
      <c r="I51" s="3064">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48">
      <c r="A52" s="3066" t="s">
        <v>3269</v>
      </c>
      <c r="B52" s="1260">
        <f>估价对象房地状况!C19</f>
        <v>0</v>
      </c>
      <c r="C52" s="1885" t="s">
        <v>3468</v>
      </c>
      <c r="D52" s="1001">
        <f t="shared" si="7"/>
        <v>6.0000000000000001E-3</v>
      </c>
      <c r="E52" s="702"/>
      <c r="F52" s="1673"/>
      <c r="G52" s="999">
        <v>6.0000000000000001E-3</v>
      </c>
      <c r="H52" s="1002">
        <f t="shared" si="8"/>
        <v>6.0000000000000001E-3</v>
      </c>
      <c r="I52" s="3064">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7.200000000000003">
      <c r="A53" s="1968" t="s">
        <v>2054</v>
      </c>
      <c r="B53" s="1972" t="s">
        <v>2055</v>
      </c>
      <c r="C53" s="1885" t="s">
        <v>3467</v>
      </c>
      <c r="D53" s="1001">
        <f t="shared" si="7"/>
        <v>0</v>
      </c>
      <c r="E53" s="702"/>
      <c r="F53" s="1673"/>
      <c r="G53" s="999">
        <v>2.5000000000000001E-3</v>
      </c>
      <c r="H53" s="1002">
        <f t="shared" si="8"/>
        <v>2.5000000000000001E-3</v>
      </c>
      <c r="I53" s="3064">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8" t="s">
        <v>2056</v>
      </c>
      <c r="B54" s="1260">
        <f>估价对象房地状况!C24</f>
        <v>0</v>
      </c>
      <c r="C54" s="1885" t="s">
        <v>3468</v>
      </c>
      <c r="D54" s="1001">
        <f t="shared" si="7"/>
        <v>4.0000000000000001E-3</v>
      </c>
      <c r="E54" s="702"/>
      <c r="F54" s="1673"/>
      <c r="G54" s="999">
        <v>4.0000000000000001E-3</v>
      </c>
      <c r="H54" s="1002">
        <f t="shared" si="8"/>
        <v>4.0000000000000001E-3</v>
      </c>
      <c r="I54" s="3064">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36">
      <c r="A55" s="1968" t="s">
        <v>2057</v>
      </c>
      <c r="B55" s="1973" t="s">
        <v>2058</v>
      </c>
      <c r="C55" s="1885" t="s">
        <v>3468</v>
      </c>
      <c r="D55" s="1001">
        <f t="shared" si="7"/>
        <v>2.5000000000000001E-3</v>
      </c>
      <c r="E55" s="702"/>
      <c r="F55" s="1673"/>
      <c r="G55" s="999">
        <v>2.5000000000000001E-3</v>
      </c>
      <c r="H55" s="1002">
        <f t="shared" si="8"/>
        <v>2.5000000000000001E-3</v>
      </c>
      <c r="I55" s="3064">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6.4">
      <c r="A56" s="1974" t="s">
        <v>2059</v>
      </c>
      <c r="B56" s="1238" t="str">
        <f>估价对象房地状况!C21</f>
        <v>估价对象所在区域公共配套设施齐备情况</v>
      </c>
      <c r="C56" s="1885" t="s">
        <v>3468</v>
      </c>
      <c r="D56" s="1001">
        <f t="shared" si="7"/>
        <v>2.5000000000000001E-3</v>
      </c>
      <c r="E56" s="702"/>
      <c r="F56" s="1673"/>
      <c r="G56" s="999">
        <v>2.5000000000000001E-3</v>
      </c>
      <c r="H56" s="1002">
        <f t="shared" si="8"/>
        <v>2.5000000000000001E-3</v>
      </c>
      <c r="I56" s="3064">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6.4">
      <c r="A57" s="1974" t="s">
        <v>2060</v>
      </c>
      <c r="B57" s="1260" t="str">
        <f>估价对象房地状况!C22</f>
        <v>估价对象所在区域基础设施水平</v>
      </c>
      <c r="C57" s="1885" t="s">
        <v>3469</v>
      </c>
      <c r="D57" s="1001">
        <f t="shared" si="7"/>
        <v>8.0000000000000002E-3</v>
      </c>
      <c r="E57" s="702"/>
      <c r="F57" s="1673"/>
      <c r="G57" s="999">
        <v>4.0000000000000001E-3</v>
      </c>
      <c r="H57" s="1002">
        <f t="shared" si="8"/>
        <v>4.0000000000000001E-3</v>
      </c>
      <c r="I57" s="3064">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40.200000000000003" thickBot="1">
      <c r="A58" s="1975" t="s">
        <v>2061</v>
      </c>
      <c r="B58" s="1976" t="str">
        <f>估价对象房地状况!C20</f>
        <v>区域自然环境：；人文环境；综合评价环境状况一般</v>
      </c>
      <c r="C58" s="1885" t="s">
        <v>3468</v>
      </c>
      <c r="D58" s="1001">
        <f t="shared" si="7"/>
        <v>2.5000000000000001E-3</v>
      </c>
      <c r="E58" s="703"/>
      <c r="F58" s="1673"/>
      <c r="G58" s="999">
        <v>2.5000000000000001E-3</v>
      </c>
      <c r="H58" s="1002">
        <f t="shared" si="8"/>
        <v>2.5000000000000001E-3</v>
      </c>
      <c r="I58" s="3065">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4.4">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3"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8" t="s">
        <v>2053</v>
      </c>
      <c r="B62" s="1260" t="str">
        <f>估价对象房地状况!C18</f>
        <v>估价对象周边道路状况、公共交通通达情况、停车便捷程度，综合评价交通便捷度较好</v>
      </c>
      <c r="C62" s="1885"/>
      <c r="D62" s="1001">
        <f t="shared" si="12"/>
        <v>0</v>
      </c>
      <c r="E62" s="702"/>
      <c r="F62" s="1673"/>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6" t="s">
        <v>3269</v>
      </c>
      <c r="B63" s="1260">
        <f>估价对象房地状况!C19</f>
        <v>0</v>
      </c>
      <c r="C63" s="1885"/>
      <c r="D63" s="1001">
        <f t="shared" si="12"/>
        <v>0</v>
      </c>
      <c r="E63" s="702"/>
      <c r="F63" s="1673"/>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8" t="s">
        <v>2054</v>
      </c>
      <c r="B64" s="1972" t="s">
        <v>2055</v>
      </c>
      <c r="C64" s="1885"/>
      <c r="D64" s="1001">
        <f t="shared" si="12"/>
        <v>0</v>
      </c>
      <c r="E64" s="702"/>
      <c r="F64" s="1673"/>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0">
        <f>估价对象房地状况!C24</f>
        <v>0</v>
      </c>
      <c r="C65" s="1885"/>
      <c r="D65" s="1001">
        <f t="shared" si="12"/>
        <v>0</v>
      </c>
      <c r="E65" s="702"/>
      <c r="F65" s="1673"/>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8" t="s">
        <v>2057</v>
      </c>
      <c r="B66" s="1973" t="s">
        <v>2058</v>
      </c>
      <c r="C66" s="1885"/>
      <c r="D66" s="1001">
        <f t="shared" si="12"/>
        <v>0</v>
      </c>
      <c r="E66" s="702"/>
      <c r="F66" s="1673"/>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8" t="s">
        <v>2059</v>
      </c>
      <c r="B67" s="1238" t="str">
        <f>估价对象房地状况!C21</f>
        <v>估价对象所在区域公共配套设施齐备情况</v>
      </c>
      <c r="C67" s="1885"/>
      <c r="D67" s="1001">
        <f t="shared" si="12"/>
        <v>0</v>
      </c>
      <c r="E67" s="702"/>
      <c r="F67" s="1673"/>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8" t="s">
        <v>2060</v>
      </c>
      <c r="B68" s="1238" t="str">
        <f>估价对象房地状况!C22</f>
        <v>估价对象所在区域基础设施水平</v>
      </c>
      <c r="C68" s="1885"/>
      <c r="D68" s="1001">
        <f t="shared" si="12"/>
        <v>0</v>
      </c>
      <c r="E68" s="702"/>
      <c r="F68" s="1673"/>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3"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8" t="s">
        <v>2053</v>
      </c>
      <c r="B73" s="1260" t="str">
        <f>估价对象房地状况!C18</f>
        <v>估价对象周边道路状况、公共交通通达情况、停车便捷程度，综合评价交通便捷度较好</v>
      </c>
      <c r="C73" s="1885"/>
      <c r="D73" s="1001">
        <f t="shared" si="17"/>
        <v>0</v>
      </c>
      <c r="E73" s="704"/>
      <c r="F73" s="1673"/>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48">
      <c r="A74" s="3066" t="s">
        <v>3269</v>
      </c>
      <c r="B74" s="1260">
        <f>估价对象房地状况!C19</f>
        <v>0</v>
      </c>
      <c r="C74" s="1885"/>
      <c r="D74" s="1001">
        <f t="shared" si="17"/>
        <v>0</v>
      </c>
      <c r="E74" s="704"/>
      <c r="F74" s="1673"/>
      <c r="G74" s="999"/>
      <c r="H74" s="1002" t="str">
        <f t="shared" si="18"/>
        <v>——</v>
      </c>
      <c r="I74" s="3064">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3.8">
      <c r="A75" s="1968" t="s">
        <v>2067</v>
      </c>
      <c r="B75" s="1260">
        <f>估价对象房地状况!C24</f>
        <v>0</v>
      </c>
      <c r="C75" s="1885"/>
      <c r="D75" s="1001">
        <f t="shared" si="17"/>
        <v>0</v>
      </c>
      <c r="E75" s="704"/>
      <c r="F75" s="1673"/>
      <c r="G75" s="999"/>
      <c r="H75" s="1002" t="str">
        <f t="shared" si="18"/>
        <v>——</v>
      </c>
      <c r="I75" s="3064">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4">
      <c r="A76" s="1968" t="s">
        <v>2059</v>
      </c>
      <c r="B76" s="1238" t="str">
        <f>估价对象房地状况!C21</f>
        <v>估价对象所在区域公共配套设施齐备情况</v>
      </c>
      <c r="C76" s="1885"/>
      <c r="D76" s="1001">
        <f t="shared" si="17"/>
        <v>0</v>
      </c>
      <c r="E76" s="704"/>
      <c r="F76" s="1673"/>
      <c r="G76" s="999"/>
      <c r="H76" s="1002" t="str">
        <f t="shared" si="18"/>
        <v>——</v>
      </c>
      <c r="I76" s="3064">
        <v>0.08</v>
      </c>
      <c r="J76" s="1000">
        <f t="shared" si="19"/>
        <v>0</v>
      </c>
      <c r="K76" s="1000">
        <f t="shared" si="20"/>
        <v>0</v>
      </c>
      <c r="L76" s="1000">
        <v>0</v>
      </c>
      <c r="M76" s="1000">
        <f t="shared" si="21"/>
        <v>0</v>
      </c>
      <c r="N76" s="1000">
        <f t="shared" si="21"/>
        <v>0</v>
      </c>
      <c r="O76" s="1055"/>
      <c r="P76" s="1055"/>
      <c r="Z76" s="1843"/>
      <c r="AA76" s="1893"/>
      <c r="AG76" s="1057"/>
      <c r="AK76" s="1893"/>
    </row>
    <row r="77" spans="1:37" ht="26.4">
      <c r="A77" s="1968" t="s">
        <v>2060</v>
      </c>
      <c r="B77" s="1238" t="str">
        <f>估价对象房地状况!C22</f>
        <v>估价对象所在区域基础设施水平</v>
      </c>
      <c r="C77" s="1885"/>
      <c r="D77" s="1001">
        <f t="shared" si="17"/>
        <v>0</v>
      </c>
      <c r="E77" s="704"/>
      <c r="F77" s="1673"/>
      <c r="G77" s="999"/>
      <c r="H77" s="1002" t="str">
        <f t="shared" si="18"/>
        <v>——</v>
      </c>
      <c r="I77" s="3064">
        <v>0.09</v>
      </c>
      <c r="J77" s="1000">
        <f t="shared" si="19"/>
        <v>0</v>
      </c>
      <c r="K77" s="1000">
        <f t="shared" si="20"/>
        <v>0</v>
      </c>
      <c r="L77" s="1000">
        <v>0</v>
      </c>
      <c r="M77" s="1000">
        <f t="shared" si="21"/>
        <v>0</v>
      </c>
      <c r="N77" s="1000">
        <f t="shared" si="21"/>
        <v>0</v>
      </c>
      <c r="O77" s="1055"/>
      <c r="P77" s="1055"/>
      <c r="Z77" s="1843"/>
      <c r="AA77" s="1893"/>
      <c r="AG77" s="1057"/>
      <c r="AK77" s="1893"/>
    </row>
    <row r="78" spans="1:37" ht="36">
      <c r="A78" s="1968" t="s">
        <v>2057</v>
      </c>
      <c r="B78" s="1973" t="s">
        <v>2058</v>
      </c>
      <c r="C78" s="1885"/>
      <c r="D78" s="1001">
        <f t="shared" si="17"/>
        <v>0</v>
      </c>
      <c r="E78" s="704"/>
      <c r="F78" s="1673"/>
      <c r="G78" s="999"/>
      <c r="H78" s="1002" t="str">
        <f t="shared" si="18"/>
        <v>——</v>
      </c>
      <c r="I78" s="3064">
        <v>0.05</v>
      </c>
      <c r="J78" s="1000">
        <f t="shared" si="19"/>
        <v>0</v>
      </c>
      <c r="K78" s="1000">
        <f t="shared" si="20"/>
        <v>0</v>
      </c>
      <c r="L78" s="1000">
        <v>0</v>
      </c>
      <c r="M78" s="1000">
        <f t="shared" si="21"/>
        <v>0</v>
      </c>
      <c r="N78" s="1000">
        <f t="shared" si="21"/>
        <v>0</v>
      </c>
      <c r="O78" s="1842"/>
      <c r="P78" s="1842"/>
      <c r="Z78" s="1843"/>
      <c r="AA78" s="1893"/>
      <c r="AG78" s="1057"/>
      <c r="AK78" s="1893"/>
    </row>
    <row r="79" spans="1:37" ht="39.6">
      <c r="A79" s="1968" t="s">
        <v>2061</v>
      </c>
      <c r="B79" s="1971" t="str">
        <f>估价对象房地状况!C20</f>
        <v>区域自然环境：；人文环境；综合评价环境状况一般</v>
      </c>
      <c r="C79" s="1885"/>
      <c r="D79" s="1001">
        <f t="shared" si="17"/>
        <v>0</v>
      </c>
      <c r="E79" s="704"/>
      <c r="F79" s="1673"/>
      <c r="G79" s="999"/>
      <c r="H79" s="1002" t="str">
        <f t="shared" si="18"/>
        <v>——</v>
      </c>
      <c r="I79" s="3064">
        <v>0.12</v>
      </c>
      <c r="J79" s="1000">
        <f t="shared" si="19"/>
        <v>0</v>
      </c>
      <c r="K79" s="1000">
        <f t="shared" si="20"/>
        <v>0</v>
      </c>
      <c r="L79" s="1000">
        <v>0</v>
      </c>
      <c r="M79" s="1000">
        <f t="shared" si="21"/>
        <v>0</v>
      </c>
      <c r="N79" s="1000">
        <f t="shared" si="21"/>
        <v>0</v>
      </c>
      <c r="Z79" s="1843"/>
      <c r="AA79" s="1893"/>
      <c r="AG79" s="1057"/>
      <c r="AK79" s="1893"/>
    </row>
    <row r="80" spans="1:37" ht="36.6" thickBot="1">
      <c r="A80" s="1975" t="s">
        <v>2068</v>
      </c>
      <c r="B80" s="1979"/>
      <c r="C80" s="1885"/>
      <c r="D80" s="1001">
        <f t="shared" si="17"/>
        <v>0</v>
      </c>
      <c r="E80" s="705"/>
      <c r="F80" s="1673"/>
      <c r="G80" s="999"/>
      <c r="H80" s="1002" t="str">
        <f t="shared" si="18"/>
        <v>——</v>
      </c>
      <c r="I80" s="3065">
        <v>0.05</v>
      </c>
      <c r="J80" s="1000">
        <f t="shared" si="19"/>
        <v>0</v>
      </c>
      <c r="K80" s="1000">
        <f t="shared" si="20"/>
        <v>0</v>
      </c>
      <c r="L80" s="1000">
        <v>0</v>
      </c>
      <c r="M80" s="1000">
        <f t="shared" si="21"/>
        <v>0</v>
      </c>
      <c r="N80" s="1000">
        <f t="shared" si="21"/>
        <v>0</v>
      </c>
      <c r="Z80" s="1843"/>
      <c r="AA80" s="1893"/>
      <c r="AG80" s="1057"/>
      <c r="AK80" s="1893"/>
    </row>
    <row r="81" spans="1:37" ht="14.4">
      <c r="A81" s="1965" t="s">
        <v>2069</v>
      </c>
      <c r="B81" s="1966">
        <f>1+E83</f>
        <v>1</v>
      </c>
      <c r="C81" s="698"/>
      <c r="D81" s="698"/>
      <c r="E81" s="699"/>
      <c r="F81" s="1967"/>
      <c r="G81" s="3"/>
      <c r="H81" s="3"/>
      <c r="I81" s="3"/>
      <c r="J81" s="4"/>
      <c r="K81" s="4"/>
      <c r="L81" s="4"/>
      <c r="M81" s="4"/>
      <c r="N81" s="4"/>
      <c r="Z81" s="1843"/>
      <c r="AA81" s="1893"/>
      <c r="AG81" s="1057"/>
      <c r="AK81" s="1893"/>
    </row>
    <row r="82" spans="1:37" ht="25.2">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7"/>
      <c r="AK82" s="1893"/>
    </row>
    <row r="83" spans="1:37" ht="39.6">
      <c r="A83" s="1968" t="s">
        <v>2070</v>
      </c>
      <c r="B83" s="1260" t="str">
        <f>估价对象房地状况!G15</f>
        <v>估价对象位于XX开发区，园区建设成熟度XX，产业集聚程度XX</v>
      </c>
      <c r="C83" s="1885"/>
      <c r="D83" s="1001">
        <f t="shared" ref="D83:D90" si="22">SUMIF($J$82:$N$82,C83,J83:N83)</f>
        <v>0</v>
      </c>
      <c r="E83" s="701">
        <f>ROUND(SUM(D83:D90),4)</f>
        <v>0</v>
      </c>
      <c r="F83" s="1673" t="str">
        <f>IF(E2="工业",SUMIF(L1:L12,G2,N1:N12),"——")</f>
        <v>——</v>
      </c>
      <c r="G83" s="999"/>
      <c r="H83" s="1002" t="str">
        <f t="shared" ref="H83:H90" si="23">IFERROR(ROUNDDOWN($F$83*I83/2,4),"——")</f>
        <v>——</v>
      </c>
      <c r="I83" s="3064">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52.8">
      <c r="A84" s="1968" t="s">
        <v>2053</v>
      </c>
      <c r="B84" s="1260" t="str">
        <f>估价对象房地状况!G16</f>
        <v>估价对象周边道路状况、公共交通通达情况、停车便捷程度，综合评价交通便捷度较好</v>
      </c>
      <c r="C84" s="1885"/>
      <c r="D84" s="1001">
        <f t="shared" si="22"/>
        <v>0</v>
      </c>
      <c r="E84" s="704"/>
      <c r="F84" s="1673"/>
      <c r="G84" s="999"/>
      <c r="H84" s="1002" t="str">
        <f t="shared" si="23"/>
        <v>——</v>
      </c>
      <c r="I84" s="3064">
        <v>0.3</v>
      </c>
      <c r="J84" s="1000">
        <f t="shared" si="24"/>
        <v>0</v>
      </c>
      <c r="K84" s="1000">
        <f t="shared" si="25"/>
        <v>0</v>
      </c>
      <c r="L84" s="1000">
        <v>0</v>
      </c>
      <c r="M84" s="1000">
        <f t="shared" si="26"/>
        <v>0</v>
      </c>
      <c r="N84" s="1000">
        <f t="shared" si="26"/>
        <v>0</v>
      </c>
      <c r="Z84" s="1843"/>
      <c r="AA84" s="1893"/>
      <c r="AG84" s="1057"/>
      <c r="AK84" s="1893"/>
    </row>
    <row r="85" spans="1:37" ht="48">
      <c r="A85" s="3066" t="s">
        <v>3270</v>
      </c>
      <c r="B85" s="1260">
        <f>估价对象房地状况!G17</f>
        <v>0</v>
      </c>
      <c r="C85" s="1885"/>
      <c r="D85" s="1001">
        <f t="shared" si="22"/>
        <v>0</v>
      </c>
      <c r="E85" s="704"/>
      <c r="F85" s="1673"/>
      <c r="G85" s="999"/>
      <c r="H85" s="1002" t="str">
        <f t="shared" si="23"/>
        <v>——</v>
      </c>
      <c r="I85" s="3064">
        <v>0.1</v>
      </c>
      <c r="J85" s="1000">
        <f t="shared" si="24"/>
        <v>0</v>
      </c>
      <c r="K85" s="1000">
        <f t="shared" si="25"/>
        <v>0</v>
      </c>
      <c r="L85" s="1000">
        <v>0</v>
      </c>
      <c r="M85" s="1000">
        <f t="shared" si="26"/>
        <v>0</v>
      </c>
      <c r="N85" s="1000">
        <f t="shared" si="26"/>
        <v>0</v>
      </c>
      <c r="Z85" s="1843"/>
      <c r="AA85" s="1893"/>
      <c r="AG85" s="1057"/>
      <c r="AK85" s="1893"/>
    </row>
    <row r="86" spans="1:37" ht="13.8">
      <c r="A86" s="1968" t="s">
        <v>2067</v>
      </c>
      <c r="B86" s="1260">
        <f>估价对象房地状况!G22</f>
        <v>0</v>
      </c>
      <c r="C86" s="1885"/>
      <c r="D86" s="1001">
        <f t="shared" si="22"/>
        <v>0</v>
      </c>
      <c r="E86" s="704"/>
      <c r="F86" s="1673"/>
      <c r="G86" s="999"/>
      <c r="H86" s="1002" t="str">
        <f t="shared" si="23"/>
        <v>——</v>
      </c>
      <c r="I86" s="3064">
        <v>0.05</v>
      </c>
      <c r="J86" s="1000">
        <f t="shared" si="24"/>
        <v>0</v>
      </c>
      <c r="K86" s="1000">
        <f t="shared" si="25"/>
        <v>0</v>
      </c>
      <c r="L86" s="1000">
        <v>0</v>
      </c>
      <c r="M86" s="1000">
        <f t="shared" si="26"/>
        <v>0</v>
      </c>
      <c r="N86" s="1000">
        <f t="shared" si="26"/>
        <v>0</v>
      </c>
      <c r="Z86" s="1843"/>
      <c r="AA86" s="1893"/>
      <c r="AG86" s="1057"/>
      <c r="AK86" s="1893"/>
    </row>
    <row r="87" spans="1:37" ht="26.4">
      <c r="A87" s="1968" t="s">
        <v>2059</v>
      </c>
      <c r="B87" s="1238" t="str">
        <f>估价对象房地状况!G19</f>
        <v>估价对象所在区域公共配套设施齐备情况</v>
      </c>
      <c r="C87" s="1885"/>
      <c r="D87" s="1001">
        <f t="shared" si="22"/>
        <v>0</v>
      </c>
      <c r="E87" s="704"/>
      <c r="F87" s="1673"/>
      <c r="G87" s="999"/>
      <c r="H87" s="1002" t="str">
        <f t="shared" si="23"/>
        <v>——</v>
      </c>
      <c r="I87" s="3064">
        <v>0.06</v>
      </c>
      <c r="J87" s="1000">
        <f t="shared" si="24"/>
        <v>0</v>
      </c>
      <c r="K87" s="1000">
        <f t="shared" si="25"/>
        <v>0</v>
      </c>
      <c r="L87" s="1000">
        <v>0</v>
      </c>
      <c r="M87" s="1000">
        <f t="shared" si="26"/>
        <v>0</v>
      </c>
      <c r="N87" s="1000">
        <f t="shared" si="26"/>
        <v>0</v>
      </c>
    </row>
    <row r="88" spans="1:37" ht="26.4">
      <c r="A88" s="1968" t="s">
        <v>2060</v>
      </c>
      <c r="B88" s="1238" t="str">
        <f>估价对象房地状况!G20</f>
        <v>估价对象所在区域基础设施水平</v>
      </c>
      <c r="C88" s="1885"/>
      <c r="D88" s="1001">
        <f t="shared" si="22"/>
        <v>0</v>
      </c>
      <c r="E88" s="704"/>
      <c r="F88" s="1673"/>
      <c r="G88" s="999"/>
      <c r="H88" s="1002" t="str">
        <f t="shared" si="23"/>
        <v>——</v>
      </c>
      <c r="I88" s="3064">
        <v>0.12</v>
      </c>
      <c r="J88" s="1000">
        <f t="shared" si="24"/>
        <v>0</v>
      </c>
      <c r="K88" s="1000">
        <f t="shared" si="25"/>
        <v>0</v>
      </c>
      <c r="L88" s="1000">
        <v>0</v>
      </c>
      <c r="M88" s="1000">
        <f t="shared" si="26"/>
        <v>0</v>
      </c>
      <c r="N88" s="1000">
        <f t="shared" si="26"/>
        <v>0</v>
      </c>
    </row>
    <row r="89" spans="1:37" ht="36">
      <c r="A89" s="1968" t="s">
        <v>2057</v>
      </c>
      <c r="B89" s="1973" t="s">
        <v>2071</v>
      </c>
      <c r="C89" s="1885"/>
      <c r="D89" s="1001">
        <f t="shared" si="22"/>
        <v>0</v>
      </c>
      <c r="E89" s="704"/>
      <c r="F89" s="1673"/>
      <c r="G89" s="999"/>
      <c r="H89" s="1002" t="str">
        <f t="shared" si="23"/>
        <v>——</v>
      </c>
      <c r="I89" s="3064">
        <v>0.06</v>
      </c>
      <c r="J89" s="1000">
        <f t="shared" si="24"/>
        <v>0</v>
      </c>
      <c r="K89" s="1000">
        <f t="shared" si="25"/>
        <v>0</v>
      </c>
      <c r="L89" s="1000">
        <v>0</v>
      </c>
      <c r="M89" s="1000">
        <f t="shared" si="26"/>
        <v>0</v>
      </c>
      <c r="N89" s="1000">
        <f t="shared" si="26"/>
        <v>0</v>
      </c>
    </row>
    <row r="90" spans="1:37" ht="40.200000000000003" thickBot="1">
      <c r="A90" s="1975" t="s">
        <v>2072</v>
      </c>
      <c r="B90" s="1980" t="str">
        <f>估价对象房地状况!G18</f>
        <v>该园区内是否有污染型企业，绿化情况，卫生条件，整体环境状况判断</v>
      </c>
      <c r="C90" s="1885"/>
      <c r="D90" s="1001">
        <f t="shared" si="22"/>
        <v>0</v>
      </c>
      <c r="E90" s="705"/>
      <c r="F90" s="1673"/>
      <c r="G90" s="999"/>
      <c r="H90" s="1002" t="str">
        <f t="shared" si="23"/>
        <v>——</v>
      </c>
      <c r="I90" s="3065">
        <v>0.05</v>
      </c>
      <c r="J90" s="1000">
        <f t="shared" si="24"/>
        <v>0</v>
      </c>
      <c r="K90" s="1000">
        <f t="shared" si="25"/>
        <v>0</v>
      </c>
      <c r="L90" s="1000">
        <v>0</v>
      </c>
      <c r="M90" s="1000">
        <f t="shared" si="26"/>
        <v>0</v>
      </c>
      <c r="N90" s="1000">
        <f t="shared" si="26"/>
        <v>0</v>
      </c>
    </row>
    <row r="91" spans="1:37" ht="13.8">
      <c r="A91" s="3074" t="s">
        <v>2612</v>
      </c>
      <c r="B91" s="3075">
        <f>1+E93</f>
        <v>1</v>
      </c>
      <c r="C91" s="3068"/>
      <c r="D91" s="3069"/>
      <c r="E91" s="1673"/>
      <c r="F91" s="1673"/>
      <c r="G91" s="3070"/>
      <c r="H91" s="3071"/>
      <c r="I91" s="3072"/>
      <c r="J91" s="3073"/>
      <c r="K91" s="3073"/>
      <c r="L91" s="3073"/>
      <c r="M91" s="3073"/>
      <c r="N91" s="3073"/>
    </row>
    <row r="92" spans="1:37" ht="25.2">
      <c r="A92" s="3076" t="s">
        <v>3271</v>
      </c>
      <c r="B92" s="2307"/>
      <c r="C92" s="2307" t="s">
        <v>3280</v>
      </c>
      <c r="D92" s="2307" t="s">
        <v>3281</v>
      </c>
      <c r="E92" s="3048" t="s">
        <v>3282</v>
      </c>
      <c r="F92" s="3078" t="s">
        <v>3283</v>
      </c>
      <c r="G92" s="2307" t="s">
        <v>3284</v>
      </c>
      <c r="H92" s="3085" t="s">
        <v>3287</v>
      </c>
      <c r="I92" s="2307" t="s">
        <v>3288</v>
      </c>
      <c r="J92" s="2148" t="s">
        <v>3289</v>
      </c>
      <c r="K92" s="2148" t="s">
        <v>3290</v>
      </c>
      <c r="L92" s="2148" t="s">
        <v>3291</v>
      </c>
      <c r="M92" s="2148" t="s">
        <v>3292</v>
      </c>
      <c r="N92" s="2148" t="s">
        <v>3293</v>
      </c>
    </row>
    <row r="93" spans="1:37" ht="24">
      <c r="A93" s="3066" t="s">
        <v>3272</v>
      </c>
      <c r="B93" s="1219"/>
      <c r="C93" s="1885"/>
      <c r="D93" s="2307">
        <f>SUMIF($J$92:$N$92,C93,J93:N93)</f>
        <v>0</v>
      </c>
      <c r="E93" s="3079">
        <f>ROUND(SUM(D93:D101),4)</f>
        <v>0</v>
      </c>
      <c r="F93" s="1673" t="str">
        <f>IF(E2="公共服务",SUMIF(L1:L12,G2,N1:N12),"——")</f>
        <v>——</v>
      </c>
      <c r="G93" s="3070"/>
      <c r="H93" s="3114"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3273</v>
      </c>
      <c r="B94" s="3067" t="str">
        <f>估价对象房地状况!C18</f>
        <v>估价对象周边道路状况、公共交通通达情况、停车便捷程度，综合评价交通便捷度较好</v>
      </c>
      <c r="C94" s="1885"/>
      <c r="D94" s="2307">
        <f t="shared" ref="D94:D101" si="30">SUMIF($J$60:$N$60,C94,J94:N94)</f>
        <v>0</v>
      </c>
      <c r="E94" s="3080"/>
      <c r="F94" s="1673"/>
      <c r="G94" s="3070"/>
      <c r="H94" s="3114" t="str">
        <f>IFERROR(ROUNDDOWN($F$93*I94/2,4),"——")</f>
        <v>——</v>
      </c>
      <c r="I94" s="3064">
        <v>0.26</v>
      </c>
      <c r="J94" s="1910">
        <f t="shared" si="27"/>
        <v>0</v>
      </c>
      <c r="K94" s="1910">
        <f t="shared" si="28"/>
        <v>0</v>
      </c>
      <c r="L94" s="1910">
        <v>0</v>
      </c>
      <c r="M94" s="1910">
        <f t="shared" si="29"/>
        <v>0</v>
      </c>
      <c r="N94" s="1910">
        <f t="shared" si="29"/>
        <v>0</v>
      </c>
    </row>
    <row r="95" spans="1:37" ht="48">
      <c r="A95" s="3066" t="s">
        <v>3269</v>
      </c>
      <c r="B95" s="3067">
        <f>估价对象房地状况!C19</f>
        <v>0</v>
      </c>
      <c r="C95" s="1885"/>
      <c r="D95" s="2307">
        <f t="shared" si="30"/>
        <v>0</v>
      </c>
      <c r="E95" s="3080"/>
      <c r="F95" s="1673"/>
      <c r="G95" s="3070"/>
      <c r="H95" s="3114"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3274</v>
      </c>
      <c r="B96" s="3082" t="s">
        <v>3285</v>
      </c>
      <c r="C96" s="1885"/>
      <c r="D96" s="2307">
        <f t="shared" si="30"/>
        <v>0</v>
      </c>
      <c r="E96" s="3080"/>
      <c r="F96" s="1673"/>
      <c r="G96" s="3070"/>
      <c r="H96" s="3114" t="str">
        <f t="shared" si="31"/>
        <v>——</v>
      </c>
      <c r="I96" s="3064">
        <v>0.05</v>
      </c>
      <c r="J96" s="1910">
        <f t="shared" si="27"/>
        <v>0</v>
      </c>
      <c r="K96" s="1910">
        <f t="shared" si="28"/>
        <v>0</v>
      </c>
      <c r="L96" s="1910">
        <v>0</v>
      </c>
      <c r="M96" s="1910">
        <f t="shared" si="29"/>
        <v>0</v>
      </c>
      <c r="N96" s="1910">
        <f t="shared" si="29"/>
        <v>0</v>
      </c>
    </row>
    <row r="97" spans="1:14" ht="24">
      <c r="A97" s="3076" t="s">
        <v>3275</v>
      </c>
      <c r="B97" s="3067">
        <f>估价对象房地状况!C24</f>
        <v>0</v>
      </c>
      <c r="C97" s="1885"/>
      <c r="D97" s="2307">
        <f t="shared" si="30"/>
        <v>0</v>
      </c>
      <c r="E97" s="3080"/>
      <c r="F97" s="1673"/>
      <c r="G97" s="3070"/>
      <c r="H97" s="3114" t="str">
        <f t="shared" si="31"/>
        <v>——</v>
      </c>
      <c r="I97" s="3064">
        <v>0.05</v>
      </c>
      <c r="J97" s="1910">
        <f t="shared" si="27"/>
        <v>0</v>
      </c>
      <c r="K97" s="1910">
        <f t="shared" si="28"/>
        <v>0</v>
      </c>
      <c r="L97" s="1910">
        <v>0</v>
      </c>
      <c r="M97" s="1910">
        <f t="shared" si="29"/>
        <v>0</v>
      </c>
      <c r="N97" s="1910">
        <f t="shared" si="29"/>
        <v>0</v>
      </c>
    </row>
    <row r="98" spans="1:14" ht="36">
      <c r="A98" s="3076" t="s">
        <v>3276</v>
      </c>
      <c r="B98" s="3083" t="s">
        <v>3286</v>
      </c>
      <c r="C98" s="1885"/>
      <c r="D98" s="2307">
        <f t="shared" si="30"/>
        <v>0</v>
      </c>
      <c r="E98" s="3080"/>
      <c r="F98" s="1673"/>
      <c r="G98" s="3070"/>
      <c r="H98" s="3114" t="str">
        <f t="shared" si="31"/>
        <v>——</v>
      </c>
      <c r="I98" s="3064">
        <v>0.06</v>
      </c>
      <c r="J98" s="1910">
        <f t="shared" si="27"/>
        <v>0</v>
      </c>
      <c r="K98" s="1910">
        <f t="shared" si="28"/>
        <v>0</v>
      </c>
      <c r="L98" s="1910">
        <v>0</v>
      </c>
      <c r="M98" s="1910">
        <f t="shared" si="29"/>
        <v>0</v>
      </c>
      <c r="N98" s="1910">
        <f t="shared" si="29"/>
        <v>0</v>
      </c>
    </row>
    <row r="99" spans="1:14" ht="26.4">
      <c r="A99" s="3076" t="s">
        <v>3277</v>
      </c>
      <c r="B99" s="3067" t="str">
        <f>估价对象房地状况!C21</f>
        <v>估价对象所在区域公共配套设施齐备情况</v>
      </c>
      <c r="C99" s="1885"/>
      <c r="D99" s="2307">
        <f t="shared" si="30"/>
        <v>0</v>
      </c>
      <c r="E99" s="3080"/>
      <c r="F99" s="1673"/>
      <c r="G99" s="3070"/>
      <c r="H99" s="3114" t="str">
        <f t="shared" si="31"/>
        <v>——</v>
      </c>
      <c r="I99" s="3064">
        <v>0.06</v>
      </c>
      <c r="J99" s="1910">
        <f t="shared" si="27"/>
        <v>0</v>
      </c>
      <c r="K99" s="1910">
        <f t="shared" si="28"/>
        <v>0</v>
      </c>
      <c r="L99" s="1910">
        <v>0</v>
      </c>
      <c r="M99" s="1910">
        <f t="shared" si="29"/>
        <v>0</v>
      </c>
      <c r="N99" s="1910">
        <f t="shared" si="29"/>
        <v>0</v>
      </c>
    </row>
    <row r="100" spans="1:14" ht="26.4">
      <c r="A100" s="3076" t="s">
        <v>3278</v>
      </c>
      <c r="B100" s="3067" t="str">
        <f>估价对象房地状况!C22</f>
        <v>估价对象所在区域基础设施水平</v>
      </c>
      <c r="C100" s="1885"/>
      <c r="D100" s="2307">
        <f t="shared" si="30"/>
        <v>0</v>
      </c>
      <c r="E100" s="3080"/>
      <c r="F100" s="1673"/>
      <c r="G100" s="3070"/>
      <c r="H100" s="3114"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3279</v>
      </c>
      <c r="B101" s="3084" t="str">
        <f>估价对象房地状况!C20</f>
        <v>区域自然环境：；人文环境；综合评价环境状况一般</v>
      </c>
      <c r="C101" s="1885"/>
      <c r="D101" s="2307">
        <f t="shared" si="30"/>
        <v>0</v>
      </c>
      <c r="E101" s="3081"/>
      <c r="F101" s="1673"/>
      <c r="G101" s="3070"/>
      <c r="H101" s="3114" t="str">
        <f t="shared" si="31"/>
        <v>——</v>
      </c>
      <c r="I101" s="3065">
        <v>7.0000000000000007E-2</v>
      </c>
      <c r="J101" s="1910">
        <f t="shared" si="27"/>
        <v>0</v>
      </c>
      <c r="K101" s="1910">
        <f t="shared" si="28"/>
        <v>0</v>
      </c>
      <c r="L101" s="1910">
        <v>0</v>
      </c>
      <c r="M101" s="1910">
        <f t="shared" si="29"/>
        <v>0</v>
      </c>
      <c r="N101" s="1910">
        <f t="shared" si="29"/>
        <v>0</v>
      </c>
    </row>
    <row r="103" spans="1:14">
      <c r="A103" s="3464" t="s">
        <v>3294</v>
      </c>
      <c r="B103" s="3464"/>
      <c r="C103" s="3464"/>
      <c r="D103" s="3464"/>
      <c r="E103" s="3464"/>
      <c r="F103" s="3464"/>
      <c r="G103" s="3464"/>
      <c r="H103" s="3464"/>
      <c r="I103" s="3464"/>
      <c r="J103" s="3464"/>
      <c r="K103" s="1665"/>
      <c r="L103" s="1665"/>
      <c r="M103" s="1665"/>
      <c r="N103" s="1665"/>
    </row>
    <row r="104" spans="1:14">
      <c r="A104" s="3465" t="s">
        <v>3295</v>
      </c>
      <c r="B104" s="3465" t="s">
        <v>3296</v>
      </c>
      <c r="C104" s="3086" t="s">
        <v>3297</v>
      </c>
      <c r="D104" s="3087"/>
      <c r="E104" s="3087"/>
      <c r="F104" s="3087"/>
      <c r="G104" s="3087"/>
      <c r="H104" s="3087"/>
      <c r="I104" s="3087"/>
      <c r="J104" s="3088"/>
      <c r="K104" s="3089"/>
      <c r="L104" s="3089"/>
      <c r="M104" s="3089"/>
      <c r="N104" s="3089"/>
    </row>
    <row r="105" spans="1:14">
      <c r="A105" s="3465"/>
      <c r="B105" s="3465"/>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451"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2"/>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54" t="s">
        <v>3311</v>
      </c>
      <c r="B113" s="3454"/>
      <c r="C113" s="3454"/>
      <c r="D113" s="3454"/>
      <c r="E113" s="3454"/>
      <c r="F113" s="3454"/>
      <c r="G113" s="3454"/>
      <c r="H113" s="3454"/>
      <c r="I113" s="3454"/>
      <c r="J113" s="3454"/>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3312</v>
      </c>
      <c r="B116" s="3110">
        <f>G3</f>
        <v>0</v>
      </c>
      <c r="C116" s="3095" t="s">
        <v>3313</v>
      </c>
      <c r="D116" s="3096">
        <f>SUMPRODUCT((A118:A122=F116)*(B117:M117=H116)*B118:M122)</f>
        <v>0.94899999999999995</v>
      </c>
      <c r="E116" s="162" t="s">
        <v>3314</v>
      </c>
      <c r="F116" s="3097" t="str">
        <f>E2</f>
        <v>商业</v>
      </c>
      <c r="G116" s="162" t="s">
        <v>3315</v>
      </c>
      <c r="H116" s="3097" t="str">
        <f>G2</f>
        <v>五级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3329</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3330</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3331</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2612</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77" t="s">
        <v>2607</v>
      </c>
      <c r="B20" s="3470" t="s">
        <v>2628</v>
      </c>
      <c r="C20" s="2838" t="s">
        <v>2439</v>
      </c>
      <c r="D20" s="2839"/>
      <c r="E20" s="2840">
        <v>1</v>
      </c>
      <c r="F20" s="2841" t="s">
        <v>2440</v>
      </c>
      <c r="G20" s="2841"/>
    </row>
    <row r="21" spans="1:13" ht="19.5" customHeight="1">
      <c r="A21" s="3478"/>
      <c r="B21" s="3471"/>
      <c r="C21" s="2842" t="s">
        <v>2441</v>
      </c>
      <c r="D21" s="2843"/>
      <c r="E21" s="2844">
        <v>1</v>
      </c>
      <c r="F21" s="2841" t="s">
        <v>2442</v>
      </c>
      <c r="G21" s="2841"/>
    </row>
    <row r="22" spans="1:13" ht="19.5" customHeight="1">
      <c r="A22" s="3478"/>
      <c r="B22" s="3471"/>
      <c r="C22" s="2842" t="s">
        <v>2443</v>
      </c>
      <c r="D22" s="2843"/>
      <c r="E22" s="2844">
        <v>0.9</v>
      </c>
      <c r="F22" s="2841" t="s">
        <v>2444</v>
      </c>
      <c r="G22" s="2841"/>
    </row>
    <row r="23" spans="1:13" ht="19.5" customHeight="1">
      <c r="A23" s="3478"/>
      <c r="B23" s="3471"/>
      <c r="C23" s="2842" t="s">
        <v>2445</v>
      </c>
      <c r="D23" s="2843"/>
      <c r="E23" s="2844">
        <v>0.9</v>
      </c>
      <c r="F23" s="2841" t="s">
        <v>2446</v>
      </c>
      <c r="G23" s="2841"/>
    </row>
    <row r="24" spans="1:13" ht="19.5" customHeight="1">
      <c r="A24" s="3478"/>
      <c r="B24" s="3471"/>
      <c r="C24" s="2842" t="s">
        <v>2447</v>
      </c>
      <c r="D24" s="2843"/>
      <c r="E24" s="2844">
        <v>0.8</v>
      </c>
      <c r="F24" s="2841" t="s">
        <v>2448</v>
      </c>
      <c r="G24" s="2841"/>
    </row>
    <row r="25" spans="1:13" ht="19.5" customHeight="1" thickBot="1">
      <c r="A25" s="3479"/>
      <c r="B25" s="3472"/>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73" t="s">
        <v>2631</v>
      </c>
      <c r="B27" s="3470" t="s">
        <v>2612</v>
      </c>
      <c r="C27" s="2838" t="s">
        <v>2452</v>
      </c>
      <c r="D27" s="2839"/>
      <c r="E27" s="2840">
        <v>1</v>
      </c>
      <c r="F27" s="2841" t="s">
        <v>2453</v>
      </c>
      <c r="G27" s="2841"/>
    </row>
    <row r="28" spans="1:13" ht="19.5" customHeight="1">
      <c r="A28" s="3474"/>
      <c r="B28" s="3471"/>
      <c r="C28" s="2842" t="s">
        <v>2454</v>
      </c>
      <c r="D28" s="2843"/>
      <c r="E28" s="2844">
        <v>1</v>
      </c>
      <c r="F28" s="2841" t="s">
        <v>2455</v>
      </c>
      <c r="G28" s="2841"/>
    </row>
    <row r="29" spans="1:13" ht="19.5" customHeight="1">
      <c r="A29" s="3474"/>
      <c r="B29" s="3471"/>
      <c r="C29" s="2842" t="s">
        <v>2456</v>
      </c>
      <c r="D29" s="2843"/>
      <c r="E29" s="2844">
        <v>0.8</v>
      </c>
      <c r="F29" s="2841" t="s">
        <v>2457</v>
      </c>
      <c r="G29" s="2841"/>
    </row>
    <row r="30" spans="1:13" ht="19.5" customHeight="1">
      <c r="A30" s="3474"/>
      <c r="B30" s="3471"/>
      <c r="C30" s="2842" t="s">
        <v>2458</v>
      </c>
      <c r="D30" s="2843"/>
      <c r="E30" s="2844">
        <v>0.8</v>
      </c>
      <c r="F30" s="2841" t="s">
        <v>2459</v>
      </c>
      <c r="G30" s="2841"/>
    </row>
    <row r="31" spans="1:13" ht="19.5" customHeight="1">
      <c r="A31" s="3474"/>
      <c r="B31" s="3471"/>
      <c r="C31" s="2842" t="s">
        <v>2460</v>
      </c>
      <c r="D31" s="2843"/>
      <c r="E31" s="2844">
        <v>0.8</v>
      </c>
      <c r="F31" s="2841" t="s">
        <v>2461</v>
      </c>
      <c r="G31" s="2841"/>
    </row>
    <row r="32" spans="1:13" ht="19.5" customHeight="1">
      <c r="A32" s="3474"/>
      <c r="B32" s="3471"/>
      <c r="C32" s="2842" t="s">
        <v>2462</v>
      </c>
      <c r="D32" s="2843"/>
      <c r="E32" s="2844">
        <v>0.7</v>
      </c>
      <c r="F32" s="2841" t="s">
        <v>2463</v>
      </c>
      <c r="G32" s="2841"/>
    </row>
    <row r="33" spans="1:7" ht="19.5" customHeight="1">
      <c r="A33" s="3474"/>
      <c r="B33" s="3471"/>
      <c r="C33" s="2842" t="s">
        <v>2464</v>
      </c>
      <c r="D33" s="2843"/>
      <c r="E33" s="2844">
        <v>0.8</v>
      </c>
      <c r="F33" s="2841" t="s">
        <v>2465</v>
      </c>
      <c r="G33" s="2841"/>
    </row>
    <row r="34" spans="1:7" ht="19.5" customHeight="1">
      <c r="A34" s="3474"/>
      <c r="B34" s="3471"/>
      <c r="C34" s="2842" t="s">
        <v>2466</v>
      </c>
      <c r="D34" s="2843"/>
      <c r="E34" s="2844">
        <v>0.6</v>
      </c>
      <c r="F34" s="2841" t="s">
        <v>2467</v>
      </c>
      <c r="G34" s="2841"/>
    </row>
    <row r="35" spans="1:7" ht="19.5" customHeight="1">
      <c r="A35" s="3474"/>
      <c r="B35" s="3471"/>
      <c r="C35" s="2842" t="s">
        <v>2468</v>
      </c>
      <c r="D35" s="2843"/>
      <c r="E35" s="2844">
        <v>0.2</v>
      </c>
      <c r="F35" s="2841" t="s">
        <v>2469</v>
      </c>
      <c r="G35" s="2841"/>
    </row>
    <row r="36" spans="1:7" ht="19.5" customHeight="1">
      <c r="A36" s="3474"/>
      <c r="B36" s="3471"/>
      <c r="C36" s="2842" t="s">
        <v>2470</v>
      </c>
      <c r="D36" s="2843"/>
      <c r="E36" s="2844">
        <v>0.2</v>
      </c>
      <c r="F36" s="2841" t="s">
        <v>2471</v>
      </c>
      <c r="G36" s="2841"/>
    </row>
    <row r="37" spans="1:7" ht="19.5" customHeight="1">
      <c r="A37" s="3474"/>
      <c r="B37" s="3476" t="s">
        <v>2632</v>
      </c>
      <c r="C37" s="2842" t="s">
        <v>2472</v>
      </c>
      <c r="D37" s="2843"/>
      <c r="E37" s="2844">
        <v>0.6</v>
      </c>
      <c r="F37" s="2841" t="s">
        <v>2473</v>
      </c>
      <c r="G37" s="2841"/>
    </row>
    <row r="38" spans="1:7" ht="19.5" customHeight="1">
      <c r="A38" s="3474"/>
      <c r="B38" s="3471"/>
      <c r="C38" s="2842" t="s">
        <v>2474</v>
      </c>
      <c r="D38" s="2843"/>
      <c r="E38" s="2844">
        <v>0.6</v>
      </c>
      <c r="F38" s="2841" t="s">
        <v>2475</v>
      </c>
      <c r="G38" s="2841"/>
    </row>
    <row r="39" spans="1:7" ht="19.5" customHeight="1" thickBot="1">
      <c r="A39" s="3475"/>
      <c r="B39" s="3472"/>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77" t="s">
        <v>2610</v>
      </c>
      <c r="B41" s="3470" t="s">
        <v>2634</v>
      </c>
      <c r="C41" s="2838" t="s">
        <v>2479</v>
      </c>
      <c r="D41" s="2839"/>
      <c r="E41" s="2840">
        <v>1</v>
      </c>
      <c r="F41" s="2841" t="s">
        <v>2480</v>
      </c>
      <c r="G41" s="2841"/>
    </row>
    <row r="42" spans="1:7" ht="19.5" customHeight="1">
      <c r="A42" s="3478"/>
      <c r="B42" s="3471"/>
      <c r="C42" s="2842" t="s">
        <v>2481</v>
      </c>
      <c r="D42" s="2843"/>
      <c r="E42" s="2844">
        <v>1</v>
      </c>
      <c r="F42" s="2841" t="s">
        <v>2482</v>
      </c>
      <c r="G42" s="2841"/>
    </row>
    <row r="43" spans="1:7" ht="19.5" customHeight="1">
      <c r="A43" s="3478"/>
      <c r="B43" s="3480"/>
      <c r="C43" s="2842" t="s">
        <v>2483</v>
      </c>
      <c r="D43" s="2843"/>
      <c r="E43" s="2844">
        <v>1.5</v>
      </c>
      <c r="F43" s="2841" t="s">
        <v>2484</v>
      </c>
      <c r="G43" s="2841"/>
    </row>
    <row r="44" spans="1:7" ht="19.5" customHeight="1">
      <c r="A44" s="3478"/>
      <c r="B44" s="2853" t="s">
        <v>2635</v>
      </c>
      <c r="C44" s="2842" t="s">
        <v>2636</v>
      </c>
      <c r="D44" s="2843"/>
      <c r="E44" s="2844">
        <v>2</v>
      </c>
      <c r="F44" s="2841" t="s">
        <v>2485</v>
      </c>
      <c r="G44" s="2841"/>
    </row>
    <row r="45" spans="1:7" ht="19.5" customHeight="1">
      <c r="A45" s="3478"/>
      <c r="B45" s="3476" t="s">
        <v>2637</v>
      </c>
      <c r="C45" s="2842" t="s">
        <v>2486</v>
      </c>
      <c r="D45" s="2843"/>
      <c r="E45" s="2844">
        <v>1</v>
      </c>
      <c r="F45" s="2841" t="s">
        <v>2487</v>
      </c>
      <c r="G45" s="2841"/>
    </row>
    <row r="46" spans="1:7" ht="19.5" customHeight="1">
      <c r="A46" s="3478"/>
      <c r="B46" s="3471"/>
      <c r="C46" s="2842" t="s">
        <v>2488</v>
      </c>
      <c r="D46" s="2843"/>
      <c r="E46" s="2844">
        <v>1</v>
      </c>
      <c r="F46" s="2841" t="s">
        <v>2489</v>
      </c>
      <c r="G46" s="2841"/>
    </row>
    <row r="47" spans="1:7" ht="19.5" customHeight="1">
      <c r="A47" s="3478"/>
      <c r="B47" s="3471"/>
      <c r="C47" s="2842" t="s">
        <v>2490</v>
      </c>
      <c r="D47" s="2843"/>
      <c r="E47" s="2844">
        <v>1</v>
      </c>
      <c r="F47" s="2841" t="s">
        <v>2491</v>
      </c>
      <c r="G47" s="2841"/>
    </row>
    <row r="48" spans="1:7" ht="19.5" customHeight="1">
      <c r="A48" s="3478"/>
      <c r="B48" s="3471"/>
      <c r="C48" s="2842" t="s">
        <v>2492</v>
      </c>
      <c r="D48" s="2843"/>
      <c r="E48" s="2844">
        <v>1</v>
      </c>
      <c r="F48" s="2841" t="s">
        <v>2493</v>
      </c>
      <c r="G48" s="2841"/>
    </row>
    <row r="49" spans="1:7" ht="19.5" customHeight="1">
      <c r="A49" s="3478"/>
      <c r="B49" s="3471"/>
      <c r="C49" s="2842" t="s">
        <v>2494</v>
      </c>
      <c r="D49" s="2843"/>
      <c r="E49" s="2844">
        <v>1</v>
      </c>
      <c r="F49" s="2841" t="s">
        <v>2495</v>
      </c>
      <c r="G49" s="2841"/>
    </row>
    <row r="50" spans="1:7" ht="19.5" customHeight="1">
      <c r="A50" s="3478"/>
      <c r="B50" s="3471"/>
      <c r="C50" s="2842" t="s">
        <v>2496</v>
      </c>
      <c r="D50" s="2843"/>
      <c r="E50" s="2844">
        <v>1</v>
      </c>
      <c r="F50" s="2841" t="s">
        <v>2497</v>
      </c>
      <c r="G50" s="2841"/>
    </row>
    <row r="51" spans="1:7" ht="19.5" customHeight="1" thickBot="1">
      <c r="A51" s="3479"/>
      <c r="B51" s="3472"/>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76" t="s">
        <v>2651</v>
      </c>
      <c r="C73" s="2827" t="s">
        <v>2652</v>
      </c>
      <c r="D73" s="2827" t="s">
        <v>2653</v>
      </c>
      <c r="E73" s="2853">
        <v>0.2</v>
      </c>
      <c r="F73" s="2853">
        <v>25</v>
      </c>
    </row>
    <row r="74" spans="1:7" ht="24">
      <c r="A74" s="2853">
        <v>2</v>
      </c>
      <c r="B74" s="3471"/>
      <c r="C74" s="2827" t="s">
        <v>2654</v>
      </c>
      <c r="D74" s="2827" t="s">
        <v>2655</v>
      </c>
      <c r="E74" s="2853">
        <v>0.2</v>
      </c>
      <c r="F74" s="2853">
        <v>25</v>
      </c>
    </row>
    <row r="75" spans="1:7" ht="24">
      <c r="A75" s="2853">
        <v>3</v>
      </c>
      <c r="B75" s="3471"/>
      <c r="C75" s="2827" t="s">
        <v>2656</v>
      </c>
      <c r="D75" s="2827" t="s">
        <v>2657</v>
      </c>
      <c r="E75" s="2853">
        <v>0.2</v>
      </c>
      <c r="F75" s="2853">
        <v>25</v>
      </c>
    </row>
    <row r="76" spans="1:7" ht="14.4">
      <c r="A76" s="2853">
        <v>4</v>
      </c>
      <c r="B76" s="3471"/>
      <c r="C76" s="2827" t="s">
        <v>2658</v>
      </c>
      <c r="D76" s="2827" t="s">
        <v>2659</v>
      </c>
      <c r="E76" s="2853">
        <v>0.15</v>
      </c>
      <c r="F76" s="2853">
        <v>20</v>
      </c>
    </row>
    <row r="77" spans="1:7" ht="24">
      <c r="A77" s="2853">
        <v>5</v>
      </c>
      <c r="B77" s="3471"/>
      <c r="C77" s="2827" t="s">
        <v>2660</v>
      </c>
      <c r="D77" s="2827" t="s">
        <v>2661</v>
      </c>
      <c r="E77" s="2853">
        <v>0.15</v>
      </c>
      <c r="F77" s="2853">
        <v>20</v>
      </c>
    </row>
    <row r="78" spans="1:7" ht="24">
      <c r="A78" s="2853">
        <v>6</v>
      </c>
      <c r="B78" s="3471"/>
      <c r="C78" s="2827" t="s">
        <v>2662</v>
      </c>
      <c r="D78" s="2827" t="s">
        <v>2663</v>
      </c>
      <c r="E78" s="2853">
        <v>0.15</v>
      </c>
      <c r="F78" s="2853">
        <v>20</v>
      </c>
    </row>
    <row r="79" spans="1:7" ht="24">
      <c r="A79" s="2853">
        <v>7</v>
      </c>
      <c r="B79" s="3471"/>
      <c r="C79" s="2827" t="s">
        <v>2664</v>
      </c>
      <c r="D79" s="2827" t="s">
        <v>2665</v>
      </c>
      <c r="E79" s="2853">
        <v>0.15</v>
      </c>
      <c r="F79" s="2853">
        <v>20</v>
      </c>
    </row>
    <row r="80" spans="1:7" ht="24">
      <c r="A80" s="2853">
        <v>8</v>
      </c>
      <c r="B80" s="3471"/>
      <c r="C80" s="2827" t="s">
        <v>2666</v>
      </c>
      <c r="D80" s="2827" t="s">
        <v>2667</v>
      </c>
      <c r="E80" s="2853">
        <v>0.1</v>
      </c>
      <c r="F80" s="2853">
        <v>15</v>
      </c>
    </row>
    <row r="81" spans="1:6" ht="24">
      <c r="A81" s="2853">
        <v>9</v>
      </c>
      <c r="B81" s="3471"/>
      <c r="C81" s="2827" t="s">
        <v>2668</v>
      </c>
      <c r="D81" s="2827" t="s">
        <v>2669</v>
      </c>
      <c r="E81" s="2853">
        <v>0.1</v>
      </c>
      <c r="F81" s="2853">
        <v>15</v>
      </c>
    </row>
    <row r="82" spans="1:6" ht="24">
      <c r="A82" s="2853">
        <v>10</v>
      </c>
      <c r="B82" s="3471"/>
      <c r="C82" s="2827" t="s">
        <v>2670</v>
      </c>
      <c r="D82" s="2827" t="s">
        <v>2671</v>
      </c>
      <c r="E82" s="2853">
        <v>0.1</v>
      </c>
      <c r="F82" s="2853">
        <v>15</v>
      </c>
    </row>
    <row r="83" spans="1:6" ht="24">
      <c r="A83" s="2853">
        <v>11</v>
      </c>
      <c r="B83" s="3471"/>
      <c r="C83" s="2827" t="s">
        <v>2672</v>
      </c>
      <c r="D83" s="2827" t="s">
        <v>2673</v>
      </c>
      <c r="E83" s="2853">
        <v>0.1</v>
      </c>
      <c r="F83" s="2853">
        <v>15</v>
      </c>
    </row>
    <row r="84" spans="1:6" ht="24">
      <c r="A84" s="2853">
        <v>12</v>
      </c>
      <c r="B84" s="3471"/>
      <c r="C84" s="2827" t="s">
        <v>2674</v>
      </c>
      <c r="D84" s="2827" t="s">
        <v>2675</v>
      </c>
      <c r="E84" s="2853">
        <v>0.1</v>
      </c>
      <c r="F84" s="2853">
        <v>15</v>
      </c>
    </row>
    <row r="85" spans="1:6" ht="24">
      <c r="A85" s="2853">
        <v>13</v>
      </c>
      <c r="B85" s="3471"/>
      <c r="C85" s="2827" t="s">
        <v>2676</v>
      </c>
      <c r="D85" s="2827" t="s">
        <v>2677</v>
      </c>
      <c r="E85" s="2853">
        <v>0.1</v>
      </c>
      <c r="F85" s="2853">
        <v>15</v>
      </c>
    </row>
    <row r="86" spans="1:6" ht="24">
      <c r="A86" s="2853">
        <v>14</v>
      </c>
      <c r="B86" s="3471"/>
      <c r="C86" s="2827" t="s">
        <v>2678</v>
      </c>
      <c r="D86" s="2827" t="s">
        <v>2679</v>
      </c>
      <c r="E86" s="2853">
        <v>0.1</v>
      </c>
      <c r="F86" s="2853">
        <v>15</v>
      </c>
    </row>
    <row r="87" spans="1:6" ht="24">
      <c r="A87" s="2853">
        <v>15</v>
      </c>
      <c r="B87" s="3471"/>
      <c r="C87" s="2827" t="s">
        <v>2680</v>
      </c>
      <c r="D87" s="2827" t="s">
        <v>2681</v>
      </c>
      <c r="E87" s="2853">
        <v>0.1</v>
      </c>
      <c r="F87" s="2853">
        <v>15</v>
      </c>
    </row>
    <row r="88" spans="1:6" ht="24">
      <c r="A88" s="2853">
        <v>16</v>
      </c>
      <c r="B88" s="3471"/>
      <c r="C88" s="2827" t="s">
        <v>2682</v>
      </c>
      <c r="D88" s="2827" t="s">
        <v>2683</v>
      </c>
      <c r="E88" s="2853">
        <v>0.1</v>
      </c>
      <c r="F88" s="2853">
        <v>15</v>
      </c>
    </row>
    <row r="89" spans="1:6" ht="24">
      <c r="A89" s="2853">
        <v>17</v>
      </c>
      <c r="B89" s="3480"/>
      <c r="C89" s="2827" t="s">
        <v>2684</v>
      </c>
      <c r="D89" s="2827" t="s">
        <v>2685</v>
      </c>
      <c r="E89" s="2853">
        <v>0.1</v>
      </c>
      <c r="F89" s="2853">
        <v>15</v>
      </c>
    </row>
    <row r="90" spans="1:6" ht="14.4">
      <c r="A90" s="2853">
        <v>18</v>
      </c>
      <c r="B90" s="3476" t="s">
        <v>2686</v>
      </c>
      <c r="C90" s="2827" t="s">
        <v>2687</v>
      </c>
      <c r="D90" s="2827" t="s">
        <v>2688</v>
      </c>
      <c r="E90" s="2853">
        <v>0.2</v>
      </c>
      <c r="F90" s="2853">
        <v>25</v>
      </c>
    </row>
    <row r="91" spans="1:6" ht="24">
      <c r="A91" s="2853">
        <v>19</v>
      </c>
      <c r="B91" s="3471"/>
      <c r="C91" s="2827" t="s">
        <v>2689</v>
      </c>
      <c r="D91" s="2827" t="s">
        <v>2690</v>
      </c>
      <c r="E91" s="2853">
        <v>0.2</v>
      </c>
      <c r="F91" s="2853">
        <v>25</v>
      </c>
    </row>
    <row r="92" spans="1:6" ht="14.4">
      <c r="A92" s="2853">
        <v>20</v>
      </c>
      <c r="B92" s="3471"/>
      <c r="C92" s="2827" t="s">
        <v>2691</v>
      </c>
      <c r="D92" s="2827" t="s">
        <v>2692</v>
      </c>
      <c r="E92" s="2853">
        <v>0.15</v>
      </c>
      <c r="F92" s="2853">
        <v>20</v>
      </c>
    </row>
    <row r="93" spans="1:6" ht="24">
      <c r="A93" s="2853">
        <v>21</v>
      </c>
      <c r="B93" s="3471"/>
      <c r="C93" s="2827" t="s">
        <v>2693</v>
      </c>
      <c r="D93" s="2827" t="s">
        <v>2694</v>
      </c>
      <c r="E93" s="2853">
        <v>0.15</v>
      </c>
      <c r="F93" s="2853">
        <v>20</v>
      </c>
    </row>
    <row r="94" spans="1:6" ht="24">
      <c r="A94" s="2853">
        <v>22</v>
      </c>
      <c r="B94" s="3471"/>
      <c r="C94" s="2827" t="s">
        <v>2695</v>
      </c>
      <c r="D94" s="2827" t="s">
        <v>2696</v>
      </c>
      <c r="E94" s="2853">
        <v>0.15</v>
      </c>
      <c r="F94" s="2853">
        <v>20</v>
      </c>
    </row>
    <row r="95" spans="1:6" ht="36">
      <c r="A95" s="2853">
        <v>23</v>
      </c>
      <c r="B95" s="3471"/>
      <c r="C95" s="2827" t="s">
        <v>2697</v>
      </c>
      <c r="D95" s="2827" t="s">
        <v>2698</v>
      </c>
      <c r="E95" s="2853">
        <v>0.15</v>
      </c>
      <c r="F95" s="2853">
        <v>20</v>
      </c>
    </row>
    <row r="96" spans="1:6" ht="24">
      <c r="A96" s="2853">
        <v>24</v>
      </c>
      <c r="B96" s="3471"/>
      <c r="C96" s="2827" t="s">
        <v>2699</v>
      </c>
      <c r="D96" s="2827" t="s">
        <v>2700</v>
      </c>
      <c r="E96" s="2853">
        <v>0.1</v>
      </c>
      <c r="F96" s="2853">
        <v>15</v>
      </c>
    </row>
    <row r="97" spans="1:6" ht="24">
      <c r="A97" s="2853">
        <v>25</v>
      </c>
      <c r="B97" s="3471"/>
      <c r="C97" s="2827" t="s">
        <v>2701</v>
      </c>
      <c r="D97" s="2827" t="s">
        <v>2702</v>
      </c>
      <c r="E97" s="2853">
        <v>0.1</v>
      </c>
      <c r="F97" s="2853">
        <v>15</v>
      </c>
    </row>
    <row r="98" spans="1:6" ht="24">
      <c r="A98" s="2853">
        <v>26</v>
      </c>
      <c r="B98" s="3471"/>
      <c r="C98" s="2827" t="s">
        <v>2703</v>
      </c>
      <c r="D98" s="2827" t="s">
        <v>2704</v>
      </c>
      <c r="E98" s="2853">
        <v>0.1</v>
      </c>
      <c r="F98" s="2853">
        <v>15</v>
      </c>
    </row>
    <row r="99" spans="1:6" ht="24">
      <c r="A99" s="2853">
        <v>27</v>
      </c>
      <c r="B99" s="3471"/>
      <c r="C99" s="2827" t="s">
        <v>2705</v>
      </c>
      <c r="D99" s="2827" t="s">
        <v>2706</v>
      </c>
      <c r="E99" s="2853">
        <v>0.1</v>
      </c>
      <c r="F99" s="2853">
        <v>15</v>
      </c>
    </row>
    <row r="100" spans="1:6" ht="24">
      <c r="A100" s="2853">
        <v>28</v>
      </c>
      <c r="B100" s="3471"/>
      <c r="C100" s="2827" t="s">
        <v>2707</v>
      </c>
      <c r="D100" s="2827" t="s">
        <v>2708</v>
      </c>
      <c r="E100" s="2853">
        <v>0.1</v>
      </c>
      <c r="F100" s="2853">
        <v>15</v>
      </c>
    </row>
    <row r="101" spans="1:6" ht="24">
      <c r="A101" s="2853">
        <v>29</v>
      </c>
      <c r="B101" s="3471"/>
      <c r="C101" s="2827" t="s">
        <v>2709</v>
      </c>
      <c r="D101" s="2827" t="s">
        <v>2710</v>
      </c>
      <c r="E101" s="2853">
        <v>0.1</v>
      </c>
      <c r="F101" s="2853">
        <v>15</v>
      </c>
    </row>
    <row r="102" spans="1:6" ht="24">
      <c r="A102" s="2853">
        <v>30</v>
      </c>
      <c r="B102" s="3471"/>
      <c r="C102" s="2827" t="s">
        <v>2711</v>
      </c>
      <c r="D102" s="2827" t="s">
        <v>2712</v>
      </c>
      <c r="E102" s="2853">
        <v>0.1</v>
      </c>
      <c r="F102" s="2853">
        <v>15</v>
      </c>
    </row>
    <row r="103" spans="1:6" ht="24">
      <c r="A103" s="2853">
        <v>31</v>
      </c>
      <c r="B103" s="3471"/>
      <c r="C103" s="2827" t="s">
        <v>2713</v>
      </c>
      <c r="D103" s="2827" t="s">
        <v>2714</v>
      </c>
      <c r="E103" s="2853">
        <v>0.1</v>
      </c>
      <c r="F103" s="2853">
        <v>15</v>
      </c>
    </row>
    <row r="104" spans="1:6" ht="24">
      <c r="A104" s="2853">
        <v>32</v>
      </c>
      <c r="B104" s="3471"/>
      <c r="C104" s="2827" t="s">
        <v>2715</v>
      </c>
      <c r="D104" s="2827" t="s">
        <v>2716</v>
      </c>
      <c r="E104" s="2853">
        <v>0.1</v>
      </c>
      <c r="F104" s="2853">
        <v>15</v>
      </c>
    </row>
    <row r="105" spans="1:6" ht="24">
      <c r="A105" s="2853">
        <v>33</v>
      </c>
      <c r="B105" s="3471"/>
      <c r="C105" s="2827" t="s">
        <v>2717</v>
      </c>
      <c r="D105" s="2827" t="s">
        <v>2718</v>
      </c>
      <c r="E105" s="2853">
        <v>0.1</v>
      </c>
      <c r="F105" s="2853">
        <v>15</v>
      </c>
    </row>
    <row r="106" spans="1:6" ht="24">
      <c r="A106" s="2853">
        <v>34</v>
      </c>
      <c r="B106" s="3480"/>
      <c r="C106" s="2827" t="s">
        <v>2719</v>
      </c>
      <c r="D106" s="2827" t="s">
        <v>2720</v>
      </c>
      <c r="E106" s="2853">
        <v>0.1</v>
      </c>
      <c r="F106" s="2853">
        <v>15</v>
      </c>
    </row>
    <row r="107" spans="1:6" ht="36">
      <c r="A107" s="2853">
        <v>35</v>
      </c>
      <c r="B107" s="3476" t="s">
        <v>2721</v>
      </c>
      <c r="C107" s="2853" t="s">
        <v>2722</v>
      </c>
      <c r="D107" s="2827" t="s">
        <v>2723</v>
      </c>
      <c r="E107" s="2853">
        <v>0.15</v>
      </c>
      <c r="F107" s="2853">
        <v>20</v>
      </c>
    </row>
    <row r="108" spans="1:6" ht="24">
      <c r="A108" s="2853">
        <v>36</v>
      </c>
      <c r="B108" s="3471"/>
      <c r="C108" s="2853" t="s">
        <v>2724</v>
      </c>
      <c r="D108" s="2827" t="s">
        <v>2725</v>
      </c>
      <c r="E108" s="2853">
        <v>0.15</v>
      </c>
      <c r="F108" s="2853">
        <v>20</v>
      </c>
    </row>
    <row r="109" spans="1:6" ht="24">
      <c r="A109" s="2853">
        <v>37</v>
      </c>
      <c r="B109" s="3471"/>
      <c r="C109" s="2853" t="s">
        <v>2726</v>
      </c>
      <c r="D109" s="2827" t="s">
        <v>2727</v>
      </c>
      <c r="E109" s="2853">
        <v>0.15</v>
      </c>
      <c r="F109" s="2853">
        <v>20</v>
      </c>
    </row>
    <row r="110" spans="1:6" ht="24">
      <c r="A110" s="2853">
        <v>38</v>
      </c>
      <c r="B110" s="3471"/>
      <c r="C110" s="2853" t="s">
        <v>2728</v>
      </c>
      <c r="D110" s="2827" t="s">
        <v>2729</v>
      </c>
      <c r="E110" s="2853">
        <v>0.1</v>
      </c>
      <c r="F110" s="2853">
        <v>15</v>
      </c>
    </row>
    <row r="111" spans="1:6" ht="24">
      <c r="A111" s="2853">
        <v>39</v>
      </c>
      <c r="B111" s="3471"/>
      <c r="C111" s="2853" t="s">
        <v>2730</v>
      </c>
      <c r="D111" s="2827" t="s">
        <v>2731</v>
      </c>
      <c r="E111" s="2853">
        <v>0.1</v>
      </c>
      <c r="F111" s="2853">
        <v>15</v>
      </c>
    </row>
    <row r="112" spans="1:6" ht="24">
      <c r="A112" s="2853">
        <v>40</v>
      </c>
      <c r="B112" s="3480"/>
      <c r="C112" s="2853" t="s">
        <v>2732</v>
      </c>
      <c r="D112" s="2827" t="s">
        <v>2733</v>
      </c>
      <c r="E112" s="2853">
        <v>0.1</v>
      </c>
      <c r="F112" s="2853">
        <v>15</v>
      </c>
    </row>
    <row r="113" spans="1:6" ht="24">
      <c r="A113" s="2853">
        <v>41</v>
      </c>
      <c r="B113" s="3481" t="s">
        <v>2734</v>
      </c>
      <c r="C113" s="2853" t="s">
        <v>2735</v>
      </c>
      <c r="D113" s="2827" t="s">
        <v>2736</v>
      </c>
      <c r="E113" s="2853">
        <v>0.1</v>
      </c>
      <c r="F113" s="2853">
        <v>15</v>
      </c>
    </row>
    <row r="114" spans="1:6" ht="24">
      <c r="A114" s="2853">
        <v>42</v>
      </c>
      <c r="B114" s="3481"/>
      <c r="C114" s="2853" t="s">
        <v>2737</v>
      </c>
      <c r="D114" s="2827" t="s">
        <v>2738</v>
      </c>
      <c r="E114" s="2853">
        <v>0.1</v>
      </c>
      <c r="F114" s="2853">
        <v>15</v>
      </c>
    </row>
    <row r="115" spans="1:6" ht="24">
      <c r="A115" s="2853">
        <v>43</v>
      </c>
      <c r="B115" s="3481"/>
      <c r="C115" s="2853" t="s">
        <v>2739</v>
      </c>
      <c r="D115" s="2827" t="s">
        <v>2740</v>
      </c>
      <c r="E115" s="2853">
        <v>0.1</v>
      </c>
      <c r="F115" s="2853">
        <v>15</v>
      </c>
    </row>
    <row r="116" spans="1:6" ht="24">
      <c r="A116" s="2853">
        <v>44</v>
      </c>
      <c r="B116" s="3476" t="s">
        <v>2741</v>
      </c>
      <c r="C116" s="2853" t="s">
        <v>2742</v>
      </c>
      <c r="D116" s="2827" t="s">
        <v>2743</v>
      </c>
      <c r="E116" s="2853">
        <v>0.1</v>
      </c>
      <c r="F116" s="2853">
        <v>15</v>
      </c>
    </row>
    <row r="117" spans="1:6" ht="24">
      <c r="A117" s="2853">
        <v>45</v>
      </c>
      <c r="B117" s="3480"/>
      <c r="C117" s="2827" t="s">
        <v>2744</v>
      </c>
      <c r="D117" s="2827" t="s">
        <v>2745</v>
      </c>
      <c r="E117" s="2853">
        <v>0.1</v>
      </c>
      <c r="F117" s="2853">
        <v>15</v>
      </c>
    </row>
    <row r="118" spans="1:6" ht="24">
      <c r="A118" s="2853">
        <v>46</v>
      </c>
      <c r="B118" s="3476" t="s">
        <v>2746</v>
      </c>
      <c r="C118" s="2853" t="s">
        <v>2747</v>
      </c>
      <c r="D118" s="2827" t="s">
        <v>2748</v>
      </c>
      <c r="E118" s="2853">
        <v>0.1</v>
      </c>
      <c r="F118" s="2853">
        <v>15</v>
      </c>
    </row>
    <row r="119" spans="1:6" ht="24">
      <c r="A119" s="2853">
        <v>47</v>
      </c>
      <c r="B119" s="3480"/>
      <c r="C119" s="2853" t="s">
        <v>2749</v>
      </c>
      <c r="D119" s="2827" t="s">
        <v>2750</v>
      </c>
      <c r="E119" s="2853">
        <v>0.1</v>
      </c>
      <c r="F119" s="2853">
        <v>15</v>
      </c>
    </row>
    <row r="120" spans="1:6" ht="24">
      <c r="A120" s="2853">
        <v>48</v>
      </c>
      <c r="B120" s="3476" t="s">
        <v>2751</v>
      </c>
      <c r="C120" s="2853" t="s">
        <v>2752</v>
      </c>
      <c r="D120" s="2827" t="s">
        <v>2753</v>
      </c>
      <c r="E120" s="2853">
        <v>0.1</v>
      </c>
      <c r="F120" s="2853">
        <v>15</v>
      </c>
    </row>
    <row r="121" spans="1:6" ht="24">
      <c r="A121" s="2853">
        <v>49</v>
      </c>
      <c r="B121" s="3480"/>
      <c r="C121" s="2853" t="s">
        <v>2754</v>
      </c>
      <c r="D121" s="2827" t="s">
        <v>2755</v>
      </c>
      <c r="E121" s="2853">
        <v>0.1</v>
      </c>
      <c r="F121" s="2853">
        <v>15</v>
      </c>
    </row>
    <row r="122" spans="1:6" ht="24">
      <c r="A122" s="2853">
        <v>50</v>
      </c>
      <c r="B122" s="3481" t="s">
        <v>2756</v>
      </c>
      <c r="C122" s="2853" t="s">
        <v>2757</v>
      </c>
      <c r="D122" s="2827" t="s">
        <v>2758</v>
      </c>
      <c r="E122" s="2853">
        <v>0.1</v>
      </c>
      <c r="F122" s="2853">
        <v>15</v>
      </c>
    </row>
    <row r="123" spans="1:6" ht="24">
      <c r="A123" s="2853">
        <v>51</v>
      </c>
      <c r="B123" s="3481"/>
      <c r="C123" s="2853" t="s">
        <v>2759</v>
      </c>
      <c r="D123" s="2827" t="s">
        <v>2760</v>
      </c>
      <c r="E123" s="2853">
        <v>0.1</v>
      </c>
      <c r="F123" s="2853">
        <v>15</v>
      </c>
    </row>
    <row r="124" spans="1:6" ht="24">
      <c r="A124" s="2853">
        <v>52</v>
      </c>
      <c r="B124" s="3481" t="s">
        <v>2761</v>
      </c>
      <c r="C124" s="2853" t="s">
        <v>2762</v>
      </c>
      <c r="D124" s="2827" t="s">
        <v>2763</v>
      </c>
      <c r="E124" s="2853">
        <v>0.1</v>
      </c>
      <c r="F124" s="2853">
        <v>15</v>
      </c>
    </row>
    <row r="125" spans="1:6" ht="24">
      <c r="A125" s="2853">
        <v>53</v>
      </c>
      <c r="B125" s="3481"/>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81" t="s">
        <v>2769</v>
      </c>
      <c r="C127" s="2853" t="s">
        <v>2770</v>
      </c>
      <c r="D127" s="2827" t="s">
        <v>2771</v>
      </c>
      <c r="E127" s="2853">
        <v>0.1</v>
      </c>
      <c r="F127" s="2853">
        <v>15</v>
      </c>
    </row>
    <row r="128" spans="1:6" ht="24">
      <c r="A128" s="2853">
        <v>56</v>
      </c>
      <c r="B128" s="3481"/>
      <c r="C128" s="2853" t="s">
        <v>2772</v>
      </c>
      <c r="D128" s="2827" t="s">
        <v>2773</v>
      </c>
      <c r="E128" s="2853">
        <v>0.1</v>
      </c>
      <c r="F128" s="2853">
        <v>15</v>
      </c>
    </row>
    <row r="129" spans="1:6" ht="24">
      <c r="A129" s="2853">
        <v>57</v>
      </c>
      <c r="B129" s="3481"/>
      <c r="C129" s="2853" t="s">
        <v>2774</v>
      </c>
      <c r="D129" s="2827" t="s">
        <v>2775</v>
      </c>
      <c r="E129" s="2853">
        <v>0.1</v>
      </c>
      <c r="F129" s="2853">
        <v>15</v>
      </c>
    </row>
    <row r="130" spans="1:6" ht="24">
      <c r="A130" s="2853">
        <v>58</v>
      </c>
      <c r="B130" s="3481" t="s">
        <v>2776</v>
      </c>
      <c r="C130" s="2853" t="s">
        <v>2777</v>
      </c>
      <c r="D130" s="2827" t="s">
        <v>2778</v>
      </c>
      <c r="E130" s="2853">
        <v>0.1</v>
      </c>
      <c r="F130" s="2853">
        <v>15</v>
      </c>
    </row>
    <row r="131" spans="1:6" ht="24">
      <c r="A131" s="2853">
        <v>59</v>
      </c>
      <c r="B131" s="3481"/>
      <c r="C131" s="2853" t="s">
        <v>2779</v>
      </c>
      <c r="D131" s="2827" t="s">
        <v>2780</v>
      </c>
      <c r="E131" s="2853">
        <v>0.1</v>
      </c>
      <c r="F131" s="2853">
        <v>15</v>
      </c>
    </row>
    <row r="132" spans="1:6" ht="24">
      <c r="A132" s="2853">
        <v>60</v>
      </c>
      <c r="B132" s="3476" t="s">
        <v>2781</v>
      </c>
      <c r="C132" s="2853" t="s">
        <v>2782</v>
      </c>
      <c r="D132" s="2827" t="s">
        <v>2783</v>
      </c>
      <c r="E132" s="2853">
        <v>0.1</v>
      </c>
      <c r="F132" s="2853">
        <v>15</v>
      </c>
    </row>
    <row r="133" spans="1:6" ht="24">
      <c r="A133" s="2853">
        <v>61</v>
      </c>
      <c r="B133" s="3480"/>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81" t="s">
        <v>2789</v>
      </c>
      <c r="C135" s="2853" t="s">
        <v>2790</v>
      </c>
      <c r="D135" s="2827" t="s">
        <v>2791</v>
      </c>
      <c r="E135" s="2853">
        <v>0.1</v>
      </c>
      <c r="F135" s="2853">
        <v>15</v>
      </c>
    </row>
    <row r="136" spans="1:6" ht="24">
      <c r="A136" s="2853">
        <v>64</v>
      </c>
      <c r="B136" s="3481"/>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89"/>
      <c r="B4" s="3168" t="s">
        <v>917</v>
      </c>
      <c r="C4" s="3168"/>
      <c r="D4" s="3168"/>
      <c r="E4" s="1389"/>
    </row>
    <row r="5" spans="1:5" ht="16.2" thickTop="1">
      <c r="B5" s="3166" t="s">
        <v>909</v>
      </c>
      <c r="C5" s="1390" t="s">
        <v>910</v>
      </c>
      <c r="D5" s="796">
        <f ca="1">结果表!H101</f>
        <v>588</v>
      </c>
    </row>
    <row r="6" spans="1:5" ht="15.6">
      <c r="B6" s="3166"/>
      <c r="C6" s="1390" t="s">
        <v>911</v>
      </c>
      <c r="D6" s="796" t="str">
        <f ca="1">NUMBERSTRING(INT(D5*10000),2)&amp;"元整"</f>
        <v>伍佰捌拾捌万元整</v>
      </c>
    </row>
    <row r="7" spans="1:5" ht="15.6">
      <c r="B7" s="3171"/>
      <c r="C7" s="1391" t="s">
        <v>912</v>
      </c>
      <c r="D7" s="797">
        <f ca="1">结果表!H102</f>
        <v>23794</v>
      </c>
    </row>
    <row r="8" spans="1:5" ht="15.6">
      <c r="B8" s="3172" t="str">
        <f>结果表!E103</f>
        <v>2.估价师知悉的法定优先受偿款</v>
      </c>
      <c r="C8" s="1392" t="s">
        <v>913</v>
      </c>
      <c r="D8" s="797">
        <f>结果表!H103</f>
        <v>0</v>
      </c>
    </row>
    <row r="9" spans="1:5" ht="15.6">
      <c r="B9" s="3174"/>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165" t="str">
        <f>结果表!E107</f>
        <v>3.房地产抵押价值</v>
      </c>
      <c r="C13" s="1395" t="s">
        <v>910</v>
      </c>
      <c r="D13" s="799">
        <f ca="1">结果表!H107</f>
        <v>588</v>
      </c>
    </row>
    <row r="14" spans="1:5" ht="15.6">
      <c r="B14" s="3166"/>
      <c r="C14" s="1390" t="s">
        <v>911</v>
      </c>
      <c r="D14" s="796" t="str">
        <f ca="1">NUMBERSTRING(INT(D13*10000),2)&amp;"元整"</f>
        <v>伍佰捌拾捌万元整</v>
      </c>
    </row>
    <row r="15" spans="1:5" ht="15.6">
      <c r="B15" s="3171"/>
      <c r="C15" s="1391" t="s">
        <v>921</v>
      </c>
      <c r="D15" s="805">
        <f ca="1">结果表!H108</f>
        <v>23794</v>
      </c>
    </row>
    <row r="16" spans="1:5" ht="15.6">
      <c r="B16" s="3172" t="str">
        <f>结果表!E109</f>
        <v>——</v>
      </c>
      <c r="C16" s="1395" t="s">
        <v>922</v>
      </c>
      <c r="D16" s="1396" t="str">
        <f>结果表!H109</f>
        <v>——</v>
      </c>
    </row>
    <row r="17" spans="1:5" ht="15.6">
      <c r="B17" s="3173"/>
      <c r="C17" s="1390" t="s">
        <v>923</v>
      </c>
      <c r="D17" s="796" t="e">
        <f>NUMBERSTRING(INT(D16*10000),2)&amp;"元整"</f>
        <v>#VALUE!</v>
      </c>
    </row>
    <row r="18" spans="1:5" ht="15.6">
      <c r="B18" s="3174"/>
      <c r="C18" s="1391" t="s">
        <v>912</v>
      </c>
      <c r="D18" s="805" t="str">
        <f>结果表!H110</f>
        <v>——</v>
      </c>
    </row>
    <row r="19" spans="1:5" ht="15.6">
      <c r="B19" s="3165" t="str">
        <f>结果表!E111</f>
        <v>——</v>
      </c>
      <c r="C19" s="1395" t="s">
        <v>910</v>
      </c>
      <c r="D19" s="797" t="str">
        <f>结果表!H111</f>
        <v>——</v>
      </c>
    </row>
    <row r="20" spans="1:5" ht="15.6">
      <c r="B20" s="3166"/>
      <c r="C20" s="1390" t="s">
        <v>923</v>
      </c>
      <c r="D20" s="796" t="e">
        <f>NUMBERSTRING(INT(D19*10000),2)&amp;"元整"</f>
        <v>#VALUE!</v>
      </c>
    </row>
    <row r="21" spans="1:5" ht="16.2" thickBot="1">
      <c r="B21" s="3167"/>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0</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0</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27690</v>
      </c>
      <c r="C2" s="2" t="s">
        <v>106</v>
      </c>
      <c r="D2" s="191"/>
      <c r="E2" s="191"/>
      <c r="F2" s="191"/>
      <c r="G2" s="191"/>
    </row>
    <row r="3" spans="1:7" s="192" customFormat="1" ht="18" customHeight="1" thickBot="1">
      <c r="A3" s="195" t="s">
        <v>58</v>
      </c>
      <c r="B3" s="196">
        <f ca="1">ROUND(B2*10000/'数据-汇总表'!E3,0)</f>
        <v>1120327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247.16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247.16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247.16</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46" t="s">
        <v>94</v>
      </c>
    </row>
    <row r="43" spans="1:7" ht="13.5" customHeight="1">
      <c r="A43" s="733" t="s">
        <v>347</v>
      </c>
      <c r="B43" s="207" t="s">
        <v>426</v>
      </c>
      <c r="C43" s="230">
        <f ca="1">ROUND(IF('数据-取费表'!B22&lt;=1,C39*F22*'数据-取费表'!B21/2,C39*(POWER((1+F22),'数据-取费表'!B21/2)-1)),0)</f>
        <v>0</v>
      </c>
      <c r="D43" s="230"/>
      <c r="E43" s="230"/>
      <c r="F43" s="231"/>
      <c r="G43" s="3347"/>
    </row>
    <row r="44" spans="1:7" ht="13.5" customHeight="1">
      <c r="A44" s="733" t="s">
        <v>348</v>
      </c>
      <c r="B44" s="207" t="s">
        <v>428</v>
      </c>
      <c r="C44" s="230">
        <f ca="1">ROUND(IF('数据-取费表'!B22&lt;=1,C40*F22*'数据-取费表'!B21/2,C40*(POWER((1+F22),'数据-取费表'!B21/2)-1)),4)</f>
        <v>5.9999999999999995E-4</v>
      </c>
      <c r="D44" s="230"/>
      <c r="E44" s="230"/>
      <c r="F44" s="231"/>
      <c r="G44" s="3348"/>
    </row>
    <row r="45" spans="1:7" s="206" customFormat="1" ht="13.5" customHeight="1">
      <c r="A45" s="730" t="s">
        <v>341</v>
      </c>
      <c r="B45" s="236" t="s">
        <v>85</v>
      </c>
      <c r="C45" s="237">
        <f>C46</f>
        <v>11</v>
      </c>
      <c r="D45" s="227">
        <f>C47</f>
        <v>3.0000000000000001E-3</v>
      </c>
      <c r="E45" s="228" t="s">
        <v>102</v>
      </c>
      <c r="F45" s="238"/>
      <c r="G45" s="239" t="s">
        <v>434</v>
      </c>
    </row>
    <row r="46" spans="1:7" s="206" customFormat="1" ht="13.5" customHeight="1">
      <c r="A46" s="733" t="s">
        <v>349</v>
      </c>
      <c r="B46" s="240" t="s">
        <v>427</v>
      </c>
      <c r="C46" s="241">
        <f>ROUND((C33+C39)*F27,0)</f>
        <v>11</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92</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73</v>
      </c>
      <c r="D51" s="224"/>
      <c r="E51" s="224"/>
      <c r="F51" s="256"/>
      <c r="G51" s="226" t="s">
        <v>37</v>
      </c>
    </row>
    <row r="52" spans="1:7" s="200" customFormat="1" ht="16.8" thickBot="1">
      <c r="A52" s="257" t="s">
        <v>38</v>
      </c>
      <c r="B52" s="258"/>
      <c r="C52" s="259">
        <f ca="1">C31+C51</f>
        <v>27690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84" t="s">
        <v>2839</v>
      </c>
      <c r="B1" s="3484"/>
      <c r="C1" s="3484"/>
      <c r="D1" s="3484"/>
      <c r="E1" s="3484"/>
      <c r="F1" s="3484"/>
      <c r="G1" s="3485"/>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82"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83"/>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86" t="s">
        <v>3181</v>
      </c>
      <c r="B1" s="3486"/>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87" t="s">
        <v>3232</v>
      </c>
      <c r="B1" s="3487"/>
      <c r="C1" s="3487"/>
      <c r="D1" s="3487"/>
      <c r="E1" s="3487"/>
      <c r="F1" s="3488"/>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3">
        <f>基准地价修正!G23</f>
        <v>45638</v>
      </c>
      <c r="B1" s="2925" t="s">
        <v>3381</v>
      </c>
      <c r="C1" s="2926"/>
      <c r="D1" s="2926"/>
      <c r="E1" s="2926"/>
      <c r="F1" s="2926"/>
      <c r="G1" s="2926"/>
      <c r="H1" s="2926"/>
      <c r="I1" s="2926"/>
      <c r="J1" s="2892"/>
      <c r="K1" s="2926" t="s">
        <v>454</v>
      </c>
      <c r="L1" s="2926"/>
      <c r="M1" s="2926"/>
      <c r="N1" s="2926"/>
      <c r="O1" s="2926"/>
      <c r="P1" s="2926"/>
      <c r="Q1" s="2892"/>
      <c r="R1" s="3489" t="s">
        <v>456</v>
      </c>
      <c r="S1" s="3490"/>
      <c r="T1" s="3490"/>
      <c r="U1" s="3490"/>
      <c r="V1" s="3490"/>
      <c r="W1" s="3490"/>
      <c r="X1" s="2892"/>
      <c r="Y1" s="3489" t="s">
        <v>457</v>
      </c>
      <c r="Z1" s="3490"/>
      <c r="AA1" s="3490"/>
      <c r="AB1" s="3490"/>
      <c r="AC1" s="3490"/>
      <c r="AD1" s="3490"/>
    </row>
    <row r="2" spans="1:30" s="2008" customFormat="1" ht="15" thickBot="1">
      <c r="B2" s="2877"/>
      <c r="C2" s="2878"/>
      <c r="D2" s="2009" t="s">
        <v>2810</v>
      </c>
      <c r="E2" s="2010" t="s">
        <v>2811</v>
      </c>
      <c r="F2" s="2010" t="s">
        <v>2812</v>
      </c>
      <c r="G2" s="2010" t="s">
        <v>2813</v>
      </c>
      <c r="H2" s="2010" t="s">
        <v>2814</v>
      </c>
      <c r="I2" s="2010" t="s">
        <v>2631</v>
      </c>
      <c r="J2" s="2879"/>
      <c r="K2" s="2009" t="s">
        <v>2810</v>
      </c>
      <c r="L2" s="2010" t="s">
        <v>2811</v>
      </c>
      <c r="M2" s="2010" t="s">
        <v>2812</v>
      </c>
      <c r="N2" s="2010" t="s">
        <v>2813</v>
      </c>
      <c r="O2" s="2010" t="s">
        <v>2815</v>
      </c>
      <c r="P2" s="2010" t="s">
        <v>2631</v>
      </c>
      <c r="Q2" s="2879"/>
      <c r="R2" s="2009" t="s">
        <v>2810</v>
      </c>
      <c r="S2" s="2010" t="s">
        <v>2811</v>
      </c>
      <c r="T2" s="2010" t="s">
        <v>2812</v>
      </c>
      <c r="U2" s="2010" t="s">
        <v>2816</v>
      </c>
      <c r="V2" s="2010" t="s">
        <v>2817</v>
      </c>
      <c r="W2" s="2010" t="s">
        <v>2631</v>
      </c>
      <c r="X2" s="2879"/>
      <c r="Y2" s="2009" t="s">
        <v>2810</v>
      </c>
      <c r="Z2" s="2010" t="s">
        <v>2811</v>
      </c>
      <c r="AA2" s="2010" t="s">
        <v>2812</v>
      </c>
      <c r="AB2" s="2010" t="s">
        <v>2818</v>
      </c>
      <c r="AC2" s="2010" t="s">
        <v>2817</v>
      </c>
      <c r="AD2" s="2010" t="s">
        <v>2631</v>
      </c>
    </row>
    <row r="3" spans="1:30" s="2882" customFormat="1" ht="13.2">
      <c r="A3" s="2880" t="s">
        <v>2819</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3.2">
      <c r="A5" s="2038" t="s">
        <v>3377</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3.2">
      <c r="A6" s="2903" t="s">
        <v>3386</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3" customFormat="1" ht="13.2">
      <c r="A7" s="2038" t="s">
        <v>3385</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1" t="s">
        <v>3378</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1" t="s">
        <v>3374</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3.2">
      <c r="A10" s="2901" t="s">
        <v>3370</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3.2">
      <c r="A11" s="2901" t="s">
        <v>3369</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3.2">
      <c r="A12" s="2901" t="s">
        <v>3367</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3.2">
      <c r="A13" s="2901" t="s">
        <v>3366</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3.2">
      <c r="A14" s="2901" t="s">
        <v>3365</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1" t="s">
        <v>3363</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1" t="s">
        <v>3354</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1" t="s">
        <v>2820</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1" t="s">
        <v>2821</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1" t="s">
        <v>2822</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1" t="s">
        <v>2823</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8" t="s">
        <v>3384</v>
      </c>
    </row>
    <row r="24" spans="1:30">
      <c r="I24" s="1403" t="s">
        <v>2825</v>
      </c>
    </row>
    <row r="26" spans="1:30" s="2007" customFormat="1" ht="13.2">
      <c r="B26" s="2925" t="s">
        <v>3382</v>
      </c>
      <c r="C26" s="2926"/>
      <c r="D26" s="2926"/>
      <c r="E26" s="2926"/>
      <c r="F26" s="2926"/>
      <c r="G26" s="2926"/>
      <c r="H26" s="2926"/>
      <c r="I26" s="2926"/>
      <c r="J26" s="2892"/>
      <c r="K26" s="2926" t="s">
        <v>2826</v>
      </c>
      <c r="L26" s="2926"/>
      <c r="M26" s="2926"/>
      <c r="N26" s="2926"/>
      <c r="O26" s="2926"/>
      <c r="P26" s="2926"/>
      <c r="Q26" s="2892"/>
      <c r="R26" s="3489" t="s">
        <v>2827</v>
      </c>
      <c r="S26" s="3490"/>
      <c r="T26" s="3490"/>
      <c r="U26" s="3490"/>
      <c r="V26" s="3490"/>
      <c r="W26" s="3490"/>
      <c r="X26" s="2892"/>
      <c r="Y26" s="3489" t="s">
        <v>2828</v>
      </c>
      <c r="Z26" s="3490"/>
      <c r="AA26" s="3490"/>
      <c r="AB26" s="3490"/>
      <c r="AC26" s="3490"/>
      <c r="AD26" s="3490"/>
    </row>
    <row r="27" spans="1:30" s="2008" customFormat="1" ht="15" thickBot="1">
      <c r="B27" s="2877"/>
      <c r="C27" s="2878"/>
      <c r="D27" s="2009" t="s">
        <v>2829</v>
      </c>
      <c r="E27" s="2010" t="s">
        <v>2830</v>
      </c>
      <c r="F27" s="2010" t="s">
        <v>2831</v>
      </c>
      <c r="G27" s="2010" t="s">
        <v>2832</v>
      </c>
      <c r="H27" s="2010"/>
      <c r="I27" s="2010" t="s">
        <v>2833</v>
      </c>
      <c r="J27" s="2879"/>
      <c r="K27" s="2009" t="s">
        <v>2829</v>
      </c>
      <c r="L27" s="2010" t="s">
        <v>2830</v>
      </c>
      <c r="M27" s="2010" t="s">
        <v>2831</v>
      </c>
      <c r="N27" s="2010" t="s">
        <v>2832</v>
      </c>
      <c r="O27" s="2010"/>
      <c r="P27" s="2010" t="s">
        <v>2833</v>
      </c>
      <c r="Q27" s="2879"/>
      <c r="R27" s="2009" t="s">
        <v>2829</v>
      </c>
      <c r="S27" s="2010" t="s">
        <v>2830</v>
      </c>
      <c r="T27" s="2010" t="s">
        <v>2831</v>
      </c>
      <c r="U27" s="2010" t="s">
        <v>2832</v>
      </c>
      <c r="V27" s="2010"/>
      <c r="W27" s="2010" t="s">
        <v>2833</v>
      </c>
      <c r="X27" s="2879"/>
      <c r="Y27" s="2009" t="s">
        <v>2829</v>
      </c>
      <c r="Z27" s="2010" t="s">
        <v>2830</v>
      </c>
      <c r="AA27" s="2010" t="s">
        <v>2831</v>
      </c>
      <c r="AB27" s="2010" t="s">
        <v>2832</v>
      </c>
      <c r="AC27" s="2010"/>
      <c r="AD27" s="2010" t="s">
        <v>2833</v>
      </c>
    </row>
    <row r="28" spans="1:30" s="2882" customFormat="1" ht="13.2">
      <c r="A28" s="2880" t="s">
        <v>2834</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7" customFormat="1" ht="13.2">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3.2">
      <c r="A30" s="2038" t="s">
        <v>3377</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3.2">
      <c r="A31" s="2903" t="s">
        <v>3379</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3" customFormat="1" ht="13.2">
      <c r="A32" s="2038" t="s">
        <v>3372</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3.2">
      <c r="A33" s="2901" t="s">
        <v>3380</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3.2">
      <c r="A34" s="2901" t="s">
        <v>3373</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3.2">
      <c r="A35" s="2901" t="s">
        <v>3371</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3.2">
      <c r="A36" s="2901" t="s">
        <v>3369</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3.2">
      <c r="A37" s="2901" t="s">
        <v>3368</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3.2">
      <c r="A38" s="2901" t="s">
        <v>3366</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3.2">
      <c r="A39" s="2901" t="s">
        <v>3365</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3.2">
      <c r="A40" s="2901" t="s">
        <v>3364</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3.2">
      <c r="A41" s="2901" t="s">
        <v>3354</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3.2">
      <c r="A42" s="2901" t="s">
        <v>2835</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3.2">
      <c r="A43" s="2901" t="s">
        <v>2836</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3.2">
      <c r="A44" s="2901" t="s">
        <v>2837</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3.2">
      <c r="A45" s="2901" t="s">
        <v>2838</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8"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2112</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2113</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2128</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2126</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2125</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2124</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2122</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2121</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2123</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2">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2119</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2"/>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2118</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2"/>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2111</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9"/>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2109</v>
      </c>
      <c r="B25" s="2047">
        <v>439</v>
      </c>
      <c r="C25" s="2047">
        <v>327</v>
      </c>
      <c r="D25" s="2047">
        <f>C25</f>
        <v>327</v>
      </c>
      <c r="E25" s="2047">
        <v>627</v>
      </c>
      <c r="F25" s="2048">
        <v>283</v>
      </c>
      <c r="G25" s="3495">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2110</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2"/>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2"/>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9"/>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5">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2"/>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2"/>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3"/>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1">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2"/>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2"/>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3"/>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1">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2"/>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2"/>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3"/>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496">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7"/>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7"/>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8"/>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1">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2"/>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2"/>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493"/>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1">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2">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2">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3">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1">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2">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2">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3">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1">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2">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2">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3">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1">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2">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2">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3">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1">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2">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2">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3">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1">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2">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2">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3">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1">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2">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2">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3">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1">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2">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2">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3">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1">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2">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2">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493">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1">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2">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2">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493">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45638</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2309</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0" t="s">
        <v>925</v>
      </c>
      <c r="E3" s="800" t="s">
        <v>931</v>
      </c>
      <c r="F3" s="800" t="s">
        <v>925</v>
      </c>
      <c r="G3" s="800" t="s">
        <v>926</v>
      </c>
      <c r="H3" s="800" t="s">
        <v>925</v>
      </c>
      <c r="I3" s="800" t="s">
        <v>926</v>
      </c>
    </row>
    <row r="4" spans="1:9" ht="30">
      <c r="A4" s="1401" t="str">
        <f>项目基本情况!S2</f>
        <v>北京市朝阳区天畅园6号楼2层等8套房地产</v>
      </c>
      <c r="B4" s="800">
        <f>项目基本情况!C17</f>
        <v>247.16</v>
      </c>
      <c r="C4" s="800">
        <f>项目基本情况!C18</f>
        <v>0</v>
      </c>
      <c r="D4" s="800">
        <f>结果表!D118</f>
        <v>0</v>
      </c>
      <c r="E4" s="800">
        <f>结果表!E118</f>
        <v>0</v>
      </c>
      <c r="F4" s="800">
        <f>结果表!F118</f>
        <v>0</v>
      </c>
      <c r="G4" s="800">
        <f>结果表!G118</f>
        <v>0</v>
      </c>
      <c r="H4" s="800">
        <f ca="1">结果表!H118</f>
        <v>588</v>
      </c>
      <c r="I4" s="800">
        <f ca="1">结果表!I118</f>
        <v>23794</v>
      </c>
    </row>
    <row r="5" spans="1:9" ht="30" customHeight="1">
      <c r="A5" s="3177" t="s">
        <v>927</v>
      </c>
      <c r="B5" s="3177"/>
      <c r="C5" s="3177"/>
      <c r="D5" s="3177" t="str">
        <f>结果表!D119</f>
        <v>零元整</v>
      </c>
      <c r="E5" s="3177"/>
      <c r="F5" s="3177" t="str">
        <f>结果表!F119</f>
        <v>零元整</v>
      </c>
      <c r="G5" s="3177"/>
      <c r="H5" s="3177" t="str">
        <f ca="1">结果表!H119</f>
        <v>伍佰捌拾捌万元整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588</v>
      </c>
      <c r="E8" s="3178"/>
      <c r="F8" s="3178"/>
      <c r="G8" s="3178"/>
      <c r="H8" s="3178"/>
      <c r="I8" s="3178"/>
    </row>
    <row r="9" spans="1:9" ht="15">
      <c r="A9" s="3177" t="s">
        <v>927</v>
      </c>
      <c r="B9" s="3177"/>
      <c r="C9" s="3177"/>
      <c r="D9" s="3177" t="str">
        <f ca="1">结果表!D123</f>
        <v>伍佰捌拾捌万元整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4" t="s">
        <v>949</v>
      </c>
      <c r="B1" s="3184"/>
      <c r="C1" s="3184"/>
      <c r="D1" s="3184"/>
    </row>
    <row r="2" spans="1:4" ht="17.399999999999999">
      <c r="A2" s="3185" t="s">
        <v>933</v>
      </c>
      <c r="B2" s="3185"/>
      <c r="C2" s="3185"/>
      <c r="D2" s="3185"/>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崔锴</v>
      </c>
      <c r="B5" s="1407">
        <f ca="1">项目基本情况!E4</f>
        <v>1120100036</v>
      </c>
      <c r="C5" s="1410"/>
      <c r="D5" s="1409" t="s">
        <v>938</v>
      </c>
    </row>
    <row r="6" spans="1:4" ht="17.399999999999999">
      <c r="A6" s="3185" t="s">
        <v>939</v>
      </c>
      <c r="B6" s="3185"/>
      <c r="C6" s="3185"/>
      <c r="D6" s="3185"/>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198" t="s">
        <v>956</v>
      </c>
      <c r="B15" s="3193" t="s">
        <v>109</v>
      </c>
      <c r="C15" s="3194"/>
    </row>
    <row r="16" spans="1:7" ht="14.4">
      <c r="A16" s="3199"/>
      <c r="B16" s="3193" t="s">
        <v>42</v>
      </c>
      <c r="C16" s="3194"/>
    </row>
    <row r="17" spans="1:3" ht="14.4">
      <c r="A17" s="3199"/>
      <c r="B17" s="3196" t="s">
        <v>957</v>
      </c>
      <c r="C17" s="1427" t="s">
        <v>956</v>
      </c>
    </row>
    <row r="18" spans="1:3" ht="14.4">
      <c r="A18" s="3199"/>
      <c r="B18" s="3196"/>
      <c r="C18" s="1427" t="s">
        <v>958</v>
      </c>
    </row>
    <row r="19" spans="1:3" ht="14.4">
      <c r="A19" s="3199"/>
      <c r="B19" s="3196"/>
      <c r="C19" s="1427" t="s">
        <v>959</v>
      </c>
    </row>
    <row r="20" spans="1:3" ht="14.4">
      <c r="A20" s="3200"/>
      <c r="B20" s="3195" t="s">
        <v>960</v>
      </c>
      <c r="C20" s="3194"/>
    </row>
    <row r="21" spans="1:3" ht="14.4">
      <c r="A21" s="1428" t="s">
        <v>961</v>
      </c>
      <c r="B21" s="1429"/>
      <c r="C21" s="1430"/>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7" t="s">
        <v>967</v>
      </c>
    </row>
    <row r="26" spans="1:3" ht="14.4">
      <c r="A26" s="3197"/>
      <c r="B26" s="3196"/>
      <c r="C26" s="1427" t="s">
        <v>968</v>
      </c>
    </row>
    <row r="27" spans="1:3" ht="14.4">
      <c r="A27" s="3197"/>
      <c r="B27" s="3196"/>
      <c r="C27" s="1427" t="s">
        <v>969</v>
      </c>
    </row>
    <row r="28" spans="1:3" ht="14.4">
      <c r="A28" s="3197"/>
      <c r="B28" s="3196"/>
      <c r="C28" s="1427" t="s">
        <v>970</v>
      </c>
    </row>
    <row r="29" spans="1:3" ht="14.4">
      <c r="A29" s="3197"/>
      <c r="B29" s="3196"/>
      <c r="C29" s="1427" t="s">
        <v>971</v>
      </c>
    </row>
    <row r="30" spans="1:3" ht="14.4">
      <c r="A30" s="3197"/>
      <c r="B30" s="3196"/>
      <c r="C30" s="1427" t="s">
        <v>972</v>
      </c>
    </row>
    <row r="31" spans="1:3" ht="14.4">
      <c r="A31" s="3197"/>
      <c r="B31" s="3196"/>
      <c r="C31" s="1427" t="s">
        <v>973</v>
      </c>
    </row>
    <row r="32" spans="1:3" ht="14.4">
      <c r="A32" s="3197"/>
      <c r="B32" s="3196"/>
      <c r="C32" s="1427" t="s">
        <v>974</v>
      </c>
    </row>
    <row r="33" spans="1:3" ht="14.4">
      <c r="A33" s="3197"/>
      <c r="B33" s="3196"/>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2137</v>
      </c>
      <c r="B2" s="2155">
        <f ca="1">TODAY()</f>
        <v>45639</v>
      </c>
      <c r="C2" s="2156" t="s">
        <v>2138</v>
      </c>
      <c r="D2" s="2156"/>
      <c r="E2" s="2156"/>
      <c r="F2" s="2152"/>
      <c r="G2" s="2152"/>
      <c r="H2" s="2152"/>
    </row>
    <row r="3" spans="1:8" ht="24" customHeight="1">
      <c r="A3" s="2157" t="s">
        <v>2139</v>
      </c>
      <c r="B3" s="1217" t="s">
        <v>2140</v>
      </c>
      <c r="C3" s="1217" t="s">
        <v>2141</v>
      </c>
      <c r="D3" s="2158" t="s">
        <v>2142</v>
      </c>
      <c r="E3" s="2159" t="s">
        <v>2143</v>
      </c>
      <c r="F3" s="1217" t="s">
        <v>2144</v>
      </c>
      <c r="G3" s="1217" t="s">
        <v>2141</v>
      </c>
      <c r="H3" s="2158" t="s">
        <v>2145</v>
      </c>
    </row>
    <row r="4" spans="1:8" ht="24" customHeight="1">
      <c r="A4" s="1217" t="s">
        <v>2146</v>
      </c>
      <c r="B4" s="1217">
        <f ca="1">IF(C4&lt;B2,"已过期",1119970066)</f>
        <v>1119970066</v>
      </c>
      <c r="C4" s="2160">
        <v>45937</v>
      </c>
      <c r="D4" s="2161" t="str">
        <f ca="1">A4&amp;"（注册号："&amp;B4&amp;"）"</f>
        <v>梁津（注册号：1119970066）</v>
      </c>
      <c r="E4" s="2162" t="s">
        <v>2146</v>
      </c>
      <c r="F4" s="1217">
        <f ca="1">IF(G4&lt;B2,"已过期",96010014)</f>
        <v>96010014</v>
      </c>
      <c r="G4" s="2163">
        <v>47118</v>
      </c>
      <c r="H4" s="2164" t="str">
        <f ca="1">E4&amp;"（注册号："&amp;F4&amp;"）"</f>
        <v>梁津（注册号：96010014）</v>
      </c>
    </row>
    <row r="5" spans="1:8" ht="24" customHeight="1">
      <c r="A5" s="1217" t="s">
        <v>2147</v>
      </c>
      <c r="B5" s="1217">
        <f ca="1">IF(C5&lt;B2,"已过期",1119970111)</f>
        <v>1119970111</v>
      </c>
      <c r="C5" s="2160">
        <v>45937</v>
      </c>
      <c r="D5" s="2161" t="str">
        <f t="shared" ref="D5:D15" ca="1" si="0">A5&amp;"（注册号："&amp;B5&amp;"）"</f>
        <v>叶凌（注册号：1119970111）</v>
      </c>
      <c r="E5" s="2162" t="s">
        <v>2147</v>
      </c>
      <c r="F5" s="1217">
        <f ca="1">IF(G5&lt;B2,"已过期",94010078)</f>
        <v>94010078</v>
      </c>
      <c r="G5" s="2163">
        <v>46387</v>
      </c>
      <c r="H5" s="2164" t="str">
        <f t="shared" ref="H5:H16" ca="1" si="1">E5&amp;"（注册号："&amp;F5&amp;"）"</f>
        <v>叶凌（注册号：94010078）</v>
      </c>
    </row>
    <row r="6" spans="1:8" ht="24" customHeight="1">
      <c r="A6" s="1217" t="s">
        <v>2148</v>
      </c>
      <c r="B6" s="1217" t="str">
        <f ca="1">IF(C6&lt;B2,"已过期",1120050019)</f>
        <v>已过期</v>
      </c>
      <c r="C6" s="2160">
        <v>45410</v>
      </c>
      <c r="D6" s="2161" t="str">
        <f t="shared" ca="1" si="0"/>
        <v>王鹏（注册号：已过期）</v>
      </c>
      <c r="E6" s="2162" t="s">
        <v>2148</v>
      </c>
      <c r="F6" s="1217">
        <f ca="1">IF(G6&lt;B2,"已过期",2002110030)</f>
        <v>2002110030</v>
      </c>
      <c r="G6" s="2163">
        <v>46387</v>
      </c>
      <c r="H6" s="2164" t="str">
        <f t="shared" ca="1" si="1"/>
        <v>王鹏（注册号：2002110030）</v>
      </c>
    </row>
    <row r="7" spans="1:8" ht="24" customHeight="1">
      <c r="A7" s="1217" t="s">
        <v>2149</v>
      </c>
      <c r="B7" s="1217">
        <f ca="1">IF(C7&lt;B2,"已过期",1120000080)</f>
        <v>1120000080</v>
      </c>
      <c r="C7" s="2160">
        <v>45937</v>
      </c>
      <c r="D7" s="2161" t="str">
        <f t="shared" ca="1" si="0"/>
        <v>欧红伟（注册号：1120000080）</v>
      </c>
      <c r="E7" s="2162" t="s">
        <v>2149</v>
      </c>
      <c r="F7" s="1217">
        <f ca="1">IF(G7&lt;B2,"已过期",2000110082)</f>
        <v>2000110082</v>
      </c>
      <c r="G7" s="2163">
        <v>46387</v>
      </c>
      <c r="H7" s="2164" t="str">
        <f t="shared" ca="1" si="1"/>
        <v>欧红伟（注册号：2000110082）</v>
      </c>
    </row>
    <row r="8" spans="1:8" ht="24" customHeight="1">
      <c r="A8" s="1217" t="s">
        <v>2150</v>
      </c>
      <c r="B8" s="1217">
        <f ca="1">IF(C8&lt;B2,"已过期",1419970001)</f>
        <v>1419970001</v>
      </c>
      <c r="C8" s="2160">
        <v>45937</v>
      </c>
      <c r="D8" s="2161" t="str">
        <f t="shared" ca="1" si="0"/>
        <v>吴薇（注册号：1419970001）</v>
      </c>
      <c r="E8" s="2162" t="s">
        <v>2150</v>
      </c>
      <c r="F8" s="1217">
        <f ca="1">IF(G8&lt;B2,"已过期",2002110125)</f>
        <v>2002110125</v>
      </c>
      <c r="G8" s="2163">
        <v>47118</v>
      </c>
      <c r="H8" s="2164" t="str">
        <f t="shared" ca="1" si="1"/>
        <v>吴薇（注册号：2002110125）</v>
      </c>
    </row>
    <row r="9" spans="1:8" ht="24" customHeight="1">
      <c r="A9" s="1217" t="s">
        <v>2151</v>
      </c>
      <c r="B9" s="1217" t="str">
        <f ca="1">IF(C9&lt;B2,"已过期",1120060040)</f>
        <v>已过期</v>
      </c>
      <c r="C9" s="2165">
        <v>45592</v>
      </c>
      <c r="D9" s="2161" t="str">
        <f t="shared" ca="1" si="0"/>
        <v>陈颖（注册号：已过期）</v>
      </c>
      <c r="E9" s="2162" t="s">
        <v>2151</v>
      </c>
      <c r="F9" s="1217">
        <f ca="1">IF(G9&lt;B2,"已过期",2004110096)</f>
        <v>2004110096</v>
      </c>
      <c r="G9" s="2163">
        <v>47118</v>
      </c>
      <c r="H9" s="2164" t="str">
        <f t="shared" ca="1" si="1"/>
        <v>陈颖（注册号：2004110096）</v>
      </c>
    </row>
    <row r="10" spans="1:8" ht="24" customHeight="1">
      <c r="A10" s="1217" t="s">
        <v>2152</v>
      </c>
      <c r="B10" s="1217">
        <f ca="1">IF(C10&lt;B2,"已过期",1120100036)</f>
        <v>1120100036</v>
      </c>
      <c r="C10" s="2165">
        <v>45752</v>
      </c>
      <c r="D10" s="2161" t="str">
        <f t="shared" ca="1" si="0"/>
        <v>崔锴（注册号：1120100036）</v>
      </c>
      <c r="E10" s="2162" t="s">
        <v>2152</v>
      </c>
      <c r="F10" s="1217">
        <f ca="1">IF(G10&lt;B2,"已过期",2010110070)</f>
        <v>2010110070</v>
      </c>
      <c r="G10" s="2163">
        <v>47907</v>
      </c>
      <c r="H10" s="2164" t="str">
        <f t="shared" ca="1" si="1"/>
        <v>崔锴（注册号：2010110070）</v>
      </c>
    </row>
    <row r="11" spans="1:8" ht="24" customHeight="1">
      <c r="A11" s="1217" t="s">
        <v>2153</v>
      </c>
      <c r="B11" s="1217">
        <f ca="1">IF(C11&lt;B2,"已过期",1120070131)</f>
        <v>1120070131</v>
      </c>
      <c r="C11" s="2160">
        <v>45937</v>
      </c>
      <c r="D11" s="2161" t="str">
        <f t="shared" ca="1" si="0"/>
        <v>郑燚（注册号：1120070131）</v>
      </c>
      <c r="E11" s="2162" t="s">
        <v>2153</v>
      </c>
      <c r="F11" s="1217">
        <f ca="1">IF(G11&lt;B2,"已过期",2014110011)</f>
        <v>2014110011</v>
      </c>
      <c r="G11" s="2163">
        <v>49302</v>
      </c>
      <c r="H11" s="2164" t="str">
        <f t="shared" ca="1" si="1"/>
        <v>郑燚（注册号：2014110011）</v>
      </c>
    </row>
    <row r="12" spans="1:8" ht="24" customHeight="1">
      <c r="A12" s="1217" t="s">
        <v>2154</v>
      </c>
      <c r="B12" s="1217">
        <f ca="1">IF(C12&lt;B2,"已过期",1120040230)</f>
        <v>1120040230</v>
      </c>
      <c r="C12" s="2165">
        <v>45937</v>
      </c>
      <c r="D12" s="2161" t="str">
        <f t="shared" ca="1" si="0"/>
        <v>苏海（注册号：1120040230）</v>
      </c>
      <c r="E12" s="2162" t="s">
        <v>2154</v>
      </c>
      <c r="F12" s="1217">
        <f ca="1">IF(G12&lt;B2,"已过期",98030020)</f>
        <v>98030020</v>
      </c>
      <c r="G12" s="2163">
        <v>47118</v>
      </c>
      <c r="H12" s="2164" t="str">
        <f t="shared" ca="1" si="1"/>
        <v>苏海（注册号：98030020）</v>
      </c>
    </row>
    <row r="13" spans="1:8" ht="24" customHeight="1">
      <c r="A13" s="1217" t="s">
        <v>2155</v>
      </c>
      <c r="B13" s="1217" t="str">
        <f ca="1">IF(C13&lt;B2,"已过期",1120020033)</f>
        <v>已过期</v>
      </c>
      <c r="C13" s="2160">
        <v>45375</v>
      </c>
      <c r="D13" s="2161" t="str">
        <f t="shared" ca="1" si="0"/>
        <v>刘敬东（注册号：已过期）</v>
      </c>
      <c r="E13" s="2162" t="s">
        <v>2155</v>
      </c>
      <c r="F13" s="1217">
        <f ca="1">IF(G13&lt;B2,"已过期",2000110137)</f>
        <v>2000110137</v>
      </c>
      <c r="G13" s="2163">
        <v>46387</v>
      </c>
      <c r="H13" s="2164" t="str">
        <f t="shared" ca="1" si="1"/>
        <v>刘敬东（注册号：2000110137）</v>
      </c>
    </row>
    <row r="14" spans="1:8" ht="24" customHeight="1">
      <c r="A14" s="1217" t="s">
        <v>2156</v>
      </c>
      <c r="B14" s="1217" t="str">
        <f ca="1">IF(C14&lt;B2,"已过期",1119980106)</f>
        <v>已过期</v>
      </c>
      <c r="C14" s="2165">
        <v>44969</v>
      </c>
      <c r="D14" s="2161" t="str">
        <f t="shared" ca="1" si="0"/>
        <v>刘俊财（注册号：已过期）</v>
      </c>
      <c r="E14" s="2162" t="s">
        <v>2156</v>
      </c>
      <c r="F14" s="1217">
        <f ca="1">IF(G14&lt;B2,"已过期",96010063)</f>
        <v>96010063</v>
      </c>
      <c r="G14" s="2163">
        <v>47483</v>
      </c>
      <c r="H14" s="2164" t="str">
        <f t="shared" ca="1" si="1"/>
        <v>刘俊财（注册号：96010063）</v>
      </c>
    </row>
    <row r="15" spans="1:8" ht="24" customHeight="1">
      <c r="A15" s="1217" t="s">
        <v>2437</v>
      </c>
      <c r="B15" s="1217">
        <v>1120210056</v>
      </c>
      <c r="C15" s="2165">
        <v>45410</v>
      </c>
      <c r="D15" s="2161" t="str">
        <f t="shared" si="0"/>
        <v>宁小鳗（注册号：1120210056）</v>
      </c>
      <c r="E15" s="2162" t="s">
        <v>2157</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1" t="s">
        <v>2158</v>
      </c>
      <c r="B17" s="3201"/>
      <c r="C17" s="3201"/>
      <c r="D17" s="3201"/>
      <c r="E17" s="3201"/>
      <c r="F17" s="3201"/>
      <c r="G17" s="3201"/>
      <c r="H17" s="3201"/>
    </row>
    <row r="18" spans="1:8" ht="24" customHeight="1">
      <c r="A18" s="3202" t="s">
        <v>2159</v>
      </c>
      <c r="B18" s="3202"/>
      <c r="C18" s="3202"/>
      <c r="D18" s="2158"/>
      <c r="E18" s="3203" t="s">
        <v>2160</v>
      </c>
      <c r="F18" s="3202"/>
      <c r="G18" s="3202"/>
    </row>
    <row r="19" spans="1:8" s="2168" customFormat="1" ht="24" customHeight="1">
      <c r="A19" s="2167" t="s">
        <v>2161</v>
      </c>
      <c r="B19" s="1217" t="s">
        <v>2162</v>
      </c>
      <c r="C19" s="1217" t="s">
        <v>2141</v>
      </c>
      <c r="D19" s="2158"/>
      <c r="E19" s="2162" t="s">
        <v>2161</v>
      </c>
      <c r="F19" s="1217" t="s">
        <v>2162</v>
      </c>
      <c r="G19" s="1217" t="s">
        <v>2141</v>
      </c>
    </row>
    <row r="20" spans="1:8" s="2168" customFormat="1" ht="24" customHeight="1">
      <c r="A20" s="2169" t="s">
        <v>2163</v>
      </c>
      <c r="B20" s="2169" t="s">
        <v>2164</v>
      </c>
      <c r="C20" s="2163">
        <v>45898</v>
      </c>
      <c r="D20" s="2170"/>
      <c r="E20" s="2171" t="s">
        <v>2165</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面积及租赁合同</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2024-12-13T01:25:12Z</dcterms:modified>
</cp:coreProperties>
</file>