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20\2020-1-0196昌平液化气站\"/>
    </mc:Choice>
  </mc:AlternateContent>
  <bookViews>
    <workbookView xWindow="11796" yWindow="108" windowWidth="11208" windowHeight="10896" tabRatio="899"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20" i="1" l="1"/>
  <c r="N6" i="1" s="1"/>
  <c r="N18" i="1"/>
  <c r="Y6" i="1" l="1"/>
  <c r="D3" i="4"/>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C10" i="71" s="1"/>
  <c r="C9" i="71" s="1"/>
  <c r="T10" i="71"/>
  <c r="Q11" i="71"/>
  <c r="F10" i="71"/>
  <c r="F9" i="71" s="1"/>
  <c r="F8" i="71" s="1"/>
  <c r="P11" i="71"/>
  <c r="E10" i="71"/>
  <c r="E9" i="71" s="1"/>
  <c r="E8" i="71" s="1"/>
  <c r="O11" i="71"/>
  <c r="Y9" i="71" s="1"/>
  <c r="Z9" i="71" s="1"/>
  <c r="N11" i="71"/>
  <c r="V10" i="71"/>
  <c r="D10" i="71"/>
  <c r="U10" i="71" s="1"/>
  <c r="A2" i="53"/>
  <c r="B19" i="72" s="1"/>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A12" i="62"/>
  <c r="B58" i="72" s="1"/>
  <c r="A120" i="9"/>
  <c r="H2" i="52"/>
  <c r="A1" i="52"/>
  <c r="A3" i="53"/>
  <c r="Q12" i="71"/>
  <c r="P12" i="71"/>
  <c r="O12" i="71"/>
  <c r="N12"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s="1"/>
  <c r="AI9" i="43"/>
  <c r="AI12" i="43" s="1"/>
  <c r="AH9" i="43"/>
  <c r="AH12" i="43" s="1"/>
  <c r="AG9" i="43"/>
  <c r="AG10" i="43" s="1"/>
  <c r="AG12" i="43"/>
  <c r="AF9" i="43"/>
  <c r="AF12" i="43" s="1"/>
  <c r="AE9" i="43"/>
  <c r="AD9" i="43"/>
  <c r="AC9" i="43"/>
  <c r="AC12" i="43"/>
  <c r="AB9" i="43"/>
  <c r="AB12" i="43" s="1"/>
  <c r="AA9" i="43"/>
  <c r="Z9" i="43"/>
  <c r="AC10" i="43"/>
  <c r="AB10" i="43"/>
  <c r="AF10" i="43"/>
  <c r="AH10" i="43"/>
  <c r="AJ10" i="43"/>
  <c r="K49" i="9"/>
  <c r="E107" i="9"/>
  <c r="A122" i="9"/>
  <c r="A8" i="52" s="1"/>
  <c r="B54" i="72" s="1"/>
  <c r="E111" i="9"/>
  <c r="A126" i="9" s="1"/>
  <c r="A12" i="52" s="1"/>
  <c r="B56" i="72" s="1"/>
  <c r="E109" i="9"/>
  <c r="A124" i="9"/>
  <c r="B44" i="72"/>
  <c r="B42" i="72"/>
  <c r="B69" i="72"/>
  <c r="B68" i="72"/>
  <c r="B63" i="72"/>
  <c r="B62" i="72"/>
  <c r="B65" i="72"/>
  <c r="B67" i="72"/>
  <c r="B10" i="72"/>
  <c r="C53" i="10"/>
  <c r="B51" i="10"/>
  <c r="A18" i="51"/>
  <c r="B13" i="72" s="1"/>
  <c r="B49" i="48"/>
  <c r="B5" i="72" s="1"/>
  <c r="I19" i="43"/>
  <c r="D75" i="71"/>
  <c r="F74" i="71"/>
  <c r="F73" i="71" s="1"/>
  <c r="E74" i="71"/>
  <c r="E73" i="71" s="1"/>
  <c r="E72" i="71" s="1"/>
  <c r="C74" i="71"/>
  <c r="D74" i="71" s="1"/>
  <c r="B74" i="71"/>
  <c r="F72" i="71"/>
  <c r="B73" i="71"/>
  <c r="B72" i="71" s="1"/>
  <c r="D71" i="71"/>
  <c r="F70" i="71"/>
  <c r="E70" i="71"/>
  <c r="E69" i="71" s="1"/>
  <c r="E68" i="71" s="1"/>
  <c r="C70" i="71"/>
  <c r="B70" i="71"/>
  <c r="B69" i="71" s="1"/>
  <c r="B68" i="71" s="1"/>
  <c r="F69" i="71"/>
  <c r="F68" i="71"/>
  <c r="D67" i="71"/>
  <c r="Q66" i="71"/>
  <c r="P66" i="71"/>
  <c r="O66" i="71"/>
  <c r="N66" i="71"/>
  <c r="F66" i="71"/>
  <c r="V66" i="71"/>
  <c r="E66" i="71"/>
  <c r="U66" i="71"/>
  <c r="C66" i="71"/>
  <c r="C65" i="71" s="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E62" i="71"/>
  <c r="U62" i="71"/>
  <c r="C62" i="71"/>
  <c r="T62" i="71" s="1"/>
  <c r="B62" i="71"/>
  <c r="Q61" i="71"/>
  <c r="P61" i="71"/>
  <c r="O61" i="71"/>
  <c r="N61" i="71"/>
  <c r="Q60" i="71"/>
  <c r="P60" i="71"/>
  <c r="O60" i="71"/>
  <c r="N60" i="71"/>
  <c r="Q59" i="71"/>
  <c r="P59" i="71"/>
  <c r="O59" i="71"/>
  <c r="N59" i="71"/>
  <c r="D59" i="71"/>
  <c r="Q58" i="71"/>
  <c r="P58" i="71"/>
  <c r="O58" i="71"/>
  <c r="N58" i="71"/>
  <c r="F58" i="71"/>
  <c r="V58" i="71" s="1"/>
  <c r="E58" i="71"/>
  <c r="U58" i="71" s="1"/>
  <c r="C58" i="71"/>
  <c r="T58" i="71"/>
  <c r="B58" i="71"/>
  <c r="S58" i="71" s="1"/>
  <c r="Q57" i="71"/>
  <c r="P57" i="71"/>
  <c r="O57" i="71"/>
  <c r="N57" i="71"/>
  <c r="F57" i="71"/>
  <c r="F56" i="71" s="1"/>
  <c r="B57" i="71"/>
  <c r="B56" i="71" s="1"/>
  <c r="Q56" i="71"/>
  <c r="P56" i="71"/>
  <c r="O56" i="71"/>
  <c r="N56" i="71"/>
  <c r="Q55" i="71"/>
  <c r="P55" i="71"/>
  <c r="O55" i="71"/>
  <c r="N55" i="71"/>
  <c r="D55" i="71"/>
  <c r="F54" i="71"/>
  <c r="F53" i="71" s="1"/>
  <c r="F52" i="71" s="1"/>
  <c r="Q51" i="71" s="1"/>
  <c r="E54" i="71"/>
  <c r="P54" i="71" s="1"/>
  <c r="C54" i="71"/>
  <c r="B54" i="71"/>
  <c r="N54" i="71" s="1"/>
  <c r="Q52" i="71"/>
  <c r="D51" i="71"/>
  <c r="Q50" i="71"/>
  <c r="P50" i="71"/>
  <c r="O50" i="71"/>
  <c r="N50" i="71"/>
  <c r="Q49" i="71"/>
  <c r="P49" i="71"/>
  <c r="O49" i="71"/>
  <c r="N49" i="71"/>
  <c r="Q48" i="71"/>
  <c r="P48" i="71"/>
  <c r="O48" i="71"/>
  <c r="N48" i="71"/>
  <c r="Q47" i="71"/>
  <c r="F48" i="71"/>
  <c r="F49" i="71" s="1"/>
  <c r="F50" i="71" s="1"/>
  <c r="V50" i="71" s="1"/>
  <c r="P47" i="71"/>
  <c r="E48" i="71"/>
  <c r="O47" i="71"/>
  <c r="C48" i="71"/>
  <c r="C49" i="71" s="1"/>
  <c r="D49"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E45" i="71" s="1"/>
  <c r="O43" i="71"/>
  <c r="C44"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c r="F37" i="71" s="1"/>
  <c r="F38" i="71" s="1"/>
  <c r="V38" i="71" s="1"/>
  <c r="P35" i="71"/>
  <c r="E36" i="71"/>
  <c r="O35" i="71"/>
  <c r="C36" i="7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D32" i="71" s="1"/>
  <c r="N31" i="71"/>
  <c r="B32"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Q25" i="71"/>
  <c r="AB25" i="71" s="1"/>
  <c r="P25" i="71"/>
  <c r="AA25" i="71"/>
  <c r="O25" i="71"/>
  <c r="Y25" i="71" s="1"/>
  <c r="Z25" i="71"/>
  <c r="N25" i="71"/>
  <c r="X25" i="71"/>
  <c r="Q24" i="71"/>
  <c r="AB24" i="71"/>
  <c r="P24" i="71"/>
  <c r="O24" i="71"/>
  <c r="Y24" i="71" s="1"/>
  <c r="Z24" i="71" s="1"/>
  <c r="N24" i="71"/>
  <c r="Q23" i="71"/>
  <c r="P23" i="71"/>
  <c r="O23" i="71"/>
  <c r="C24" i="71" s="1"/>
  <c r="N23" i="71"/>
  <c r="B24" i="71" s="1"/>
  <c r="D23" i="71"/>
  <c r="Q22" i="71"/>
  <c r="P22" i="71"/>
  <c r="O22" i="71"/>
  <c r="N22" i="71"/>
  <c r="Q21" i="71"/>
  <c r="P21" i="71"/>
  <c r="O21" i="71"/>
  <c r="N21" i="71"/>
  <c r="X21" i="71" s="1"/>
  <c r="Q20" i="71"/>
  <c r="P20" i="71"/>
  <c r="O20" i="71"/>
  <c r="N20" i="71"/>
  <c r="Q19" i="71"/>
  <c r="F20" i="71" s="1"/>
  <c r="F21" i="71" s="1"/>
  <c r="F22" i="71" s="1"/>
  <c r="V22" i="71" s="1"/>
  <c r="P19" i="71"/>
  <c r="O19" i="71"/>
  <c r="N19" i="71"/>
  <c r="D19" i="71"/>
  <c r="Q18" i="71"/>
  <c r="P18" i="71"/>
  <c r="O18" i="71"/>
  <c r="N18" i="71"/>
  <c r="Q17" i="71"/>
  <c r="P17" i="71"/>
  <c r="O17" i="71"/>
  <c r="N17" i="71"/>
  <c r="X17" i="71" s="1"/>
  <c r="Q16" i="71"/>
  <c r="P16" i="71"/>
  <c r="AA16" i="71" s="1"/>
  <c r="O16" i="71"/>
  <c r="N16" i="71"/>
  <c r="Q15" i="71"/>
  <c r="P15" i="71"/>
  <c r="E16" i="71" s="1"/>
  <c r="O15" i="71"/>
  <c r="C16" i="71" s="1"/>
  <c r="N15" i="71"/>
  <c r="X14" i="71" s="1"/>
  <c r="D15" i="71"/>
  <c r="O14" i="71"/>
  <c r="Y13" i="71" s="1"/>
  <c r="Z13" i="71" s="1"/>
  <c r="N14" i="71"/>
  <c r="B14" i="71" s="1"/>
  <c r="S14" i="71" s="1"/>
  <c r="B16" i="71"/>
  <c r="B17" i="71" s="1"/>
  <c r="B18" i="71" s="1"/>
  <c r="S18" i="71" s="1"/>
  <c r="X15" i="71"/>
  <c r="B20" i="71"/>
  <c r="B21" i="71" s="1"/>
  <c r="B22" i="71" s="1"/>
  <c r="S22" i="71" s="1"/>
  <c r="B25" i="71"/>
  <c r="B26" i="71" s="1"/>
  <c r="S26" i="71" s="1"/>
  <c r="X23" i="71"/>
  <c r="E24" i="71"/>
  <c r="E25" i="71"/>
  <c r="E26" i="71" s="1"/>
  <c r="U26" i="71" s="1"/>
  <c r="AA23" i="71"/>
  <c r="X16" i="71"/>
  <c r="AA22" i="71"/>
  <c r="X24" i="71"/>
  <c r="AA24" i="71"/>
  <c r="C14" i="71"/>
  <c r="X12" i="71"/>
  <c r="C29" i="71"/>
  <c r="C30" i="71" s="1"/>
  <c r="D30" i="71" s="1"/>
  <c r="D28" i="71"/>
  <c r="C33" i="71"/>
  <c r="D33" i="71" s="1"/>
  <c r="P14" i="71"/>
  <c r="E46" i="71"/>
  <c r="U46" i="71" s="1"/>
  <c r="U54" i="71"/>
  <c r="E53" i="71"/>
  <c r="Q14" i="71"/>
  <c r="F14" i="71" s="1"/>
  <c r="F13" i="71" s="1"/>
  <c r="F12" i="71" s="1"/>
  <c r="D44" i="71"/>
  <c r="D48" i="71"/>
  <c r="Q53" i="71"/>
  <c r="T54" i="71"/>
  <c r="D54" i="71"/>
  <c r="Q54" i="71"/>
  <c r="C57" i="71"/>
  <c r="D57" i="71" s="1"/>
  <c r="E57" i="71"/>
  <c r="E56" i="71" s="1"/>
  <c r="D58" i="71"/>
  <c r="E61" i="71"/>
  <c r="E60" i="71" s="1"/>
  <c r="D62" i="71"/>
  <c r="E65" i="71"/>
  <c r="E64" i="71" s="1"/>
  <c r="D66" i="71"/>
  <c r="C73" i="71"/>
  <c r="C72" i="71" s="1"/>
  <c r="C13" i="71"/>
  <c r="E14" i="71"/>
  <c r="E13" i="71"/>
  <c r="E12" i="71" s="1"/>
  <c r="C50" i="71"/>
  <c r="D50" i="71" s="1"/>
  <c r="D73" i="71"/>
  <c r="D72" i="71"/>
  <c r="C56" i="71"/>
  <c r="D56" i="71" s="1"/>
  <c r="P53" i="71"/>
  <c r="E52" i="71"/>
  <c r="P51" i="71" s="1"/>
  <c r="D29" i="71"/>
  <c r="V14" i="71"/>
  <c r="P52"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c r="F25" i="40"/>
  <c r="Q29" i="39"/>
  <c r="Z29" i="39" s="1"/>
  <c r="D103" i="39"/>
  <c r="E103" i="39" s="1"/>
  <c r="F103" i="39" s="1"/>
  <c r="G103" i="39" s="1"/>
  <c r="F29" i="39"/>
  <c r="AA29" i="39" s="1"/>
  <c r="Q18" i="36"/>
  <c r="Z18" i="36" s="1"/>
  <c r="D66" i="36"/>
  <c r="E66" i="36" s="1"/>
  <c r="F66" i="36" s="1"/>
  <c r="G66" i="36" s="1"/>
  <c r="H18" i="36"/>
  <c r="F18" i="36"/>
  <c r="C18" i="36"/>
  <c r="Q18" i="35"/>
  <c r="Z18" i="35" s="1"/>
  <c r="D68" i="35"/>
  <c r="E68" i="35" s="1"/>
  <c r="F68" i="35" s="1"/>
  <c r="G68" i="35" s="1"/>
  <c r="F18" i="35"/>
  <c r="AA18" i="35" s="1"/>
  <c r="C18" i="35"/>
  <c r="Q21" i="37"/>
  <c r="Z21" i="37" s="1"/>
  <c r="D77" i="37"/>
  <c r="E77" i="37"/>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c r="C22" i="20"/>
  <c r="B75" i="43"/>
  <c r="C25" i="40"/>
  <c r="S29" i="39"/>
  <c r="S21" i="34"/>
  <c r="F94" i="40"/>
  <c r="G94" i="40" s="1"/>
  <c r="H25" i="40"/>
  <c r="J25" i="40"/>
  <c r="H29" i="39"/>
  <c r="U29" i="39" s="1"/>
  <c r="J29" i="39"/>
  <c r="J18" i="36"/>
  <c r="W18" i="36" s="1"/>
  <c r="H18" i="35"/>
  <c r="AB18" i="35" s="1"/>
  <c r="S18" i="35"/>
  <c r="J18" i="35"/>
  <c r="AC18" i="35" s="1"/>
  <c r="H21" i="37"/>
  <c r="F21" i="37"/>
  <c r="S21" i="37" s="1"/>
  <c r="H21" i="34"/>
  <c r="H21" i="33"/>
  <c r="F21" i="33"/>
  <c r="AA21" i="33" s="1"/>
  <c r="E83" i="21"/>
  <c r="S21" i="21"/>
  <c r="H1" i="69"/>
  <c r="AC25" i="40"/>
  <c r="W25" i="40"/>
  <c r="AB25" i="40"/>
  <c r="U25" i="40"/>
  <c r="AB29" i="39"/>
  <c r="AC29" i="39"/>
  <c r="W29" i="39"/>
  <c r="AC18" i="36"/>
  <c r="AA21" i="37"/>
  <c r="AB21" i="34"/>
  <c r="U21" i="34"/>
  <c r="S21" i="33"/>
  <c r="U18" i="35"/>
  <c r="W18" i="35"/>
  <c r="J21" i="37"/>
  <c r="J21" i="34"/>
  <c r="J21" i="33"/>
  <c r="F83" i="21"/>
  <c r="G83" i="21" s="1"/>
  <c r="H21" i="21"/>
  <c r="U21" i="21" s="1"/>
  <c r="F38" i="69"/>
  <c r="E37" i="69"/>
  <c r="F36" i="69"/>
  <c r="F35" i="69"/>
  <c r="F21" i="69"/>
  <c r="C21" i="69" s="1"/>
  <c r="F20" i="69"/>
  <c r="E10" i="69"/>
  <c r="E9" i="69"/>
  <c r="C7" i="69"/>
  <c r="AC21" i="37"/>
  <c r="W21" i="37"/>
  <c r="AC21" i="33"/>
  <c r="W21" i="33"/>
  <c r="J21" i="21"/>
  <c r="AC21" i="21" s="1"/>
  <c r="F38" i="68"/>
  <c r="E37" i="68"/>
  <c r="F36" i="68"/>
  <c r="F35" i="68"/>
  <c r="F21" i="68"/>
  <c r="F20" i="68"/>
  <c r="E10" i="68"/>
  <c r="E9" i="68"/>
  <c r="W21" i="21"/>
  <c r="Q72" i="67"/>
  <c r="Q59" i="67"/>
  <c r="Q58" i="67"/>
  <c r="Q51" i="67"/>
  <c r="J50" i="67"/>
  <c r="M47" i="67"/>
  <c r="J53" i="67" s="1"/>
  <c r="Q52" i="67" s="1"/>
  <c r="D46" i="67"/>
  <c r="F33" i="67"/>
  <c r="F61" i="67" s="1"/>
  <c r="F23" i="67"/>
  <c r="D24" i="67" s="1"/>
  <c r="F21" i="67"/>
  <c r="F20" i="67"/>
  <c r="M19" i="67"/>
  <c r="F18" i="67"/>
  <c r="F17" i="67"/>
  <c r="F15" i="67"/>
  <c r="S2" i="4"/>
  <c r="C51" i="10" s="1"/>
  <c r="A13" i="51"/>
  <c r="B11" i="72" s="1"/>
  <c r="S1" i="4"/>
  <c r="B1" i="4"/>
  <c r="B37" i="48" s="1"/>
  <c r="B2" i="72" s="1"/>
  <c r="C31" i="66"/>
  <c r="C27" i="66"/>
  <c r="C32" i="66" s="1"/>
  <c r="I23" i="66"/>
  <c r="D20" i="66"/>
  <c r="I19" i="66"/>
  <c r="I18" i="66"/>
  <c r="I17" i="66"/>
  <c r="I20" i="66"/>
  <c r="E15" i="66"/>
  <c r="I14" i="66"/>
  <c r="I13" i="66"/>
  <c r="I12" i="66"/>
  <c r="I15" i="66" s="1"/>
  <c r="I9" i="66"/>
  <c r="I8" i="66"/>
  <c r="I7" i="66"/>
  <c r="I6" i="66"/>
  <c r="I5" i="66"/>
  <c r="I4" i="66"/>
  <c r="I3" i="66"/>
  <c r="D1" i="43"/>
  <c r="F113" i="43"/>
  <c r="N99" i="43"/>
  <c r="D99" i="43"/>
  <c r="D108" i="43"/>
  <c r="E99" i="43"/>
  <c r="E108" i="43" s="1"/>
  <c r="F99" i="43"/>
  <c r="F108" i="43" s="1"/>
  <c r="G99" i="43"/>
  <c r="G108" i="43" s="1"/>
  <c r="H99" i="43"/>
  <c r="H108" i="43"/>
  <c r="I99" i="43"/>
  <c r="J99" i="43"/>
  <c r="J108" i="43" s="1"/>
  <c r="K99" i="43"/>
  <c r="L99" i="43"/>
  <c r="L108" i="43"/>
  <c r="M99" i="43"/>
  <c r="M108" i="43" s="1"/>
  <c r="C99" i="43"/>
  <c r="C108" i="43" s="1"/>
  <c r="D100" i="43"/>
  <c r="L100" i="43"/>
  <c r="E100" i="43"/>
  <c r="M100" i="43"/>
  <c r="B48" i="43"/>
  <c r="B84" i="43"/>
  <c r="B83" i="43"/>
  <c r="B72" i="43"/>
  <c r="B61" i="43"/>
  <c r="B50" i="43"/>
  <c r="D82" i="43"/>
  <c r="D83" i="43"/>
  <c r="D84" i="43"/>
  <c r="D85" i="43"/>
  <c r="D67" i="43"/>
  <c r="D60" i="43"/>
  <c r="D61" i="43"/>
  <c r="D62" i="43"/>
  <c r="D63" i="43"/>
  <c r="D64" i="43"/>
  <c r="D65" i="43"/>
  <c r="D66" i="43"/>
  <c r="D59" i="43"/>
  <c r="M78" i="43"/>
  <c r="N78" i="43" s="1"/>
  <c r="K78" i="43"/>
  <c r="J78" i="43" s="1"/>
  <c r="D78" i="43"/>
  <c r="M77" i="43"/>
  <c r="N77" i="43"/>
  <c r="K77" i="43"/>
  <c r="J77" i="43" s="1"/>
  <c r="D77" i="43"/>
  <c r="M76" i="43"/>
  <c r="N76" i="43" s="1"/>
  <c r="K76" i="43"/>
  <c r="J76" i="43" s="1"/>
  <c r="D76" i="43"/>
  <c r="M75" i="43"/>
  <c r="N75" i="43" s="1"/>
  <c r="K75" i="43"/>
  <c r="J75" i="43" s="1"/>
  <c r="D75" i="43"/>
  <c r="M74" i="43"/>
  <c r="N74" i="43" s="1"/>
  <c r="K74" i="43"/>
  <c r="J74" i="43" s="1"/>
  <c r="D74" i="43"/>
  <c r="M73" i="43"/>
  <c r="N73" i="43"/>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G93" i="3" s="1"/>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S274" i="31" s="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S290" i="31" s="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S306" i="31" s="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s="1"/>
  <c r="C30" i="40"/>
  <c r="C28" i="40"/>
  <c r="C23" i="39"/>
  <c r="C19" i="40"/>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4" i="31"/>
  <c r="S302" i="31"/>
  <c r="S300" i="31"/>
  <c r="S298" i="31"/>
  <c r="S296" i="31"/>
  <c r="S294" i="31"/>
  <c r="S292" i="31"/>
  <c r="S288" i="31"/>
  <c r="S286" i="31"/>
  <c r="S284" i="31"/>
  <c r="S282" i="31"/>
  <c r="S280" i="31"/>
  <c r="S278" i="31"/>
  <c r="S276" i="31"/>
  <c r="S272" i="31"/>
  <c r="S270" i="31"/>
  <c r="S268" i="31"/>
  <c r="S266"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AB30" i="36" s="1"/>
  <c r="F30" i="36"/>
  <c r="AA30" i="36" s="1"/>
  <c r="C26" i="35"/>
  <c r="C79" i="35" s="1"/>
  <c r="J31" i="35"/>
  <c r="W31" i="35" s="1"/>
  <c r="H31" i="35"/>
  <c r="AB31" i="35" s="1"/>
  <c r="F31" i="35"/>
  <c r="S31" i="35" s="1"/>
  <c r="D87" i="35"/>
  <c r="E87" i="35" s="1"/>
  <c r="F87" i="35"/>
  <c r="G87" i="35" s="1"/>
  <c r="H87" i="35" s="1"/>
  <c r="I87" i="35" s="1"/>
  <c r="J87" i="35" s="1"/>
  <c r="K87" i="35" s="1"/>
  <c r="L87" i="35" s="1"/>
  <c r="M87" i="35" s="1"/>
  <c r="H34" i="37"/>
  <c r="D101" i="37"/>
  <c r="E101" i="37" s="1"/>
  <c r="F101" i="37" s="1"/>
  <c r="G101" i="37" s="1"/>
  <c r="F34" i="37"/>
  <c r="D99" i="37"/>
  <c r="E99" i="37"/>
  <c r="F99" i="37" s="1"/>
  <c r="G99" i="37" s="1"/>
  <c r="H99" i="37" s="1"/>
  <c r="I99" i="37" s="1"/>
  <c r="J99" i="37" s="1"/>
  <c r="K99" i="37" s="1"/>
  <c r="L99" i="37" s="1"/>
  <c r="M99" i="37" s="1"/>
  <c r="H42" i="34"/>
  <c r="J42" i="34"/>
  <c r="W42" i="34" s="1"/>
  <c r="F42" i="34"/>
  <c r="S42" i="34" s="1"/>
  <c r="J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AC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s="1"/>
  <c r="W31" i="40" s="1"/>
  <c r="AC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c r="H38" i="40"/>
  <c r="Q37" i="40"/>
  <c r="Z37" i="40" s="1"/>
  <c r="Q36" i="40"/>
  <c r="Z36" i="40" s="1"/>
  <c r="Q35" i="40"/>
  <c r="Z35" i="40" s="1"/>
  <c r="Q34" i="40"/>
  <c r="Z34" i="40"/>
  <c r="J34" i="40"/>
  <c r="AC34" i="40" s="1"/>
  <c r="H34" i="40"/>
  <c r="AB34" i="40" s="1"/>
  <c r="F34" i="40"/>
  <c r="AA34" i="40" s="1"/>
  <c r="Q33" i="40"/>
  <c r="Z33" i="40" s="1"/>
  <c r="Q32" i="40"/>
  <c r="Z32" i="40" s="1"/>
  <c r="Q31" i="40"/>
  <c r="Z31" i="40"/>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U9" i="40" s="1"/>
  <c r="F9" i="40"/>
  <c r="S9" i="40" s="1"/>
  <c r="J8" i="40"/>
  <c r="W8" i="40" s="1"/>
  <c r="H8" i="40"/>
  <c r="AB8" i="40" s="1"/>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c r="Q41" i="39"/>
  <c r="Z41" i="39" s="1"/>
  <c r="Q42" i="39"/>
  <c r="Z42" i="39" s="1"/>
  <c r="Q43" i="39"/>
  <c r="Z43" i="39" s="1"/>
  <c r="Q44" i="39"/>
  <c r="Z44" i="39"/>
  <c r="Q45" i="39"/>
  <c r="Z45" i="39" s="1"/>
  <c r="Q38" i="39"/>
  <c r="Z38" i="39" s="1"/>
  <c r="Q36" i="39"/>
  <c r="Z36" i="39" s="1"/>
  <c r="Q37" i="39"/>
  <c r="Z37" i="39" s="1"/>
  <c r="B131" i="39"/>
  <c r="H45" i="39" s="1"/>
  <c r="B129" i="39"/>
  <c r="H44" i="39" s="1"/>
  <c r="U44" i="39" s="1"/>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AC23" i="39" s="1"/>
  <c r="D95" i="39"/>
  <c r="E95" i="39" s="1"/>
  <c r="F95" i="39"/>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W40" i="39" s="1"/>
  <c r="F40" i="39"/>
  <c r="AA40" i="39" s="1"/>
  <c r="Q35" i="39"/>
  <c r="Z35" i="39" s="1"/>
  <c r="Q34" i="39"/>
  <c r="Z34" i="39" s="1"/>
  <c r="Q32" i="39"/>
  <c r="Z32" i="39"/>
  <c r="Q31" i="39"/>
  <c r="Z31" i="39" s="1"/>
  <c r="Q27" i="39"/>
  <c r="Z27" i="39" s="1"/>
  <c r="Q25" i="39"/>
  <c r="Z25" i="39" s="1"/>
  <c r="Q23" i="39"/>
  <c r="Z23" i="39" s="1"/>
  <c r="Q21" i="39"/>
  <c r="Z21" i="39" s="1"/>
  <c r="Q19" i="39"/>
  <c r="Z19" i="39" s="1"/>
  <c r="Q17" i="39"/>
  <c r="Z17" i="39" s="1"/>
  <c r="Q15" i="39"/>
  <c r="Z15" i="39"/>
  <c r="Q14" i="39"/>
  <c r="Z14" i="39" s="1"/>
  <c r="Q13" i="39"/>
  <c r="Z13" i="39" s="1"/>
  <c r="Q12" i="39"/>
  <c r="Z12" i="39" s="1"/>
  <c r="Q11" i="39"/>
  <c r="Z11" i="39" s="1"/>
  <c r="Q10" i="39"/>
  <c r="Z10" i="39" s="1"/>
  <c r="Q9" i="39"/>
  <c r="Z9" i="39" s="1"/>
  <c r="J9" i="39"/>
  <c r="AC9" i="39" s="1"/>
  <c r="H9" i="39"/>
  <c r="U9" i="39" s="1"/>
  <c r="AB9" i="39"/>
  <c r="F9" i="39"/>
  <c r="AA9" i="39" s="1"/>
  <c r="J8" i="39"/>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F26" i="37" s="1"/>
  <c r="AA26" i="37" s="1"/>
  <c r="D79" i="37"/>
  <c r="E79" i="37"/>
  <c r="D75" i="37"/>
  <c r="E75" i="37" s="1"/>
  <c r="D73" i="37"/>
  <c r="E73" i="37" s="1"/>
  <c r="F73" i="37" s="1"/>
  <c r="G73" i="37" s="1"/>
  <c r="D71" i="37"/>
  <c r="H15" i="37"/>
  <c r="AB15" i="37"/>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W31" i="37" s="1"/>
  <c r="Q30" i="37"/>
  <c r="Z30" i="37" s="1"/>
  <c r="J30" i="37"/>
  <c r="AC30" i="37"/>
  <c r="H30" i="37"/>
  <c r="AB30" i="37" s="1"/>
  <c r="F30" i="37"/>
  <c r="AA30" i="37" s="1"/>
  <c r="Q29" i="37"/>
  <c r="Z29" i="37" s="1"/>
  <c r="H29" i="37"/>
  <c r="AB29" i="37" s="1"/>
  <c r="Q28" i="37"/>
  <c r="Z28" i="37" s="1"/>
  <c r="Q27" i="37"/>
  <c r="Z27" i="37"/>
  <c r="Q26" i="37"/>
  <c r="Z26" i="37" s="1"/>
  <c r="J26" i="37"/>
  <c r="AC26" i="37" s="1"/>
  <c r="H26" i="37"/>
  <c r="AB26" i="37" s="1"/>
  <c r="Q25" i="37"/>
  <c r="Z25" i="37" s="1"/>
  <c r="J25" i="37"/>
  <c r="AC25" i="37" s="1"/>
  <c r="Q23" i="37"/>
  <c r="Z23" i="37"/>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AB8" i="37" s="1"/>
  <c r="F8" i="37"/>
  <c r="S8" i="37" s="1"/>
  <c r="J31" i="36"/>
  <c r="AC31" i="36" s="1"/>
  <c r="H31" i="36"/>
  <c r="F31" i="36"/>
  <c r="S31" i="36"/>
  <c r="M86" i="36"/>
  <c r="L86" i="36"/>
  <c r="K86" i="36"/>
  <c r="J86" i="36"/>
  <c r="I86" i="36"/>
  <c r="H86" i="36"/>
  <c r="G86" i="36"/>
  <c r="F86" i="36"/>
  <c r="E86" i="36"/>
  <c r="D86" i="36"/>
  <c r="C86" i="36"/>
  <c r="D85" i="36"/>
  <c r="E85" i="36" s="1"/>
  <c r="F85" i="36" s="1"/>
  <c r="G85" i="36" s="1"/>
  <c r="H85" i="36" s="1"/>
  <c r="I85" i="36" s="1"/>
  <c r="H29" i="36"/>
  <c r="AB29" i="36" s="1"/>
  <c r="D81" i="36"/>
  <c r="E81" i="36" s="1"/>
  <c r="F81" i="36" s="1"/>
  <c r="G81" i="36" s="1"/>
  <c r="H81" i="36" s="1"/>
  <c r="I81" i="36" s="1"/>
  <c r="J81" i="36" s="1"/>
  <c r="K81" i="36" s="1"/>
  <c r="L81" i="36" s="1"/>
  <c r="M81" i="36" s="1"/>
  <c r="F79" i="36"/>
  <c r="E79" i="36"/>
  <c r="D79" i="36"/>
  <c r="C79" i="36"/>
  <c r="B93" i="36"/>
  <c r="H33" i="36"/>
  <c r="B91" i="36"/>
  <c r="F32" i="36" s="1"/>
  <c r="S32" i="36" s="1"/>
  <c r="B95"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W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F23" i="36"/>
  <c r="AA23" i="36" s="1"/>
  <c r="Q22" i="36"/>
  <c r="Z22" i="36"/>
  <c r="J22" i="36"/>
  <c r="AC22" i="36" s="1"/>
  <c r="Q20" i="36"/>
  <c r="Z20" i="36" s="1"/>
  <c r="Q16" i="36"/>
  <c r="Z16" i="36" s="1"/>
  <c r="Q14" i="36"/>
  <c r="Z14" i="36" s="1"/>
  <c r="Q13" i="36"/>
  <c r="Z13" i="36" s="1"/>
  <c r="Q12" i="36"/>
  <c r="Z12" i="36"/>
  <c r="Q11" i="36"/>
  <c r="Z11" i="36"/>
  <c r="Q10" i="36"/>
  <c r="Z10" i="36" s="1"/>
  <c r="F10" i="36"/>
  <c r="Q9" i="36"/>
  <c r="Z9" i="36" s="1"/>
  <c r="J9" i="36"/>
  <c r="AC9" i="36" s="1"/>
  <c r="J8" i="36"/>
  <c r="AC8" i="36" s="1"/>
  <c r="H8" i="36"/>
  <c r="F8" i="36"/>
  <c r="AA8" i="36" s="1"/>
  <c r="D89" i="35"/>
  <c r="M90" i="35"/>
  <c r="L90" i="35"/>
  <c r="K90" i="35"/>
  <c r="J90" i="35"/>
  <c r="I90" i="35"/>
  <c r="H90" i="35"/>
  <c r="G90" i="35"/>
  <c r="F90" i="35"/>
  <c r="E90" i="35"/>
  <c r="D90" i="35"/>
  <c r="C90" i="35"/>
  <c r="F85" i="35"/>
  <c r="E85" i="35"/>
  <c r="D85" i="35"/>
  <c r="C85" i="35"/>
  <c r="J27" i="35"/>
  <c r="AC27" i="35" s="1"/>
  <c r="H27" i="35"/>
  <c r="U27" i="35" s="1"/>
  <c r="F27" i="35"/>
  <c r="S27" i="35" s="1"/>
  <c r="AA27" i="35"/>
  <c r="J22" i="35"/>
  <c r="AC22" i="35" s="1"/>
  <c r="B101" i="35"/>
  <c r="H36" i="35" s="1"/>
  <c r="AB36" i="35" s="1"/>
  <c r="B99" i="35"/>
  <c r="B97" i="35"/>
  <c r="B77" i="35"/>
  <c r="B75" i="35"/>
  <c r="J24" i="35" s="1"/>
  <c r="AC24" i="35"/>
  <c r="B73" i="35"/>
  <c r="B57" i="35"/>
  <c r="B61" i="35"/>
  <c r="B59" i="35"/>
  <c r="H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c r="D66" i="35"/>
  <c r="E66" i="35" s="1"/>
  <c r="F66" i="35" s="1"/>
  <c r="G66" i="35" s="1"/>
  <c r="D64" i="35"/>
  <c r="E64" i="35" s="1"/>
  <c r="F64" i="35" s="1"/>
  <c r="G64" i="35" s="1"/>
  <c r="J14" i="35"/>
  <c r="W14" i="35" s="1"/>
  <c r="F56" i="35"/>
  <c r="G56" i="35"/>
  <c r="H56" i="35" s="1"/>
  <c r="I56" i="35" s="1"/>
  <c r="C53" i="35"/>
  <c r="J9" i="35" s="1"/>
  <c r="AC9" i="35" s="1"/>
  <c r="P39" i="35"/>
  <c r="P38" i="35"/>
  <c r="V37" i="35"/>
  <c r="T37" i="35"/>
  <c r="R37" i="35"/>
  <c r="P37" i="35"/>
  <c r="Q36" i="35"/>
  <c r="Z36" i="35" s="1"/>
  <c r="J36" i="35"/>
  <c r="AC36" i="35" s="1"/>
  <c r="Q35" i="35"/>
  <c r="Z35" i="35"/>
  <c r="Q34" i="35"/>
  <c r="Z34" i="35" s="1"/>
  <c r="Q33" i="35"/>
  <c r="Z33" i="35" s="1"/>
  <c r="Q32" i="35"/>
  <c r="Z32" i="35"/>
  <c r="H32" i="35"/>
  <c r="F32" i="35"/>
  <c r="AA32" i="35" s="1"/>
  <c r="Q31" i="35"/>
  <c r="Z31" i="35" s="1"/>
  <c r="Q30" i="35"/>
  <c r="Z30" i="35" s="1"/>
  <c r="Q29" i="35"/>
  <c r="Z29" i="35" s="1"/>
  <c r="Q28" i="35"/>
  <c r="Z28" i="35" s="1"/>
  <c r="J28" i="35"/>
  <c r="AC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U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c r="F34" i="34"/>
  <c r="Q33" i="34"/>
  <c r="Z33" i="34" s="1"/>
  <c r="Q32" i="34"/>
  <c r="Z32" i="34" s="1"/>
  <c r="Q31" i="34"/>
  <c r="Z31" i="34"/>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J12" i="34"/>
  <c r="AC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F27" i="33" s="1"/>
  <c r="S27" i="33" s="1"/>
  <c r="D87" i="33"/>
  <c r="E87" i="33" s="1"/>
  <c r="D85" i="33"/>
  <c r="E85" i="33"/>
  <c r="D81" i="33"/>
  <c r="E81" i="33" s="1"/>
  <c r="F81" i="33" s="1"/>
  <c r="G81" i="33" s="1"/>
  <c r="D79" i="33"/>
  <c r="E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W40" i="33" s="1"/>
  <c r="H40" i="33"/>
  <c r="AB40" i="33" s="1"/>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Q11" i="33"/>
  <c r="Z11" i="33" s="1"/>
  <c r="Q10" i="33"/>
  <c r="Z10" i="33"/>
  <c r="Q9" i="33"/>
  <c r="Z9" i="33" s="1"/>
  <c r="H9" i="33"/>
  <c r="AB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25" i="39" s="1"/>
  <c r="C18" i="20"/>
  <c r="B71" i="43" s="1"/>
  <c r="C17" i="20"/>
  <c r="B59"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c r="E81" i="21"/>
  <c r="F81" i="21"/>
  <c r="G81" i="21" s="1"/>
  <c r="D77" i="21"/>
  <c r="E77" i="21"/>
  <c r="B130" i="21"/>
  <c r="B128" i="21"/>
  <c r="J45" i="21" s="1"/>
  <c r="W45" i="21" s="1"/>
  <c r="B126" i="21"/>
  <c r="H44" i="21" s="1"/>
  <c r="B98" i="21"/>
  <c r="H31" i="21" s="1"/>
  <c r="B96" i="21"/>
  <c r="B94" i="21"/>
  <c r="B92" i="21"/>
  <c r="F28" i="21" s="1"/>
  <c r="AA28" i="21" s="1"/>
  <c r="B90" i="21"/>
  <c r="J27" i="21" s="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U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F45" i="39"/>
  <c r="S45" i="39" s="1"/>
  <c r="J45" i="39"/>
  <c r="W45" i="39"/>
  <c r="F36" i="39"/>
  <c r="S36" i="39" s="1"/>
  <c r="H36" i="39"/>
  <c r="AB36" i="39" s="1"/>
  <c r="J36" i="39"/>
  <c r="AC36" i="39" s="1"/>
  <c r="U30" i="37"/>
  <c r="F39" i="37"/>
  <c r="S39" i="37" s="1"/>
  <c r="F29" i="36"/>
  <c r="AA29" i="36" s="1"/>
  <c r="W8" i="36"/>
  <c r="F16" i="36"/>
  <c r="AA16" i="36" s="1"/>
  <c r="W28" i="36"/>
  <c r="AA31" i="36"/>
  <c r="H22" i="35"/>
  <c r="AB22" i="35" s="1"/>
  <c r="W28" i="35"/>
  <c r="W22" i="35"/>
  <c r="F36" i="34"/>
  <c r="S36" i="34" s="1"/>
  <c r="J35" i="34"/>
  <c r="U34" i="34"/>
  <c r="H39" i="33"/>
  <c r="AB39" i="33" s="1"/>
  <c r="F26" i="33"/>
  <c r="AA26" i="33"/>
  <c r="U33" i="33"/>
  <c r="U35" i="33"/>
  <c r="S40" i="33"/>
  <c r="W33" i="33"/>
  <c r="W39" i="33"/>
  <c r="H39" i="37"/>
  <c r="AB39" i="37" s="1"/>
  <c r="F11" i="40"/>
  <c r="AA11" i="40" s="1"/>
  <c r="H11" i="40"/>
  <c r="AB11" i="40"/>
  <c r="AC40" i="40"/>
  <c r="AA9" i="40"/>
  <c r="AC9" i="40"/>
  <c r="S40" i="40"/>
  <c r="F42" i="39"/>
  <c r="AA42" i="39" s="1"/>
  <c r="F41" i="39"/>
  <c r="S41" i="39" s="1"/>
  <c r="H40" i="39"/>
  <c r="AB40" i="39"/>
  <c r="H39" i="39"/>
  <c r="U39" i="39" s="1"/>
  <c r="S38" i="39"/>
  <c r="S34" i="39"/>
  <c r="H34" i="39"/>
  <c r="U34" i="39" s="1"/>
  <c r="H31" i="39"/>
  <c r="AB31" i="39" s="1"/>
  <c r="E101" i="39"/>
  <c r="F101" i="39" s="1"/>
  <c r="G101" i="39" s="1"/>
  <c r="H19" i="39"/>
  <c r="AB19" i="39" s="1"/>
  <c r="F19" i="39"/>
  <c r="AA19" i="39" s="1"/>
  <c r="H17" i="39"/>
  <c r="AB17" i="39" s="1"/>
  <c r="F17" i="39"/>
  <c r="AA17" i="39"/>
  <c r="J23" i="40"/>
  <c r="AC23" i="40" s="1"/>
  <c r="F21" i="40"/>
  <c r="AA21" i="40" s="1"/>
  <c r="J21" i="40"/>
  <c r="W21" i="40" s="1"/>
  <c r="H42" i="39"/>
  <c r="AB42" i="39"/>
  <c r="J34" i="39"/>
  <c r="AC34" i="39" s="1"/>
  <c r="J31" i="39"/>
  <c r="H27" i="39"/>
  <c r="U27" i="39" s="1"/>
  <c r="J19" i="39"/>
  <c r="AC19" i="39"/>
  <c r="J17" i="39"/>
  <c r="J27" i="39"/>
  <c r="AC27" i="39" s="1"/>
  <c r="F27" i="39"/>
  <c r="F11" i="21"/>
  <c r="S11" i="21" s="1"/>
  <c r="U34" i="21"/>
  <c r="C27" i="39"/>
  <c r="H11" i="39"/>
  <c r="AB11" i="39" s="1"/>
  <c r="S40" i="39"/>
  <c r="H32" i="33"/>
  <c r="AB32" i="33" s="1"/>
  <c r="H11" i="21"/>
  <c r="U11" i="21" s="1"/>
  <c r="J11" i="21"/>
  <c r="W11" i="21"/>
  <c r="H37" i="40"/>
  <c r="U37" i="40" s="1"/>
  <c r="H36" i="40"/>
  <c r="AB36" i="40" s="1"/>
  <c r="F35" i="40"/>
  <c r="AA35" i="40" s="1"/>
  <c r="H23" i="40"/>
  <c r="U23" i="40" s="1"/>
  <c r="H17" i="40"/>
  <c r="U17" i="40" s="1"/>
  <c r="J15" i="40"/>
  <c r="W15" i="40" s="1"/>
  <c r="J11" i="40"/>
  <c r="W11" i="40" s="1"/>
  <c r="AB8" i="39"/>
  <c r="F37" i="39"/>
  <c r="AA37" i="39"/>
  <c r="U30" i="36"/>
  <c r="J30" i="35"/>
  <c r="W30" i="35" s="1"/>
  <c r="H30" i="35"/>
  <c r="AB30" i="35"/>
  <c r="F22" i="35"/>
  <c r="AA22" i="35" s="1"/>
  <c r="H10" i="35"/>
  <c r="U10" i="35" s="1"/>
  <c r="AC16" i="36"/>
  <c r="W30" i="36"/>
  <c r="H16" i="36"/>
  <c r="J85" i="36"/>
  <c r="K85" i="36"/>
  <c r="L85" i="36" s="1"/>
  <c r="M85" i="36" s="1"/>
  <c r="J29" i="36"/>
  <c r="AC29" i="36"/>
  <c r="F24" i="36"/>
  <c r="AA24" i="36"/>
  <c r="S8" i="36"/>
  <c r="F14" i="35"/>
  <c r="AA14" i="35" s="1"/>
  <c r="J32" i="35"/>
  <c r="AC32" i="35" s="1"/>
  <c r="J16" i="35"/>
  <c r="AC16" i="35" s="1"/>
  <c r="H16" i="35"/>
  <c r="U16" i="35"/>
  <c r="F16" i="35"/>
  <c r="S16" i="35" s="1"/>
  <c r="H14" i="35"/>
  <c r="AB14" i="35" s="1"/>
  <c r="J29" i="35"/>
  <c r="W29" i="35" s="1"/>
  <c r="H33" i="35"/>
  <c r="AB33" i="35"/>
  <c r="AC8" i="35"/>
  <c r="J20" i="35"/>
  <c r="W20" i="35" s="1"/>
  <c r="F35" i="37"/>
  <c r="S35" i="37"/>
  <c r="H101" i="37"/>
  <c r="I101" i="37"/>
  <c r="J101" i="37" s="1"/>
  <c r="K101" i="37" s="1"/>
  <c r="L101" i="37" s="1"/>
  <c r="M101" i="37" s="1"/>
  <c r="J34" i="37"/>
  <c r="W34" i="37"/>
  <c r="S10" i="37"/>
  <c r="AA39" i="37"/>
  <c r="J33" i="37"/>
  <c r="AC33" i="37"/>
  <c r="H40" i="34"/>
  <c r="U40" i="34"/>
  <c r="E114" i="34"/>
  <c r="F114" i="34" s="1"/>
  <c r="G114" i="34" s="1"/>
  <c r="H114" i="34" s="1"/>
  <c r="I114" i="34" s="1"/>
  <c r="H36" i="34"/>
  <c r="U36" i="34" s="1"/>
  <c r="F37" i="34"/>
  <c r="AA37" i="34"/>
  <c r="S35" i="34"/>
  <c r="F28" i="34"/>
  <c r="F27" i="34"/>
  <c r="AA27" i="34" s="1"/>
  <c r="F25" i="34"/>
  <c r="S25" i="34"/>
  <c r="H23" i="34"/>
  <c r="AB23" i="34" s="1"/>
  <c r="J23" i="34"/>
  <c r="F19" i="34"/>
  <c r="H17" i="34"/>
  <c r="U17" i="34" s="1"/>
  <c r="F15" i="34"/>
  <c r="J15" i="34"/>
  <c r="AC15" i="34" s="1"/>
  <c r="H15" i="34"/>
  <c r="AB15" i="34" s="1"/>
  <c r="W8" i="34"/>
  <c r="J28" i="34"/>
  <c r="W28" i="34"/>
  <c r="F41" i="33"/>
  <c r="AA41" i="33"/>
  <c r="S38" i="33"/>
  <c r="E113" i="33"/>
  <c r="F113" i="33" s="1"/>
  <c r="G113" i="33" s="1"/>
  <c r="H113" i="33" s="1"/>
  <c r="I113" i="33" s="1"/>
  <c r="J113" i="33" s="1"/>
  <c r="K113" i="33" s="1"/>
  <c r="L113" i="33" s="1"/>
  <c r="M113" i="33" s="1"/>
  <c r="F32" i="33"/>
  <c r="AA32" i="33"/>
  <c r="J19" i="33"/>
  <c r="AC19" i="33"/>
  <c r="J15" i="33"/>
  <c r="AC15" i="33" s="1"/>
  <c r="F11" i="33"/>
  <c r="AA11" i="33" s="1"/>
  <c r="S26" i="33"/>
  <c r="U40" i="33"/>
  <c r="U8" i="33"/>
  <c r="F37" i="40"/>
  <c r="AA37" i="40"/>
  <c r="F36" i="40"/>
  <c r="AA36" i="40" s="1"/>
  <c r="H28" i="40"/>
  <c r="U28" i="40" s="1"/>
  <c r="F23" i="40"/>
  <c r="AA23" i="40" s="1"/>
  <c r="F17" i="40"/>
  <c r="AA17" i="40"/>
  <c r="J17" i="40"/>
  <c r="W17" i="40" s="1"/>
  <c r="F15" i="40"/>
  <c r="S15" i="40" s="1"/>
  <c r="H15" i="40"/>
  <c r="AB15" i="40" s="1"/>
  <c r="U30" i="35"/>
  <c r="U33" i="35"/>
  <c r="F29" i="35"/>
  <c r="H29" i="35"/>
  <c r="AB29" i="35" s="1"/>
  <c r="H33" i="37"/>
  <c r="AB33" i="37" s="1"/>
  <c r="F33" i="37"/>
  <c r="AA33" i="37" s="1"/>
  <c r="W33" i="37"/>
  <c r="S34" i="37"/>
  <c r="AA34" i="37"/>
  <c r="J43" i="34"/>
  <c r="J40" i="34"/>
  <c r="J114" i="34"/>
  <c r="K114" i="34" s="1"/>
  <c r="L114" i="34" s="1"/>
  <c r="M114" i="34" s="1"/>
  <c r="H38" i="34"/>
  <c r="AB38" i="34" s="1"/>
  <c r="J36" i="34"/>
  <c r="W36" i="34"/>
  <c r="H37" i="34"/>
  <c r="U37" i="34" s="1"/>
  <c r="H25" i="34"/>
  <c r="AB25" i="34" s="1"/>
  <c r="J25" i="34"/>
  <c r="AC25" i="34" s="1"/>
  <c r="F23" i="34"/>
  <c r="AA23" i="34" s="1"/>
  <c r="J19" i="34"/>
  <c r="AC19" i="34" s="1"/>
  <c r="F17" i="34"/>
  <c r="AA17" i="34" s="1"/>
  <c r="J17" i="34"/>
  <c r="W17" i="34"/>
  <c r="AA15" i="34"/>
  <c r="S15" i="34"/>
  <c r="S41" i="33"/>
  <c r="H37" i="33"/>
  <c r="AB37" i="33" s="1"/>
  <c r="H15" i="33"/>
  <c r="AB15" i="33" s="1"/>
  <c r="H11" i="33"/>
  <c r="AB11" i="33" s="1"/>
  <c r="F28" i="40"/>
  <c r="AA28" i="40" s="1"/>
  <c r="AA42" i="34"/>
  <c r="AA38" i="34"/>
  <c r="J37" i="34"/>
  <c r="AC37" i="34" s="1"/>
  <c r="J11" i="33"/>
  <c r="W11" i="33"/>
  <c r="L123" i="21"/>
  <c r="M123" i="21" s="1"/>
  <c r="J42" i="21"/>
  <c r="AC42" i="21" s="1"/>
  <c r="H42" i="21"/>
  <c r="U42" i="21" s="1"/>
  <c r="J44" i="34"/>
  <c r="AC44" i="34" s="1"/>
  <c r="F44" i="34"/>
  <c r="AA44" i="34"/>
  <c r="J10" i="35"/>
  <c r="W10" i="35" s="1"/>
  <c r="J14" i="21"/>
  <c r="W14" i="21" s="1"/>
  <c r="F14" i="21"/>
  <c r="S14" i="21" s="1"/>
  <c r="H14" i="21"/>
  <c r="U14" i="21"/>
  <c r="H28" i="21"/>
  <c r="AB28" i="21" s="1"/>
  <c r="H30" i="21"/>
  <c r="F30" i="21"/>
  <c r="S30" i="21" s="1"/>
  <c r="J30" i="21"/>
  <c r="AC30" i="21"/>
  <c r="J44" i="21"/>
  <c r="AC44" i="21" s="1"/>
  <c r="U44" i="21"/>
  <c r="F44" i="21"/>
  <c r="AA44" i="21" s="1"/>
  <c r="J46" i="21"/>
  <c r="W46" i="21" s="1"/>
  <c r="E119" i="21"/>
  <c r="F119" i="21" s="1"/>
  <c r="G119" i="21" s="1"/>
  <c r="H119" i="21" s="1"/>
  <c r="I119" i="21" s="1"/>
  <c r="J119" i="21" s="1"/>
  <c r="K119" i="21" s="1"/>
  <c r="L119" i="21" s="1"/>
  <c r="M119" i="21" s="1"/>
  <c r="H26" i="33"/>
  <c r="U26" i="33" s="1"/>
  <c r="H28" i="33"/>
  <c r="U28" i="33" s="1"/>
  <c r="J28" i="33"/>
  <c r="W28" i="33"/>
  <c r="F33" i="35"/>
  <c r="S33" i="35"/>
  <c r="J33" i="35"/>
  <c r="AC33" i="35"/>
  <c r="F30" i="35"/>
  <c r="S30" i="35"/>
  <c r="E89" i="35"/>
  <c r="F89" i="35"/>
  <c r="G89" i="35" s="1"/>
  <c r="H89" i="35" s="1"/>
  <c r="I89" i="35" s="1"/>
  <c r="J89" i="35" s="1"/>
  <c r="K89" i="35" s="1"/>
  <c r="L89" i="35" s="1"/>
  <c r="M89" i="35" s="1"/>
  <c r="H10" i="36"/>
  <c r="AB10" i="36" s="1"/>
  <c r="J14" i="36"/>
  <c r="AC14" i="36" s="1"/>
  <c r="H14" i="36"/>
  <c r="F28" i="36"/>
  <c r="AA28" i="36"/>
  <c r="J13" i="21"/>
  <c r="AC13" i="21" s="1"/>
  <c r="H27" i="21"/>
  <c r="AB27" i="21" s="1"/>
  <c r="F27" i="21"/>
  <c r="AA27" i="21" s="1"/>
  <c r="J31" i="21"/>
  <c r="AC31" i="21" s="1"/>
  <c r="F31" i="21"/>
  <c r="S31" i="21" s="1"/>
  <c r="F45" i="21"/>
  <c r="AA45" i="21" s="1"/>
  <c r="J13" i="33"/>
  <c r="AC13" i="33" s="1"/>
  <c r="H13" i="33"/>
  <c r="F13" i="33"/>
  <c r="J29" i="33"/>
  <c r="AC29" i="33" s="1"/>
  <c r="H29" i="33"/>
  <c r="U29" i="33" s="1"/>
  <c r="F29" i="33"/>
  <c r="S29" i="33" s="1"/>
  <c r="J31" i="33"/>
  <c r="W31" i="33" s="1"/>
  <c r="H31" i="33"/>
  <c r="U31" i="33" s="1"/>
  <c r="F31" i="33"/>
  <c r="H45" i="33"/>
  <c r="J45" i="33"/>
  <c r="F45" i="33"/>
  <c r="J14" i="34"/>
  <c r="W14" i="34" s="1"/>
  <c r="F14" i="34"/>
  <c r="H14" i="34"/>
  <c r="H30" i="34"/>
  <c r="F30" i="34"/>
  <c r="S30" i="34" s="1"/>
  <c r="J30" i="34"/>
  <c r="W30" i="34" s="1"/>
  <c r="H32" i="34"/>
  <c r="F32" i="34"/>
  <c r="AA32" i="34" s="1"/>
  <c r="J32" i="34"/>
  <c r="W32" i="34" s="1"/>
  <c r="H46" i="34"/>
  <c r="F46" i="34"/>
  <c r="J46" i="34"/>
  <c r="H11" i="35"/>
  <c r="U11" i="35" s="1"/>
  <c r="J11" i="35"/>
  <c r="AC11" i="35" s="1"/>
  <c r="F11" i="35"/>
  <c r="J26" i="36"/>
  <c r="W26" i="36" s="1"/>
  <c r="H28" i="36"/>
  <c r="U28" i="36" s="1"/>
  <c r="H32" i="36"/>
  <c r="AB32" i="36" s="1"/>
  <c r="J32" i="36"/>
  <c r="J11" i="36"/>
  <c r="H11" i="36"/>
  <c r="F11" i="36"/>
  <c r="AA11" i="36" s="1"/>
  <c r="H13" i="36"/>
  <c r="J13" i="36"/>
  <c r="W13" i="36" s="1"/>
  <c r="F13" i="36"/>
  <c r="S13" i="36"/>
  <c r="E89" i="37"/>
  <c r="F89" i="37" s="1"/>
  <c r="G89" i="37" s="1"/>
  <c r="H89" i="37" s="1"/>
  <c r="I89" i="37" s="1"/>
  <c r="J89" i="37" s="1"/>
  <c r="K89" i="37" s="1"/>
  <c r="L89" i="37" s="1"/>
  <c r="M89" i="37" s="1"/>
  <c r="J29" i="37"/>
  <c r="W29" i="37" s="1"/>
  <c r="F29" i="37"/>
  <c r="S29" i="37" s="1"/>
  <c r="H36" i="37"/>
  <c r="AB36" i="37" s="1"/>
  <c r="F107" i="37"/>
  <c r="J37" i="37"/>
  <c r="AC37" i="37"/>
  <c r="H37" i="37"/>
  <c r="U37" i="37" s="1"/>
  <c r="H40" i="37"/>
  <c r="U40" i="37" s="1"/>
  <c r="J40" i="37"/>
  <c r="F40" i="37"/>
  <c r="AA40" i="37"/>
  <c r="H14" i="33"/>
  <c r="U14" i="33"/>
  <c r="F14" i="33"/>
  <c r="AA14" i="33" s="1"/>
  <c r="J14" i="33"/>
  <c r="AC14" i="33" s="1"/>
  <c r="H30" i="33"/>
  <c r="AB30" i="33"/>
  <c r="F30" i="33"/>
  <c r="J30" i="33"/>
  <c r="AC30" i="33" s="1"/>
  <c r="H44" i="33"/>
  <c r="J44" i="33"/>
  <c r="W44" i="33" s="1"/>
  <c r="F44" i="33"/>
  <c r="S44" i="33"/>
  <c r="J46" i="33"/>
  <c r="AC46" i="33" s="1"/>
  <c r="F46" i="33"/>
  <c r="AA46" i="33" s="1"/>
  <c r="H46" i="33"/>
  <c r="U46" i="33" s="1"/>
  <c r="H13" i="34"/>
  <c r="U13" i="34"/>
  <c r="J13" i="34"/>
  <c r="W13" i="34" s="1"/>
  <c r="F13" i="34"/>
  <c r="AA13" i="34" s="1"/>
  <c r="J29" i="34"/>
  <c r="W29" i="34" s="1"/>
  <c r="F29" i="34"/>
  <c r="S29" i="34" s="1"/>
  <c r="H29" i="34"/>
  <c r="AB29" i="34" s="1"/>
  <c r="J31" i="34"/>
  <c r="H31" i="34"/>
  <c r="AB31" i="34"/>
  <c r="F31" i="34"/>
  <c r="S31" i="34" s="1"/>
  <c r="H45" i="34"/>
  <c r="U45" i="34" s="1"/>
  <c r="J45" i="34"/>
  <c r="W45" i="34" s="1"/>
  <c r="F45" i="34"/>
  <c r="S45" i="34"/>
  <c r="H47" i="34"/>
  <c r="U47" i="34" s="1"/>
  <c r="F47" i="34"/>
  <c r="S47" i="34" s="1"/>
  <c r="J47" i="34"/>
  <c r="F13" i="35"/>
  <c r="S13" i="35"/>
  <c r="J13" i="35"/>
  <c r="AC13" i="35" s="1"/>
  <c r="H13" i="35"/>
  <c r="U13" i="35" s="1"/>
  <c r="J25" i="35"/>
  <c r="W25" i="35" s="1"/>
  <c r="F25" i="35"/>
  <c r="S25" i="35"/>
  <c r="H25" i="35"/>
  <c r="AB25" i="35" s="1"/>
  <c r="J35" i="35"/>
  <c r="AC35" i="35" s="1"/>
  <c r="F35" i="35"/>
  <c r="AA35" i="35" s="1"/>
  <c r="H35" i="35"/>
  <c r="AB35" i="35"/>
  <c r="J25" i="36"/>
  <c r="W25" i="36" s="1"/>
  <c r="F25" i="36"/>
  <c r="S25" i="36" s="1"/>
  <c r="H25" i="36"/>
  <c r="AB25" i="36" s="1"/>
  <c r="H13" i="37"/>
  <c r="U13" i="37" s="1"/>
  <c r="AB13" i="37"/>
  <c r="F13" i="37"/>
  <c r="S13" i="37" s="1"/>
  <c r="J13" i="37"/>
  <c r="W13" i="37" s="1"/>
  <c r="F28" i="37"/>
  <c r="AA28" i="37" s="1"/>
  <c r="J28" i="37"/>
  <c r="AC28" i="37"/>
  <c r="H28" i="37"/>
  <c r="U28" i="37" s="1"/>
  <c r="H38" i="37"/>
  <c r="AB38" i="37" s="1"/>
  <c r="J38" i="37"/>
  <c r="AC38" i="37" s="1"/>
  <c r="F38" i="37"/>
  <c r="S38" i="37"/>
  <c r="F43" i="39"/>
  <c r="AA43" i="39" s="1"/>
  <c r="H43" i="39"/>
  <c r="AB43" i="39" s="1"/>
  <c r="J14" i="39"/>
  <c r="AC14" i="39" s="1"/>
  <c r="F14" i="39"/>
  <c r="AA14" i="39" s="1"/>
  <c r="H14" i="39"/>
  <c r="AB14" i="39"/>
  <c r="F12" i="40"/>
  <c r="S12" i="40" s="1"/>
  <c r="H30" i="40"/>
  <c r="AB30" i="40" s="1"/>
  <c r="F33" i="40"/>
  <c r="AA33" i="40"/>
  <c r="H33" i="40"/>
  <c r="J35" i="40"/>
  <c r="AC35" i="40" s="1"/>
  <c r="J37" i="40"/>
  <c r="AC37" i="40" s="1"/>
  <c r="H13" i="40"/>
  <c r="U13" i="40"/>
  <c r="J13" i="40"/>
  <c r="W13" i="40" s="1"/>
  <c r="F13" i="40"/>
  <c r="AA13" i="40" s="1"/>
  <c r="F14" i="37"/>
  <c r="S14" i="37" s="1"/>
  <c r="F27" i="37"/>
  <c r="AA27" i="37"/>
  <c r="F13" i="39"/>
  <c r="J13" i="39"/>
  <c r="W13" i="39" s="1"/>
  <c r="H13" i="39"/>
  <c r="AB13" i="39" s="1"/>
  <c r="H14" i="40"/>
  <c r="AB14" i="40" s="1"/>
  <c r="J14" i="40"/>
  <c r="W14" i="40" s="1"/>
  <c r="F14" i="40"/>
  <c r="AA14" i="40" s="1"/>
  <c r="J27" i="37"/>
  <c r="AC27" i="37" s="1"/>
  <c r="AA44" i="33"/>
  <c r="AA13" i="35"/>
  <c r="U31" i="34"/>
  <c r="J36" i="37"/>
  <c r="AC36" i="37" s="1"/>
  <c r="AB11" i="35"/>
  <c r="J10" i="36"/>
  <c r="AC10" i="36" s="1"/>
  <c r="AB26" i="33"/>
  <c r="S11" i="36"/>
  <c r="AC30" i="34"/>
  <c r="W29" i="33"/>
  <c r="S44" i="34"/>
  <c r="BA586" i="3"/>
  <c r="BA585" i="3"/>
  <c r="F17" i="21"/>
  <c r="AA17" i="21" s="1"/>
  <c r="H17" i="21"/>
  <c r="AB17" i="21" s="1"/>
  <c r="F15" i="21"/>
  <c r="S15" i="21" s="1"/>
  <c r="J41" i="39"/>
  <c r="W41" i="39" s="1"/>
  <c r="AC45" i="39"/>
  <c r="W36" i="39"/>
  <c r="U36" i="39"/>
  <c r="G544" i="3"/>
  <c r="G540" i="3"/>
  <c r="G536" i="3"/>
  <c r="G535" i="3"/>
  <c r="G532" i="3"/>
  <c r="G531" i="3"/>
  <c r="G528" i="3"/>
  <c r="G527" i="3"/>
  <c r="G523" i="3"/>
  <c r="G518" i="3"/>
  <c r="G514" i="3"/>
  <c r="G510" i="3"/>
  <c r="G508" i="3"/>
  <c r="G504" i="3"/>
  <c r="G500" i="3"/>
  <c r="G496" i="3"/>
  <c r="G584" i="3"/>
  <c r="G580" i="3"/>
  <c r="G576" i="3"/>
  <c r="G568" i="3"/>
  <c r="G564" i="3"/>
  <c r="G554" i="3"/>
  <c r="G550" i="3"/>
  <c r="BL584" i="3"/>
  <c r="BL576" i="3"/>
  <c r="BL572" i="3"/>
  <c r="BL560" i="3"/>
  <c r="BL554" i="3"/>
  <c r="BL546" i="3"/>
  <c r="BL542" i="3"/>
  <c r="BL538" i="3"/>
  <c r="BL534" i="3"/>
  <c r="BL530" i="3"/>
  <c r="BL526" i="3"/>
  <c r="BL522" i="3"/>
  <c r="AZ522" i="3" s="1"/>
  <c r="BL516" i="3"/>
  <c r="BL512" i="3"/>
  <c r="BL506" i="3"/>
  <c r="BL502" i="3"/>
  <c r="BL498" i="3"/>
  <c r="BL494" i="3"/>
  <c r="BL582" i="3"/>
  <c r="BL578" i="3"/>
  <c r="BL574" i="3"/>
  <c r="BL570" i="3"/>
  <c r="BL562" i="3"/>
  <c r="BL556" i="3"/>
  <c r="BL552" i="3"/>
  <c r="BL544" i="3"/>
  <c r="BL540" i="3"/>
  <c r="BL536" i="3"/>
  <c r="G533" i="3"/>
  <c r="BL532" i="3"/>
  <c r="G529" i="3"/>
  <c r="BL528" i="3"/>
  <c r="G525" i="3"/>
  <c r="BL524" i="3"/>
  <c r="BL518" i="3"/>
  <c r="BL514" i="3"/>
  <c r="BL510" i="3"/>
  <c r="BL504" i="3"/>
  <c r="BL500" i="3"/>
  <c r="BL496" i="3"/>
  <c r="G493" i="3"/>
  <c r="BA584" i="3"/>
  <c r="BA582" i="3"/>
  <c r="AZ582" i="3"/>
  <c r="BA580" i="3"/>
  <c r="BA578" i="3"/>
  <c r="AZ578" i="3" s="1"/>
  <c r="BA576" i="3"/>
  <c r="BA574" i="3"/>
  <c r="AZ574" i="3" s="1"/>
  <c r="BA570" i="3"/>
  <c r="BA568" i="3"/>
  <c r="BA564" i="3"/>
  <c r="BA562" i="3"/>
  <c r="AZ562" i="3" s="1"/>
  <c r="BA560" i="3"/>
  <c r="BA556" i="3"/>
  <c r="AZ556" i="3" s="1"/>
  <c r="BA554" i="3"/>
  <c r="AZ554" i="3"/>
  <c r="BA552" i="3"/>
  <c r="AZ552" i="3" s="1"/>
  <c r="BA548" i="3"/>
  <c r="BA546" i="3"/>
  <c r="BA544" i="3"/>
  <c r="AZ544" i="3" s="1"/>
  <c r="BA542" i="3"/>
  <c r="AZ542" i="3"/>
  <c r="BA540" i="3"/>
  <c r="AZ540" i="3" s="1"/>
  <c r="BA538" i="3"/>
  <c r="BA536" i="3"/>
  <c r="BA534" i="3"/>
  <c r="AZ534" i="3" s="1"/>
  <c r="BA532" i="3"/>
  <c r="AZ532" i="3" s="1"/>
  <c r="BA530" i="3"/>
  <c r="BA528" i="3"/>
  <c r="AZ528" i="3" s="1"/>
  <c r="BA526" i="3"/>
  <c r="AZ526" i="3" s="1"/>
  <c r="BA524" i="3"/>
  <c r="AZ524" i="3" s="1"/>
  <c r="BA522" i="3"/>
  <c r="BA520" i="3"/>
  <c r="BA518" i="3"/>
  <c r="AZ518" i="3" s="1"/>
  <c r="BA516" i="3"/>
  <c r="BA514" i="3"/>
  <c r="BA512" i="3"/>
  <c r="AZ512" i="3" s="1"/>
  <c r="BA510" i="3"/>
  <c r="BA508" i="3"/>
  <c r="BA506" i="3"/>
  <c r="BA504" i="3"/>
  <c r="AZ504" i="3" s="1"/>
  <c r="BA502" i="3"/>
  <c r="AZ502" i="3" s="1"/>
  <c r="BA500" i="3"/>
  <c r="AZ500" i="3" s="1"/>
  <c r="BA498" i="3"/>
  <c r="BA496" i="3"/>
  <c r="BA494" i="3"/>
  <c r="AZ494" i="3" s="1"/>
  <c r="BA583" i="3"/>
  <c r="BA581" i="3"/>
  <c r="BA579" i="3"/>
  <c r="BA577" i="3"/>
  <c r="BA571" i="3"/>
  <c r="BA569" i="3"/>
  <c r="AZ569" i="3" s="1"/>
  <c r="BA567"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69" i="3"/>
  <c r="G567" i="3"/>
  <c r="G565" i="3"/>
  <c r="G561" i="3"/>
  <c r="BL558" i="3"/>
  <c r="BA557" i="3"/>
  <c r="AC557" i="3"/>
  <c r="G557" i="3" s="1"/>
  <c r="BQ557" i="3"/>
  <c r="BQ583" i="3"/>
  <c r="BL583" i="3" s="1"/>
  <c r="AZ583" i="3" s="1"/>
  <c r="BQ581" i="3"/>
  <c r="BQ579" i="3"/>
  <c r="BL579" i="3" s="1"/>
  <c r="BQ577" i="3"/>
  <c r="BQ575" i="3"/>
  <c r="BL575" i="3"/>
  <c r="BQ573" i="3"/>
  <c r="BQ571" i="3"/>
  <c r="BQ569" i="3"/>
  <c r="BL569" i="3" s="1"/>
  <c r="BQ567" i="3"/>
  <c r="BL567" i="3" s="1"/>
  <c r="AZ567" i="3" s="1"/>
  <c r="BQ565" i="3"/>
  <c r="BQ563" i="3"/>
  <c r="BL563" i="3" s="1"/>
  <c r="BQ561" i="3"/>
  <c r="BL561" i="3" s="1"/>
  <c r="AZ561" i="3"/>
  <c r="BQ559" i="3"/>
  <c r="G559" i="3"/>
  <c r="G555" i="3"/>
  <c r="G553" i="3"/>
  <c r="G547" i="3"/>
  <c r="G545" i="3"/>
  <c r="G543" i="3"/>
  <c r="G541" i="3"/>
  <c r="G539" i="3"/>
  <c r="G537" i="3"/>
  <c r="BQ555" i="3"/>
  <c r="BL555" i="3"/>
  <c r="AZ555" i="3" s="1"/>
  <c r="BQ553" i="3"/>
  <c r="BL553" i="3" s="1"/>
  <c r="BQ551" i="3"/>
  <c r="BL551" i="3" s="1"/>
  <c r="BQ549" i="3"/>
  <c r="BQ547" i="3"/>
  <c r="BL547" i="3" s="1"/>
  <c r="BQ545" i="3"/>
  <c r="BL545" i="3"/>
  <c r="AZ545" i="3" s="1"/>
  <c r="BQ543" i="3"/>
  <c r="BL543" i="3" s="1"/>
  <c r="AZ543" i="3"/>
  <c r="BQ541" i="3"/>
  <c r="BL541" i="3" s="1"/>
  <c r="BQ539" i="3"/>
  <c r="BL539" i="3" s="1"/>
  <c r="AZ539" i="3" s="1"/>
  <c r="BQ537" i="3"/>
  <c r="BL537" i="3" s="1"/>
  <c r="AZ537" i="3"/>
  <c r="BQ535" i="3"/>
  <c r="BL535" i="3" s="1"/>
  <c r="BQ533" i="3"/>
  <c r="BL533" i="3" s="1"/>
  <c r="BQ531" i="3"/>
  <c r="BL531" i="3" s="1"/>
  <c r="BQ529" i="3"/>
  <c r="BL529" i="3"/>
  <c r="AZ529" i="3" s="1"/>
  <c r="BQ527" i="3"/>
  <c r="BL527" i="3" s="1"/>
  <c r="AZ527" i="3"/>
  <c r="BQ525" i="3"/>
  <c r="BL525" i="3" s="1"/>
  <c r="BQ523" i="3"/>
  <c r="BL523" i="3" s="1"/>
  <c r="AZ523" i="3" s="1"/>
  <c r="BA521" i="3"/>
  <c r="AC521" i="3"/>
  <c r="G521" i="3" s="1"/>
  <c r="BQ521" i="3"/>
  <c r="BL521" i="3" s="1"/>
  <c r="AZ521" i="3" s="1"/>
  <c r="BL520" i="3"/>
  <c r="G519" i="3"/>
  <c r="G517" i="3"/>
  <c r="G515" i="3"/>
  <c r="G513" i="3"/>
  <c r="G511" i="3"/>
  <c r="BQ519" i="3"/>
  <c r="BL519" i="3" s="1"/>
  <c r="AZ519" i="3" s="1"/>
  <c r="BQ517" i="3"/>
  <c r="BL517" i="3" s="1"/>
  <c r="AZ517" i="3" s="1"/>
  <c r="BQ515" i="3"/>
  <c r="BL515" i="3" s="1"/>
  <c r="BQ513" i="3"/>
  <c r="BL513" i="3" s="1"/>
  <c r="BQ511" i="3"/>
  <c r="BL511" i="3" s="1"/>
  <c r="AZ511" i="3" s="1"/>
  <c r="BA509" i="3"/>
  <c r="AC509" i="3"/>
  <c r="G509" i="3" s="1"/>
  <c r="BQ509" i="3"/>
  <c r="BL509" i="3" s="1"/>
  <c r="AZ509" i="3" s="1"/>
  <c r="BL508" i="3"/>
  <c r="G507" i="3"/>
  <c r="G505" i="3"/>
  <c r="G503" i="3"/>
  <c r="G501" i="3"/>
  <c r="G499" i="3"/>
  <c r="G497" i="3"/>
  <c r="G495" i="3"/>
  <c r="BQ507" i="3"/>
  <c r="BL507" i="3" s="1"/>
  <c r="AZ507" i="3" s="1"/>
  <c r="BQ505" i="3"/>
  <c r="BL505" i="3"/>
  <c r="BQ503" i="3"/>
  <c r="BL503" i="3" s="1"/>
  <c r="AZ503" i="3"/>
  <c r="BQ501" i="3"/>
  <c r="BL501" i="3" s="1"/>
  <c r="AZ501" i="3" s="1"/>
  <c r="BQ499" i="3"/>
  <c r="BL499" i="3" s="1"/>
  <c r="AZ499" i="3" s="1"/>
  <c r="BQ497" i="3"/>
  <c r="BL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U35" i="35"/>
  <c r="AB28" i="37"/>
  <c r="U33" i="37"/>
  <c r="U39" i="37"/>
  <c r="W26" i="37"/>
  <c r="AC8" i="37"/>
  <c r="U26" i="37"/>
  <c r="AB13" i="34"/>
  <c r="W37" i="34"/>
  <c r="AB37" i="34"/>
  <c r="AC36" i="34"/>
  <c r="AC31" i="33"/>
  <c r="U11" i="33"/>
  <c r="U19" i="21"/>
  <c r="W44" i="21"/>
  <c r="U26" i="21"/>
  <c r="AB38" i="21"/>
  <c r="F43" i="33"/>
  <c r="AA43" i="33" s="1"/>
  <c r="W16" i="35"/>
  <c r="G107" i="37"/>
  <c r="H107" i="37" s="1"/>
  <c r="I107" i="37" s="1"/>
  <c r="J107" i="37" s="1"/>
  <c r="K107" i="37" s="1"/>
  <c r="L107" i="37" s="1"/>
  <c r="M107" i="37" s="1"/>
  <c r="H37" i="21"/>
  <c r="U37" i="21" s="1"/>
  <c r="S42" i="21"/>
  <c r="H19" i="34"/>
  <c r="AB19" i="34" s="1"/>
  <c r="F36" i="35"/>
  <c r="AA36" i="35" s="1"/>
  <c r="J9" i="37"/>
  <c r="W9" i="37"/>
  <c r="H9" i="37"/>
  <c r="AB9" i="37" s="1"/>
  <c r="F9" i="37"/>
  <c r="S9" i="37" s="1"/>
  <c r="J12" i="37"/>
  <c r="AC12" i="37" s="1"/>
  <c r="H12" i="37"/>
  <c r="AB12" i="37"/>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s="1"/>
  <c r="H31" i="37"/>
  <c r="U31" i="37" s="1"/>
  <c r="J15" i="37"/>
  <c r="W15" i="37" s="1"/>
  <c r="U12" i="37"/>
  <c r="AT6" i="3"/>
  <c r="H5" i="3"/>
  <c r="C12" i="43"/>
  <c r="H19" i="40"/>
  <c r="U19" i="40"/>
  <c r="F88" i="40"/>
  <c r="G88" i="40" s="1"/>
  <c r="F19" i="40"/>
  <c r="S19" i="40" s="1"/>
  <c r="W23" i="39"/>
  <c r="AC43" i="39"/>
  <c r="W43" i="39"/>
  <c r="U45" i="39"/>
  <c r="AB45" i="39"/>
  <c r="H37" i="39"/>
  <c r="U37" i="39" s="1"/>
  <c r="H25" i="39"/>
  <c r="U25" i="39" s="1"/>
  <c r="J25" i="39"/>
  <c r="F25" i="39"/>
  <c r="AA25" i="39" s="1"/>
  <c r="F15" i="39"/>
  <c r="S15" i="39" s="1"/>
  <c r="H15" i="39"/>
  <c r="U15" i="39"/>
  <c r="J15" i="39"/>
  <c r="W15" i="39" s="1"/>
  <c r="H41" i="39"/>
  <c r="U41" i="39" s="1"/>
  <c r="W27" i="39"/>
  <c r="AB34" i="39"/>
  <c r="U40" i="39"/>
  <c r="S42" i="39"/>
  <c r="W14" i="39"/>
  <c r="AA41" i="39"/>
  <c r="W9" i="39"/>
  <c r="J19" i="40"/>
  <c r="AC19" i="40" s="1"/>
  <c r="J50" i="40"/>
  <c r="H103" i="9"/>
  <c r="D8" i="53" s="1"/>
  <c r="B24" i="72" s="1"/>
  <c r="B16" i="53"/>
  <c r="B33" i="72" s="1"/>
  <c r="C7" i="37"/>
  <c r="C7" i="34"/>
  <c r="C59" i="34" s="1"/>
  <c r="D59" i="34" s="1"/>
  <c r="E59" i="34" s="1"/>
  <c r="F59" i="34" s="1"/>
  <c r="G59" i="34" s="1"/>
  <c r="H59" i="34" s="1"/>
  <c r="I59" i="34" s="1"/>
  <c r="J59" i="34" s="1"/>
  <c r="K59" i="34" s="1"/>
  <c r="C7" i="36"/>
  <c r="C46" i="36" s="1"/>
  <c r="D46" i="36" s="1"/>
  <c r="A118" i="9"/>
  <c r="A4" i="52"/>
  <c r="B41" i="72" s="1"/>
  <c r="J11" i="39"/>
  <c r="W11" i="39" s="1"/>
  <c r="F11" i="39"/>
  <c r="AA11" i="39" s="1"/>
  <c r="G4" i="4"/>
  <c r="I4" i="4"/>
  <c r="K5" i="4"/>
  <c r="B47" i="48"/>
  <c r="A2" i="9"/>
  <c r="F59" i="43"/>
  <c r="H61" i="43" s="1"/>
  <c r="AZ20"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AZ115" i="3"/>
  <c r="BL116" i="3"/>
  <c r="G117" i="3"/>
  <c r="BA119" i="3"/>
  <c r="BL120" i="3"/>
  <c r="G121" i="3"/>
  <c r="BA123" i="3"/>
  <c r="BL124" i="3"/>
  <c r="AZ124" i="3" s="1"/>
  <c r="G125" i="3"/>
  <c r="BA127" i="3"/>
  <c r="AZ127" i="3" s="1"/>
  <c r="BL128" i="3"/>
  <c r="G129" i="3"/>
  <c r="BA131" i="3"/>
  <c r="AZ131" i="3" s="1"/>
  <c r="BL132" i="3"/>
  <c r="G133" i="3"/>
  <c r="BA135" i="3"/>
  <c r="BL136" i="3"/>
  <c r="G137" i="3"/>
  <c r="BA139" i="3"/>
  <c r="AZ139" i="3" s="1"/>
  <c r="BL140" i="3"/>
  <c r="AZ140" i="3" s="1"/>
  <c r="G141" i="3"/>
  <c r="BA143" i="3"/>
  <c r="BL144" i="3"/>
  <c r="G145" i="3"/>
  <c r="BA147" i="3"/>
  <c r="BL148" i="3"/>
  <c r="G149" i="3"/>
  <c r="BA151" i="3"/>
  <c r="AZ151" i="3" s="1"/>
  <c r="BL152" i="3"/>
  <c r="AZ152" i="3" s="1"/>
  <c r="G153" i="3"/>
  <c r="BA155" i="3"/>
  <c r="AZ155" i="3" s="1"/>
  <c r="BL156" i="3"/>
  <c r="G157" i="3"/>
  <c r="BA159" i="3"/>
  <c r="AZ159" i="3" s="1"/>
  <c r="BL160" i="3"/>
  <c r="G161" i="3"/>
  <c r="BA163" i="3"/>
  <c r="AZ163" i="3" s="1"/>
  <c r="BL164" i="3"/>
  <c r="AZ164" i="3"/>
  <c r="G165" i="3"/>
  <c r="BA167" i="3"/>
  <c r="BL168" i="3"/>
  <c r="AZ168" i="3" s="1"/>
  <c r="G169" i="3"/>
  <c r="BA171" i="3"/>
  <c r="BL172" i="3"/>
  <c r="AZ172" i="3" s="1"/>
  <c r="G173" i="3"/>
  <c r="BA175" i="3"/>
  <c r="BL176" i="3"/>
  <c r="G177" i="3"/>
  <c r="BA179" i="3"/>
  <c r="BL180" i="3"/>
  <c r="G181" i="3"/>
  <c r="BA183" i="3"/>
  <c r="AZ183" i="3" s="1"/>
  <c r="BL184" i="3"/>
  <c r="AZ184" i="3" s="1"/>
  <c r="G185" i="3"/>
  <c r="BA187" i="3"/>
  <c r="AZ187" i="3" s="1"/>
  <c r="BL188" i="3"/>
  <c r="G189" i="3"/>
  <c r="BA191" i="3"/>
  <c r="AZ191" i="3" s="1"/>
  <c r="BL192" i="3"/>
  <c r="G193" i="3"/>
  <c r="BA195" i="3"/>
  <c r="AZ195" i="3" s="1"/>
  <c r="BL196" i="3"/>
  <c r="AZ196" i="3" s="1"/>
  <c r="G197" i="3"/>
  <c r="BA199" i="3"/>
  <c r="BL200" i="3"/>
  <c r="AZ200" i="3" s="1"/>
  <c r="G201" i="3"/>
  <c r="BA203" i="3"/>
  <c r="BL204" i="3"/>
  <c r="AZ43" i="3"/>
  <c r="AZ59" i="3"/>
  <c r="AZ128" i="3"/>
  <c r="G534" i="3"/>
  <c r="G530" i="3"/>
  <c r="G522" i="3"/>
  <c r="G516" i="3"/>
  <c r="G512" i="3"/>
  <c r="G506" i="3"/>
  <c r="G498" i="3"/>
  <c r="G494" i="3"/>
  <c r="G16" i="3"/>
  <c r="G15" i="3"/>
  <c r="BA304" i="3"/>
  <c r="AZ304" i="3"/>
  <c r="BA305" i="3"/>
  <c r="AZ305" i="3"/>
  <c r="BL305" i="3"/>
  <c r="G306" i="3"/>
  <c r="G309" i="3"/>
  <c r="BL310" i="3"/>
  <c r="BA312" i="3"/>
  <c r="BA313" i="3"/>
  <c r="BL313" i="3"/>
  <c r="G314" i="3"/>
  <c r="G317" i="3"/>
  <c r="BL318" i="3"/>
  <c r="BA320" i="3"/>
  <c r="BA321" i="3"/>
  <c r="AZ321" i="3" s="1"/>
  <c r="BL321" i="3"/>
  <c r="G322" i="3"/>
  <c r="G325" i="3"/>
  <c r="BL326" i="3"/>
  <c r="BA328" i="3"/>
  <c r="AZ328" i="3"/>
  <c r="BA329" i="3"/>
  <c r="BL329" i="3"/>
  <c r="G330" i="3"/>
  <c r="G333" i="3"/>
  <c r="BL334" i="3"/>
  <c r="BA336" i="3"/>
  <c r="AZ336" i="3" s="1"/>
  <c r="BA337" i="3"/>
  <c r="AZ337" i="3" s="1"/>
  <c r="BL337" i="3"/>
  <c r="G338" i="3"/>
  <c r="G341" i="3"/>
  <c r="BA342" i="3"/>
  <c r="BL342" i="3"/>
  <c r="BA344" i="3"/>
  <c r="BL344" i="3"/>
  <c r="BA346" i="3"/>
  <c r="BA347" i="3"/>
  <c r="BL347" i="3"/>
  <c r="G350" i="3"/>
  <c r="BA351" i="3"/>
  <c r="AZ351" i="3" s="1"/>
  <c r="BL351" i="3"/>
  <c r="G352" i="3"/>
  <c r="G354" i="3"/>
  <c r="BA355" i="3"/>
  <c r="AZ355" i="3" s="1"/>
  <c r="BA356" i="3"/>
  <c r="AZ356" i="3" s="1"/>
  <c r="BL356" i="3"/>
  <c r="G357" i="3"/>
  <c r="G360" i="3"/>
  <c r="BL361" i="3"/>
  <c r="BA363" i="3"/>
  <c r="AZ363" i="3" s="1"/>
  <c r="BA364" i="3"/>
  <c r="AZ364" i="3" s="1"/>
  <c r="BL364" i="3"/>
  <c r="G365" i="3"/>
  <c r="G368" i="3"/>
  <c r="BL369" i="3"/>
  <c r="BA371" i="3"/>
  <c r="AZ371" i="3"/>
  <c r="BA372" i="3"/>
  <c r="AZ372" i="3"/>
  <c r="BL372" i="3"/>
  <c r="G373" i="3"/>
  <c r="G376" i="3"/>
  <c r="BL377" i="3"/>
  <c r="BL379" i="3"/>
  <c r="BA381" i="3"/>
  <c r="BA382" i="3"/>
  <c r="BL382" i="3"/>
  <c r="G383" i="3"/>
  <c r="G386" i="3"/>
  <c r="BL387" i="3"/>
  <c r="BA389" i="3"/>
  <c r="AZ389" i="3" s="1"/>
  <c r="BA390" i="3"/>
  <c r="BL390" i="3"/>
  <c r="AZ390" i="3" s="1"/>
  <c r="G391" i="3"/>
  <c r="G394" i="3"/>
  <c r="AZ150" i="3"/>
  <c r="AZ158" i="3"/>
  <c r="AZ182" i="3"/>
  <c r="AZ190" i="3"/>
  <c r="BA16" i="3"/>
  <c r="BL303" i="3"/>
  <c r="G304" i="3"/>
  <c r="BA306" i="3"/>
  <c r="BL307" i="3"/>
  <c r="G308" i="3"/>
  <c r="BA310" i="3"/>
  <c r="AZ310" i="3"/>
  <c r="BL311" i="3"/>
  <c r="AZ311" i="3"/>
  <c r="G312" i="3"/>
  <c r="BA314" i="3"/>
  <c r="AZ314" i="3" s="1"/>
  <c r="BL315" i="3"/>
  <c r="G316" i="3"/>
  <c r="BA318" i="3"/>
  <c r="BL319" i="3"/>
  <c r="AZ319" i="3" s="1"/>
  <c r="G320" i="3"/>
  <c r="BA322" i="3"/>
  <c r="AZ322" i="3" s="1"/>
  <c r="BL323" i="3"/>
  <c r="G324" i="3"/>
  <c r="BA326" i="3"/>
  <c r="BL327" i="3"/>
  <c r="G328" i="3"/>
  <c r="BA330" i="3"/>
  <c r="BL331" i="3"/>
  <c r="G332" i="3"/>
  <c r="BA334" i="3"/>
  <c r="AZ334" i="3" s="1"/>
  <c r="BL335" i="3"/>
  <c r="AZ335" i="3" s="1"/>
  <c r="G336" i="3"/>
  <c r="BA338" i="3"/>
  <c r="AZ338" i="3" s="1"/>
  <c r="BL339" i="3"/>
  <c r="G340" i="3"/>
  <c r="BL343" i="3"/>
  <c r="G344" i="3"/>
  <c r="G348" i="3"/>
  <c r="G355" i="3"/>
  <c r="AZ209" i="3"/>
  <c r="AZ303" i="3"/>
  <c r="G342" i="3"/>
  <c r="BL345" i="3"/>
  <c r="AZ345" i="3" s="1"/>
  <c r="G346" i="3"/>
  <c r="BL349" i="3"/>
  <c r="BL352" i="3"/>
  <c r="G353" i="3"/>
  <c r="BA357" i="3"/>
  <c r="AZ357" i="3" s="1"/>
  <c r="BL358" i="3"/>
  <c r="G359" i="3"/>
  <c r="BA361" i="3"/>
  <c r="BL362" i="3"/>
  <c r="G363" i="3"/>
  <c r="BA365" i="3"/>
  <c r="BL366" i="3"/>
  <c r="G367" i="3"/>
  <c r="BA369" i="3"/>
  <c r="BL370" i="3"/>
  <c r="AZ370" i="3" s="1"/>
  <c r="G371" i="3"/>
  <c r="BA373" i="3"/>
  <c r="BL374" i="3"/>
  <c r="G375" i="3"/>
  <c r="BA377" i="3"/>
  <c r="AZ377" i="3" s="1"/>
  <c r="BA379" i="3"/>
  <c r="AZ379" i="3" s="1"/>
  <c r="BL380" i="3"/>
  <c r="AZ380" i="3" s="1"/>
  <c r="G381" i="3"/>
  <c r="BA383" i="3"/>
  <c r="BL384" i="3"/>
  <c r="AZ384" i="3" s="1"/>
  <c r="G385" i="3"/>
  <c r="BA387" i="3"/>
  <c r="BL388" i="3"/>
  <c r="G389" i="3"/>
  <c r="BA391" i="3"/>
  <c r="BL392" i="3"/>
  <c r="G393" i="3"/>
  <c r="BJ5" i="3"/>
  <c r="BH5" i="3"/>
  <c r="AZ325" i="3"/>
  <c r="AZ506" i="3"/>
  <c r="G548" i="3"/>
  <c r="G538" i="3"/>
  <c r="G520" i="3"/>
  <c r="G502" i="3"/>
  <c r="BP5" i="3"/>
  <c r="G17" i="3"/>
  <c r="BA17" i="3"/>
  <c r="BT5" i="3"/>
  <c r="AZ350" i="3"/>
  <c r="AZ352" i="3"/>
  <c r="AZ360" i="3"/>
  <c r="BA15" i="3"/>
  <c r="BB5" i="3"/>
  <c r="AZ392" i="3"/>
  <c r="E8" i="6"/>
  <c r="F27" i="6" s="1"/>
  <c r="BL493" i="3"/>
  <c r="AZ493" i="3" s="1"/>
  <c r="AZ382" i="3"/>
  <c r="F36" i="43"/>
  <c r="H113" i="43"/>
  <c r="F48" i="43"/>
  <c r="H54" i="43" s="1"/>
  <c r="N7" i="43"/>
  <c r="F70" i="43"/>
  <c r="H73" i="43" s="1"/>
  <c r="M6" i="43"/>
  <c r="M11" i="43"/>
  <c r="D17" i="43"/>
  <c r="F39" i="43"/>
  <c r="I17" i="43"/>
  <c r="F35" i="43"/>
  <c r="J17" i="43"/>
  <c r="F6" i="1"/>
  <c r="I20" i="43" s="1"/>
  <c r="U17" i="39"/>
  <c r="S14" i="35"/>
  <c r="U43" i="21"/>
  <c r="U10" i="21"/>
  <c r="G10" i="1"/>
  <c r="W37" i="37"/>
  <c r="S15" i="37"/>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c r="H111" i="40" s="1"/>
  <c r="I111" i="40" s="1"/>
  <c r="J111" i="40" s="1"/>
  <c r="K111" i="40" s="1"/>
  <c r="L111" i="40" s="1"/>
  <c r="M111" i="40" s="1"/>
  <c r="H35" i="40"/>
  <c r="U35" i="40" s="1"/>
  <c r="AB35" i="40"/>
  <c r="H35" i="37"/>
  <c r="U35" i="37" s="1"/>
  <c r="AC14" i="35"/>
  <c r="H20" i="35"/>
  <c r="U20" i="35"/>
  <c r="F20" i="35"/>
  <c r="AA20" i="35"/>
  <c r="H32" i="37"/>
  <c r="AB32" i="37" s="1"/>
  <c r="F96" i="37"/>
  <c r="G96" i="37" s="1"/>
  <c r="H96" i="37" s="1"/>
  <c r="I96" i="37" s="1"/>
  <c r="J96" i="37" s="1"/>
  <c r="K96" i="37" s="1"/>
  <c r="L96" i="37" s="1"/>
  <c r="M96" i="37" s="1"/>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c r="E97" i="39"/>
  <c r="F97" i="39" s="1"/>
  <c r="G97" i="39"/>
  <c r="C40" i="11"/>
  <c r="AZ130" i="3"/>
  <c r="AZ31" i="3"/>
  <c r="AZ77" i="3"/>
  <c r="H75" i="43"/>
  <c r="H48" i="43"/>
  <c r="F23" i="39"/>
  <c r="AA23" i="39" s="1"/>
  <c r="H27" i="36"/>
  <c r="AB27" i="36" s="1"/>
  <c r="F27" i="36"/>
  <c r="AA27" i="36"/>
  <c r="H33" i="34"/>
  <c r="AB33" i="34" s="1"/>
  <c r="F32" i="37"/>
  <c r="AA32" i="37" s="1"/>
  <c r="F20" i="36"/>
  <c r="AA20" i="36" s="1"/>
  <c r="J33" i="34"/>
  <c r="AC33" i="34" s="1"/>
  <c r="H23" i="39"/>
  <c r="AB23" i="39" s="1"/>
  <c r="K9" i="1"/>
  <c r="M9" i="1" s="1"/>
  <c r="AE9" i="1"/>
  <c r="K6" i="1"/>
  <c r="AC26" i="33"/>
  <c r="W26" i="33"/>
  <c r="W27" i="34"/>
  <c r="AC27" i="34"/>
  <c r="AB33" i="36"/>
  <c r="U33" i="36"/>
  <c r="AC12" i="39"/>
  <c r="W12" i="39"/>
  <c r="W39" i="40"/>
  <c r="AZ401" i="3"/>
  <c r="AZ433" i="3"/>
  <c r="AA32" i="36"/>
  <c r="AA39" i="34"/>
  <c r="BL14" i="3"/>
  <c r="U30" i="33"/>
  <c r="AC13" i="34"/>
  <c r="AA47" i="34"/>
  <c r="W28" i="37"/>
  <c r="S19" i="39"/>
  <c r="F12" i="33"/>
  <c r="S12" i="33" s="1"/>
  <c r="H12" i="39"/>
  <c r="AB12" i="39" s="1"/>
  <c r="F39" i="40"/>
  <c r="BA14" i="3"/>
  <c r="AZ254" i="3"/>
  <c r="AZ281" i="3"/>
  <c r="AZ26" i="3"/>
  <c r="AZ35" i="3"/>
  <c r="S12" i="1"/>
  <c r="AR12" i="1" s="1"/>
  <c r="R12" i="1"/>
  <c r="B12" i="1"/>
  <c r="E12" i="1" s="1"/>
  <c r="S10" i="1"/>
  <c r="AQ10" i="1" s="1"/>
  <c r="R10" i="1"/>
  <c r="B10" i="1"/>
  <c r="E10" i="1" s="1"/>
  <c r="AZ107" i="3"/>
  <c r="K12" i="1"/>
  <c r="M12" i="1" s="1"/>
  <c r="O12" i="1" s="1"/>
  <c r="P12" i="1" s="1"/>
  <c r="S13" i="1"/>
  <c r="AR13" i="1" s="1"/>
  <c r="R13" i="1"/>
  <c r="S11" i="1"/>
  <c r="AQ11" i="1" s="1"/>
  <c r="R11" i="1"/>
  <c r="S9" i="1"/>
  <c r="AR9" i="1" s="1"/>
  <c r="R9" i="1"/>
  <c r="J51" i="67"/>
  <c r="C42" i="1"/>
  <c r="C77" i="9" s="1"/>
  <c r="C74" i="9" s="1"/>
  <c r="H100" i="43"/>
  <c r="C30" i="66"/>
  <c r="E26" i="66" s="1"/>
  <c r="AC34" i="33"/>
  <c r="AA34" i="33"/>
  <c r="B41" i="1"/>
  <c r="J100" i="43"/>
  <c r="AB37" i="40"/>
  <c r="S35" i="40"/>
  <c r="AA32" i="40"/>
  <c r="S17" i="40"/>
  <c r="AC17" i="40"/>
  <c r="AC15" i="40"/>
  <c r="S30" i="40"/>
  <c r="S28" i="40"/>
  <c r="U21" i="40"/>
  <c r="AB19" i="40"/>
  <c r="W39" i="39"/>
  <c r="S43" i="39"/>
  <c r="S37" i="39"/>
  <c r="F32" i="39"/>
  <c r="F107" i="39"/>
  <c r="G107" i="39" s="1"/>
  <c r="H107" i="39" s="1"/>
  <c r="I107" i="39" s="1"/>
  <c r="J107" i="39" s="1"/>
  <c r="K107" i="39" s="1"/>
  <c r="L107" i="39" s="1"/>
  <c r="M107" i="39" s="1"/>
  <c r="U31" i="39"/>
  <c r="S25" i="39"/>
  <c r="J21" i="39"/>
  <c r="F21" i="39"/>
  <c r="AA21" i="39" s="1"/>
  <c r="H21" i="39"/>
  <c r="AB21" i="39" s="1"/>
  <c r="W19" i="39"/>
  <c r="U19" i="39"/>
  <c r="S17" i="39"/>
  <c r="AC15" i="39"/>
  <c r="AB15" i="39"/>
  <c r="AA12" i="39"/>
  <c r="S9" i="39"/>
  <c r="U14" i="39"/>
  <c r="AC13" i="39"/>
  <c r="S23" i="36"/>
  <c r="U26" i="36"/>
  <c r="S27" i="36"/>
  <c r="AA26" i="36"/>
  <c r="S29" i="36"/>
  <c r="AC26" i="36"/>
  <c r="AA22" i="36"/>
  <c r="W14" i="36"/>
  <c r="U22" i="36"/>
  <c r="S16" i="36"/>
  <c r="AA25" i="36"/>
  <c r="S24" i="36"/>
  <c r="U24" i="36"/>
  <c r="AB20" i="36"/>
  <c r="W10" i="36"/>
  <c r="AA25" i="35"/>
  <c r="W24" i="35"/>
  <c r="AB13" i="35"/>
  <c r="U29" i="35"/>
  <c r="U28" i="35"/>
  <c r="AB27" i="35"/>
  <c r="U36" i="35"/>
  <c r="AA33" i="35"/>
  <c r="AC30" i="35"/>
  <c r="S32" i="35"/>
  <c r="W32" i="35"/>
  <c r="S28" i="35"/>
  <c r="AB16" i="35"/>
  <c r="U22" i="35"/>
  <c r="S20" i="35"/>
  <c r="AC20" i="35"/>
  <c r="S22" i="35"/>
  <c r="U14" i="35"/>
  <c r="AA10" i="35"/>
  <c r="AB10" i="35"/>
  <c r="S8" i="35"/>
  <c r="W9" i="35"/>
  <c r="AC12" i="35"/>
  <c r="W13" i="35"/>
  <c r="F9" i="35"/>
  <c r="H9" i="35"/>
  <c r="U9" i="35" s="1"/>
  <c r="F26" i="35"/>
  <c r="AA26" i="35"/>
  <c r="J26" i="35"/>
  <c r="H26" i="35"/>
  <c r="U26" i="35" s="1"/>
  <c r="AB40" i="37"/>
  <c r="S25" i="37"/>
  <c r="S26" i="37"/>
  <c r="AC9" i="37"/>
  <c r="S32" i="37"/>
  <c r="AB31" i="37"/>
  <c r="W30" i="37"/>
  <c r="AA38" i="37"/>
  <c r="U32" i="37"/>
  <c r="AC35" i="37"/>
  <c r="W39" i="37"/>
  <c r="S30" i="37"/>
  <c r="S37" i="37"/>
  <c r="J17" i="37"/>
  <c r="W17" i="37" s="1"/>
  <c r="F17" i="37"/>
  <c r="AA17" i="37" s="1"/>
  <c r="AB17" i="37"/>
  <c r="F75" i="37"/>
  <c r="G75" i="37" s="1"/>
  <c r="F19" i="37"/>
  <c r="AA19" i="37" s="1"/>
  <c r="F79" i="37"/>
  <c r="G79" i="37" s="1"/>
  <c r="F23" i="37"/>
  <c r="S23" i="37" s="1"/>
  <c r="U15" i="37"/>
  <c r="U9" i="37"/>
  <c r="AA13" i="37"/>
  <c r="AA12" i="37"/>
  <c r="AA9" i="37"/>
  <c r="H10" i="37"/>
  <c r="AB10" i="37" s="1"/>
  <c r="H60" i="37"/>
  <c r="F63" i="37"/>
  <c r="G63" i="37" s="1"/>
  <c r="H63" i="37" s="1"/>
  <c r="I63" i="37" s="1"/>
  <c r="J63" i="37" s="1"/>
  <c r="K63" i="37" s="1"/>
  <c r="L63" i="37" s="1"/>
  <c r="M63" i="37" s="1"/>
  <c r="F11" i="37"/>
  <c r="AA11" i="37" s="1"/>
  <c r="S11" i="37"/>
  <c r="W25" i="34"/>
  <c r="AA33" i="34"/>
  <c r="U44" i="34"/>
  <c r="U43" i="34"/>
  <c r="AC39" i="34"/>
  <c r="W41" i="34"/>
  <c r="AC42" i="34"/>
  <c r="AB35" i="34"/>
  <c r="U39" i="34"/>
  <c r="S43" i="34"/>
  <c r="AA45" i="34"/>
  <c r="W34" i="34"/>
  <c r="AA25" i="34"/>
  <c r="U28" i="34"/>
  <c r="AA29" i="34"/>
  <c r="U27" i="34"/>
  <c r="U15" i="34"/>
  <c r="S10" i="34"/>
  <c r="S13" i="34"/>
  <c r="H67" i="34"/>
  <c r="H10" i="34"/>
  <c r="U10" i="34" s="1"/>
  <c r="F11" i="34"/>
  <c r="S11" i="34"/>
  <c r="W42" i="33"/>
  <c r="AA35" i="33"/>
  <c r="S32" i="33"/>
  <c r="AA29" i="33"/>
  <c r="AB29" i="33"/>
  <c r="W38" i="33"/>
  <c r="H41" i="33"/>
  <c r="F121" i="33"/>
  <c r="G121" i="33" s="1"/>
  <c r="H121" i="33" s="1"/>
  <c r="I121" i="33" s="1"/>
  <c r="J121" i="33" s="1"/>
  <c r="K121" i="33" s="1"/>
  <c r="L121" i="33" s="1"/>
  <c r="M121" i="33" s="1"/>
  <c r="S42" i="33"/>
  <c r="F36" i="33"/>
  <c r="S36" i="33" s="1"/>
  <c r="J35" i="33"/>
  <c r="W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S25" i="33" s="1"/>
  <c r="J23" i="33"/>
  <c r="AC23" i="33" s="1"/>
  <c r="F85" i="33"/>
  <c r="H23" i="33"/>
  <c r="AB23" i="33" s="1"/>
  <c r="F19" i="33"/>
  <c r="S19" i="33" s="1"/>
  <c r="W19" i="33"/>
  <c r="J17" i="33"/>
  <c r="AC17" i="33" s="1"/>
  <c r="F79" i="33"/>
  <c r="G79" i="33" s="1"/>
  <c r="S15" i="33"/>
  <c r="W15" i="33"/>
  <c r="U9" i="33"/>
  <c r="I66" i="33"/>
  <c r="J10" i="33"/>
  <c r="AC10" i="33" s="1"/>
  <c r="H10" i="33"/>
  <c r="U10" i="33" s="1"/>
  <c r="AA10" i="33"/>
  <c r="AC11" i="33"/>
  <c r="AB14" i="33"/>
  <c r="W43" i="21"/>
  <c r="W36" i="21"/>
  <c r="W41" i="21"/>
  <c r="AB39" i="21"/>
  <c r="AA43" i="21"/>
  <c r="S39" i="21"/>
  <c r="AA38" i="21"/>
  <c r="AA36" i="21"/>
  <c r="AC40" i="21"/>
  <c r="J15" i="21"/>
  <c r="W15" i="21" s="1"/>
  <c r="F77" i="21"/>
  <c r="G77" i="21" s="1"/>
  <c r="F23" i="21"/>
  <c r="S23" i="21" s="1"/>
  <c r="AC11" i="21"/>
  <c r="AB8" i="21"/>
  <c r="S8" i="21"/>
  <c r="M3" i="43"/>
  <c r="N10" i="43"/>
  <c r="M1" i="43"/>
  <c r="M8" i="43"/>
  <c r="N8" i="43"/>
  <c r="N9" i="43"/>
  <c r="C18" i="9"/>
  <c r="D18" i="9" s="1"/>
  <c r="F34" i="67"/>
  <c r="F62" i="67" s="1"/>
  <c r="M20" i="67"/>
  <c r="F34" i="15"/>
  <c r="F62" i="15" s="1"/>
  <c r="G13" i="3"/>
  <c r="BL17" i="3"/>
  <c r="AZ17" i="3" s="1"/>
  <c r="A24" i="51"/>
  <c r="B18" i="72" s="1"/>
  <c r="E5" i="6"/>
  <c r="D9" i="11" s="1"/>
  <c r="C9" i="11" s="1"/>
  <c r="E32" i="6"/>
  <c r="L19" i="6"/>
  <c r="G1" i="68"/>
  <c r="K1" i="12"/>
  <c r="AQ12" i="1"/>
  <c r="E19" i="69"/>
  <c r="E19" i="68"/>
  <c r="E19" i="11"/>
  <c r="E1" i="73"/>
  <c r="G41" i="69"/>
  <c r="G22" i="69"/>
  <c r="G41" i="68"/>
  <c r="G22" i="68"/>
  <c r="G27" i="12"/>
  <c r="G26" i="12"/>
  <c r="G41" i="11"/>
  <c r="G22" i="11"/>
  <c r="G25" i="12"/>
  <c r="C100" i="43"/>
  <c r="C7" i="43"/>
  <c r="E48" i="43"/>
  <c r="B46" i="43"/>
  <c r="E70" i="43"/>
  <c r="B68" i="43"/>
  <c r="F100" i="43"/>
  <c r="H17" i="43"/>
  <c r="H78"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52" i="37"/>
  <c r="D52" i="37" s="1"/>
  <c r="E52" i="37" s="1"/>
  <c r="F52" i="37" s="1"/>
  <c r="A4" i="51"/>
  <c r="B6" i="72" s="1"/>
  <c r="C4" i="12"/>
  <c r="H62" i="43"/>
  <c r="H66" i="43"/>
  <c r="H65" i="43"/>
  <c r="H60" i="43"/>
  <c r="H64" i="43"/>
  <c r="H63" i="43"/>
  <c r="H67" i="43"/>
  <c r="H56" i="43"/>
  <c r="H72" i="43"/>
  <c r="L20" i="6"/>
  <c r="L27" i="6" s="1"/>
  <c r="B6" i="1"/>
  <c r="E6" i="1" s="1"/>
  <c r="S8" i="1"/>
  <c r="AQ8" i="1" s="1"/>
  <c r="K11" i="1"/>
  <c r="M11" i="1" s="1"/>
  <c r="O11" i="1" s="1"/>
  <c r="AP6" i="1"/>
  <c r="B9" i="1"/>
  <c r="E9" i="1" s="1"/>
  <c r="K7" i="1"/>
  <c r="M7" i="1" s="1"/>
  <c r="G1" i="15"/>
  <c r="G1" i="69"/>
  <c r="G1" i="67"/>
  <c r="W23" i="40"/>
  <c r="AB31" i="40"/>
  <c r="S37" i="40"/>
  <c r="AB28" i="40"/>
  <c r="W28" i="40"/>
  <c r="W34" i="40"/>
  <c r="W27" i="40"/>
  <c r="S36" i="40"/>
  <c r="W37" i="40"/>
  <c r="AC14" i="40"/>
  <c r="S13" i="40"/>
  <c r="S33" i="40"/>
  <c r="AA15" i="40"/>
  <c r="U11" i="40"/>
  <c r="S31" i="40"/>
  <c r="AB13" i="40"/>
  <c r="U15" i="40"/>
  <c r="AB17" i="40"/>
  <c r="U8" i="40"/>
  <c r="S8" i="40"/>
  <c r="U42" i="39"/>
  <c r="AB41" i="39"/>
  <c r="W25" i="39"/>
  <c r="AC25" i="39"/>
  <c r="U13" i="39"/>
  <c r="AA13" i="39"/>
  <c r="S13" i="39"/>
  <c r="S14" i="39"/>
  <c r="U43" i="39"/>
  <c r="AA27" i="39"/>
  <c r="S27" i="39"/>
  <c r="W17" i="39"/>
  <c r="AC17" i="39"/>
  <c r="W31" i="39"/>
  <c r="AC31" i="39"/>
  <c r="S23" i="39"/>
  <c r="AA45" i="39"/>
  <c r="AB39" i="39"/>
  <c r="W34" i="39"/>
  <c r="U38" i="39"/>
  <c r="S8" i="39"/>
  <c r="S20" i="36"/>
  <c r="AC25" i="36"/>
  <c r="S28" i="36"/>
  <c r="W29" i="36"/>
  <c r="AB28" i="36"/>
  <c r="AA13" i="36"/>
  <c r="W9" i="36"/>
  <c r="W22" i="36"/>
  <c r="W23" i="36"/>
  <c r="AB20" i="35"/>
  <c r="U25" i="35"/>
  <c r="W33" i="35"/>
  <c r="AA30" i="35"/>
  <c r="S35" i="35"/>
  <c r="AA16" i="35"/>
  <c r="AA35" i="37"/>
  <c r="W36" i="37"/>
  <c r="S27" i="37"/>
  <c r="S28" i="37"/>
  <c r="W32" i="37"/>
  <c r="U36" i="37"/>
  <c r="S40" i="37"/>
  <c r="U38" i="37"/>
  <c r="AB37" i="37"/>
  <c r="S33" i="37"/>
  <c r="AC34" i="37"/>
  <c r="AB35" i="37"/>
  <c r="AA31" i="37"/>
  <c r="U19" i="37"/>
  <c r="AA29" i="37"/>
  <c r="AA8" i="37"/>
  <c r="U8" i="37"/>
  <c r="AA40" i="34"/>
  <c r="AB40" i="34"/>
  <c r="U19" i="34"/>
  <c r="W19" i="34"/>
  <c r="AA30" i="34"/>
  <c r="AB45" i="34"/>
  <c r="AB47" i="34"/>
  <c r="U25" i="34"/>
  <c r="AB36" i="34"/>
  <c r="AC14" i="34"/>
  <c r="AC32" i="34"/>
  <c r="AC29" i="34"/>
  <c r="W46" i="34"/>
  <c r="AC46" i="34"/>
  <c r="S32" i="34"/>
  <c r="U30" i="34"/>
  <c r="AB30" i="34"/>
  <c r="S37" i="34"/>
  <c r="U38" i="34"/>
  <c r="AC40" i="34"/>
  <c r="W40" i="34"/>
  <c r="AA19" i="34"/>
  <c r="S19" i="34"/>
  <c r="AA36" i="34"/>
  <c r="AA8" i="34"/>
  <c r="S8" i="34"/>
  <c r="S46" i="34"/>
  <c r="AA46" i="34"/>
  <c r="U32" i="34"/>
  <c r="AB32" i="34"/>
  <c r="U14" i="34"/>
  <c r="AB14" i="34"/>
  <c r="AC43" i="34"/>
  <c r="W43" i="34"/>
  <c r="AA11" i="34"/>
  <c r="W23" i="34"/>
  <c r="AC23" i="34"/>
  <c r="AC35" i="34"/>
  <c r="W35" i="34"/>
  <c r="W46" i="33"/>
  <c r="U39" i="33"/>
  <c r="U38" i="33"/>
  <c r="S33" i="33"/>
  <c r="AB34" i="33"/>
  <c r="U44" i="33"/>
  <c r="AB44" i="33"/>
  <c r="S30" i="33"/>
  <c r="AA30" i="33"/>
  <c r="W14" i="33"/>
  <c r="W30" i="33"/>
  <c r="S31" i="33"/>
  <c r="AA31" i="33"/>
  <c r="W13" i="33"/>
  <c r="U15" i="33"/>
  <c r="S11" i="33"/>
  <c r="U37" i="33"/>
  <c r="AC28" i="33"/>
  <c r="S28" i="33"/>
  <c r="W8" i="33"/>
  <c r="S44" i="21"/>
  <c r="AB42" i="21"/>
  <c r="AA11" i="21"/>
  <c r="S45" i="21"/>
  <c r="F33" i="21"/>
  <c r="S33" i="21" s="1"/>
  <c r="J33" i="21"/>
  <c r="AC33" i="21" s="1"/>
  <c r="H33" i="21"/>
  <c r="AB33" i="21" s="1"/>
  <c r="F37" i="21"/>
  <c r="AA37" i="21" s="1"/>
  <c r="AA26" i="21"/>
  <c r="AB14" i="21"/>
  <c r="U40" i="21"/>
  <c r="AB31" i="21"/>
  <c r="U31" i="21"/>
  <c r="U13" i="21"/>
  <c r="AB13" i="21"/>
  <c r="W8" i="21"/>
  <c r="S35" i="21"/>
  <c r="AB37" i="21"/>
  <c r="J37" i="21"/>
  <c r="AC37" i="21" s="1"/>
  <c r="W37" i="21"/>
  <c r="H15" i="21"/>
  <c r="U15" i="21"/>
  <c r="J17" i="21"/>
  <c r="AC17" i="21"/>
  <c r="AC19" i="21"/>
  <c r="W39" i="21"/>
  <c r="AC14" i="21"/>
  <c r="W30" i="21"/>
  <c r="H45" i="21"/>
  <c r="U45" i="21" s="1"/>
  <c r="F29" i="21"/>
  <c r="S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13" i="21"/>
  <c r="W42" i="21"/>
  <c r="AC45" i="21"/>
  <c r="F10" i="21"/>
  <c r="AA10" i="21" s="1"/>
  <c r="K145" i="21"/>
  <c r="W17" i="21"/>
  <c r="AA29" i="21"/>
  <c r="W31" i="21"/>
  <c r="S27" i="21"/>
  <c r="S17" i="21"/>
  <c r="AA15" i="21"/>
  <c r="AC27" i="21"/>
  <c r="AC26" i="21"/>
  <c r="S28" i="21"/>
  <c r="AC34" i="21"/>
  <c r="W10" i="21"/>
  <c r="AB36" i="21"/>
  <c r="W30" i="40"/>
  <c r="C19" i="39"/>
  <c r="C15" i="40"/>
  <c r="C17" i="40"/>
  <c r="C23" i="40"/>
  <c r="C21" i="40"/>
  <c r="B54" i="43"/>
  <c r="B65" i="43"/>
  <c r="B49" i="43"/>
  <c r="B52" i="43"/>
  <c r="B56" i="43"/>
  <c r="B60" i="43"/>
  <c r="B63" i="43"/>
  <c r="B67" i="43"/>
  <c r="D23" i="15"/>
  <c r="D22" i="15"/>
  <c r="E4" i="4"/>
  <c r="K4" i="4" s="1"/>
  <c r="B46" i="48" s="1"/>
  <c r="B4" i="72" s="1"/>
  <c r="C4" i="4"/>
  <c r="M6" i="1"/>
  <c r="O6" i="1" s="1"/>
  <c r="P6" i="1" s="1"/>
  <c r="T9" i="1"/>
  <c r="S7" i="1"/>
  <c r="AR7" i="1" s="1"/>
  <c r="E7" i="70"/>
  <c r="C24" i="12"/>
  <c r="AA39" i="40"/>
  <c r="S39" i="40"/>
  <c r="AA12" i="33"/>
  <c r="J32" i="39"/>
  <c r="W32" i="39" s="1"/>
  <c r="H32" i="39"/>
  <c r="U32" i="39" s="1"/>
  <c r="AA32" i="39"/>
  <c r="S32" i="39"/>
  <c r="U21" i="39"/>
  <c r="AC21" i="39"/>
  <c r="W21" i="39"/>
  <c r="S26" i="35"/>
  <c r="AA9" i="35"/>
  <c r="S9" i="35"/>
  <c r="AC26" i="35"/>
  <c r="W26" i="35"/>
  <c r="S17" i="37"/>
  <c r="J19" i="37"/>
  <c r="W19" i="37" s="1"/>
  <c r="S19" i="37"/>
  <c r="AA23" i="37"/>
  <c r="J23" i="37"/>
  <c r="J10" i="37"/>
  <c r="W10" i="37" s="1"/>
  <c r="I60" i="37"/>
  <c r="H11" i="37"/>
  <c r="AB11" i="37" s="1"/>
  <c r="H11" i="34"/>
  <c r="AB11" i="34" s="1"/>
  <c r="J10" i="34"/>
  <c r="I67" i="34"/>
  <c r="AB41" i="33"/>
  <c r="U41" i="33"/>
  <c r="AC35" i="33"/>
  <c r="J36" i="33"/>
  <c r="H36" i="33"/>
  <c r="U36" i="33" s="1"/>
  <c r="AA36" i="33"/>
  <c r="AC32" i="33"/>
  <c r="AB27" i="33"/>
  <c r="J27" i="33"/>
  <c r="W27" i="33" s="1"/>
  <c r="AB25" i="33"/>
  <c r="AA25" i="33"/>
  <c r="J25" i="33"/>
  <c r="W25" i="33" s="1"/>
  <c r="U23" i="33"/>
  <c r="F23" i="33"/>
  <c r="G85" i="33"/>
  <c r="H19" i="33"/>
  <c r="AB19" i="33" s="1"/>
  <c r="H17" i="33"/>
  <c r="AB17" i="33" s="1"/>
  <c r="F17" i="33"/>
  <c r="AA17" i="33" s="1"/>
  <c r="W17" i="33"/>
  <c r="AB10" i="33"/>
  <c r="W10" i="33"/>
  <c r="S37" i="21"/>
  <c r="AB15" i="21"/>
  <c r="J23" i="21"/>
  <c r="W23" i="21" s="1"/>
  <c r="H23" i="21"/>
  <c r="AB23" i="21" s="1"/>
  <c r="S13" i="21"/>
  <c r="B5" i="62"/>
  <c r="B73" i="72" s="1"/>
  <c r="AP7" i="1"/>
  <c r="AB45" i="21"/>
  <c r="AA33" i="21"/>
  <c r="U9" i="21"/>
  <c r="AA32" i="21"/>
  <c r="S32" i="21"/>
  <c r="AC9" i="21"/>
  <c r="AB32" i="21"/>
  <c r="U32" i="21"/>
  <c r="S10" i="21"/>
  <c r="AB32" i="39"/>
  <c r="AC32" i="39"/>
  <c r="AC19" i="37"/>
  <c r="W23" i="37"/>
  <c r="AC23" i="37"/>
  <c r="J11" i="37"/>
  <c r="AC11" i="37" s="1"/>
  <c r="AC10" i="37"/>
  <c r="AC10" i="34"/>
  <c r="W10" i="34"/>
  <c r="J11" i="34"/>
  <c r="AC11" i="34" s="1"/>
  <c r="AC36" i="33"/>
  <c r="W36" i="33"/>
  <c r="AC25" i="33"/>
  <c r="AA23" i="33"/>
  <c r="S23" i="33"/>
  <c r="U19" i="33"/>
  <c r="U17" i="33"/>
  <c r="F1" i="67"/>
  <c r="W11" i="37"/>
  <c r="R7" i="1"/>
  <c r="F34" i="11"/>
  <c r="F11" i="12"/>
  <c r="F34" i="68"/>
  <c r="R8" i="1"/>
  <c r="AE7" i="1"/>
  <c r="AE8" i="1"/>
  <c r="AG6" i="1"/>
  <c r="H109" i="9"/>
  <c r="H110" i="9" s="1"/>
  <c r="D18" i="53" s="1"/>
  <c r="B35" i="72" s="1"/>
  <c r="D124" i="9"/>
  <c r="H14" i="74" s="1"/>
  <c r="B7" i="74" s="1"/>
  <c r="D10" i="52"/>
  <c r="D59" i="9"/>
  <c r="M55" i="9" s="1"/>
  <c r="AD3" i="71"/>
  <c r="B4" i="62"/>
  <c r="B71" i="72" s="1"/>
  <c r="M24" i="67"/>
  <c r="B13" i="76"/>
  <c r="AO12" i="1"/>
  <c r="F3" i="73"/>
  <c r="F42" i="67"/>
  <c r="F6" i="67"/>
  <c r="AO11" i="1"/>
  <c r="F5" i="73"/>
  <c r="B7" i="76"/>
  <c r="M9" i="67"/>
  <c r="M6" i="15"/>
  <c r="F40" i="67"/>
  <c r="F7" i="15"/>
  <c r="B9" i="76"/>
  <c r="F8" i="67"/>
  <c r="D2" i="35"/>
  <c r="AO7" i="1"/>
  <c r="E8" i="76"/>
  <c r="F35" i="67"/>
  <c r="M8" i="15"/>
  <c r="D2" i="21"/>
  <c r="F36" i="15"/>
  <c r="M22" i="67"/>
  <c r="AO8" i="1"/>
  <c r="F37" i="15"/>
  <c r="M23" i="15"/>
  <c r="F9" i="15"/>
  <c r="D2" i="33"/>
  <c r="F13" i="15"/>
  <c r="D2" i="37"/>
  <c r="F26" i="67"/>
  <c r="AO13" i="1"/>
  <c r="F7" i="73"/>
  <c r="F38" i="67"/>
  <c r="L47" i="67"/>
  <c r="M6" i="67"/>
  <c r="J15" i="67"/>
  <c r="M22" i="15"/>
  <c r="M8" i="67"/>
  <c r="AO10" i="1"/>
  <c r="F7" i="67"/>
  <c r="F4" i="73"/>
  <c r="F8" i="15"/>
  <c r="F20" i="31"/>
  <c r="M21" i="67"/>
  <c r="F41" i="67"/>
  <c r="C76" i="15"/>
  <c r="B11" i="76"/>
  <c r="F16" i="15"/>
  <c r="F37" i="67"/>
  <c r="M28" i="67"/>
  <c r="E7" i="76"/>
  <c r="B8" i="76"/>
  <c r="F42" i="15"/>
  <c r="M28" i="15"/>
  <c r="E11" i="76"/>
  <c r="F6" i="73"/>
  <c r="D2" i="36"/>
  <c r="M24" i="15"/>
  <c r="M27" i="67"/>
  <c r="F40" i="15"/>
  <c r="M29" i="15"/>
  <c r="M9" i="15"/>
  <c r="AO9" i="1"/>
  <c r="M29" i="67"/>
  <c r="E2" i="68"/>
  <c r="E10" i="76"/>
  <c r="L48" i="67"/>
  <c r="M26" i="15"/>
  <c r="M26" i="67"/>
  <c r="F43" i="67"/>
  <c r="E9" i="76"/>
  <c r="E12" i="76"/>
  <c r="F36" i="67"/>
  <c r="F26" i="15"/>
  <c r="F16" i="67"/>
  <c r="B12" i="76"/>
  <c r="F13" i="67"/>
  <c r="M23" i="67"/>
  <c r="E2" i="69"/>
  <c r="B10" i="76"/>
  <c r="E13" i="76"/>
  <c r="F38" i="15"/>
  <c r="C76" i="67"/>
  <c r="F9" i="67"/>
  <c r="D2" i="34"/>
  <c r="AZ508" i="3" l="1"/>
  <c r="AC40" i="37"/>
  <c r="W40" i="37"/>
  <c r="AC11" i="36"/>
  <c r="W11" i="36"/>
  <c r="U46" i="34"/>
  <c r="AB46" i="34"/>
  <c r="AA14" i="34"/>
  <c r="S14" i="34"/>
  <c r="S45" i="33"/>
  <c r="AA45" i="33"/>
  <c r="U45" i="33"/>
  <c r="AB45" i="33"/>
  <c r="AB13" i="33"/>
  <c r="U13" i="33"/>
  <c r="S29" i="35"/>
  <c r="AA29" i="35"/>
  <c r="U12" i="35"/>
  <c r="AB12" i="35"/>
  <c r="U27" i="37"/>
  <c r="AB27" i="37"/>
  <c r="U23" i="21"/>
  <c r="AR10" i="1"/>
  <c r="AZ369" i="3"/>
  <c r="D125" i="9"/>
  <c r="D11" i="52" s="1"/>
  <c r="D16" i="53"/>
  <c r="D17" i="53" s="1"/>
  <c r="B36" i="72" s="1"/>
  <c r="W11" i="34"/>
  <c r="AB36" i="33"/>
  <c r="U11" i="34"/>
  <c r="U11" i="37"/>
  <c r="AC32" i="21"/>
  <c r="AA23" i="21"/>
  <c r="U33" i="21"/>
  <c r="U10" i="37"/>
  <c r="AB26" i="35"/>
  <c r="S21" i="39"/>
  <c r="T13" i="1"/>
  <c r="AQ9" i="1"/>
  <c r="AQ13" i="1"/>
  <c r="AC15" i="21"/>
  <c r="AC37" i="33"/>
  <c r="W33" i="34"/>
  <c r="W35" i="35"/>
  <c r="S24" i="35"/>
  <c r="AC20" i="36"/>
  <c r="U32" i="36"/>
  <c r="H77" i="43"/>
  <c r="H76" i="43"/>
  <c r="H55" i="43"/>
  <c r="H70" i="43"/>
  <c r="H53" i="43"/>
  <c r="T10" i="1"/>
  <c r="T12" i="1"/>
  <c r="U29" i="34"/>
  <c r="D120" i="9"/>
  <c r="S43" i="33"/>
  <c r="S46" i="33"/>
  <c r="S39" i="33"/>
  <c r="U42" i="33"/>
  <c r="S17" i="34"/>
  <c r="AC13" i="37"/>
  <c r="AC29" i="37"/>
  <c r="S14" i="36"/>
  <c r="AC27" i="36"/>
  <c r="U12" i="39"/>
  <c r="W42" i="39"/>
  <c r="AA19" i="40"/>
  <c r="H49" i="43"/>
  <c r="W44" i="34"/>
  <c r="BQ5" i="3"/>
  <c r="AZ326" i="3"/>
  <c r="AZ318" i="3"/>
  <c r="AZ387" i="3"/>
  <c r="AZ342" i="3"/>
  <c r="AZ329" i="3"/>
  <c r="AZ391" i="3"/>
  <c r="AZ362" i="3"/>
  <c r="W35" i="40"/>
  <c r="AB44" i="39"/>
  <c r="S14" i="40"/>
  <c r="W15" i="34"/>
  <c r="S25" i="21"/>
  <c r="AA25" i="21"/>
  <c r="AZ520" i="3"/>
  <c r="AZ538" i="3"/>
  <c r="AB31" i="33"/>
  <c r="W11" i="35"/>
  <c r="AC13" i="36"/>
  <c r="U13" i="36"/>
  <c r="AB13" i="36"/>
  <c r="AB11" i="36"/>
  <c r="U11" i="36"/>
  <c r="AC32" i="36"/>
  <c r="W32" i="36"/>
  <c r="AA11" i="35"/>
  <c r="S11" i="35"/>
  <c r="W45" i="33"/>
  <c r="AC45" i="33"/>
  <c r="S13" i="33"/>
  <c r="AA13" i="33"/>
  <c r="U30" i="21"/>
  <c r="AB30" i="21"/>
  <c r="AA28" i="34"/>
  <c r="S28" i="34"/>
  <c r="AA12" i="21"/>
  <c r="S12" i="21"/>
  <c r="W37" i="39"/>
  <c r="AC37" i="39"/>
  <c r="G585" i="3"/>
  <c r="BL585" i="3"/>
  <c r="AZ585" i="3" s="1"/>
  <c r="BL581" i="3"/>
  <c r="BL577" i="3"/>
  <c r="AZ577" i="3" s="1"/>
  <c r="BA575" i="3"/>
  <c r="AZ575" i="3" s="1"/>
  <c r="BA572" i="3"/>
  <c r="AZ572" i="3" s="1"/>
  <c r="BL571" i="3"/>
  <c r="BL568" i="3"/>
  <c r="BF5" i="3"/>
  <c r="BA566" i="3"/>
  <c r="BA550" i="3"/>
  <c r="BL549" i="3"/>
  <c r="BI5" i="3"/>
  <c r="BE5" i="3"/>
  <c r="BL548" i="3"/>
  <c r="G398" i="3"/>
  <c r="BL398" i="3"/>
  <c r="BA399" i="3"/>
  <c r="AZ399" i="3" s="1"/>
  <c r="G400" i="3"/>
  <c r="BA400" i="3"/>
  <c r="G401" i="3"/>
  <c r="BA402" i="3"/>
  <c r="BL402" i="3"/>
  <c r="BA403" i="3"/>
  <c r="BA404" i="3"/>
  <c r="AZ404" i="3" s="1"/>
  <c r="BA406" i="3"/>
  <c r="BL406" i="3"/>
  <c r="BL408" i="3"/>
  <c r="AZ408" i="3" s="1"/>
  <c r="BA409" i="3"/>
  <c r="G410" i="3"/>
  <c r="BA410" i="3"/>
  <c r="G411" i="3"/>
  <c r="BA411" i="3"/>
  <c r="AZ411" i="3" s="1"/>
  <c r="BA412" i="3"/>
  <c r="AZ412" i="3" s="1"/>
  <c r="G413" i="3"/>
  <c r="BA413" i="3"/>
  <c r="AZ413" i="3" s="1"/>
  <c r="G414" i="3"/>
  <c r="BL416" i="3"/>
  <c r="BA418" i="3"/>
  <c r="BL418" i="3"/>
  <c r="G420" i="3"/>
  <c r="BA420" i="3"/>
  <c r="G422" i="3"/>
  <c r="BL424" i="3"/>
  <c r="BA425" i="3"/>
  <c r="BL425" i="3"/>
  <c r="BL426" i="3"/>
  <c r="G427" i="3"/>
  <c r="BL427" i="3"/>
  <c r="G429" i="3"/>
  <c r="BL429" i="3"/>
  <c r="BA432" i="3"/>
  <c r="G434" i="3"/>
  <c r="BA434" i="3"/>
  <c r="BL436" i="3"/>
  <c r="BA437" i="3"/>
  <c r="AZ437" i="3" s="1"/>
  <c r="BL439" i="3"/>
  <c r="G442" i="3"/>
  <c r="BA443" i="3"/>
  <c r="BL443" i="3"/>
  <c r="BA444" i="3"/>
  <c r="G445" i="3"/>
  <c r="BA446" i="3"/>
  <c r="BL446" i="3"/>
  <c r="BA447" i="3"/>
  <c r="AZ447" i="3" s="1"/>
  <c r="BL448" i="3"/>
  <c r="G450" i="3"/>
  <c r="BA450" i="3"/>
  <c r="BL450" i="3"/>
  <c r="BL451" i="3"/>
  <c r="G453" i="3"/>
  <c r="G454" i="3"/>
  <c r="BA455" i="3"/>
  <c r="AZ455" i="3" s="1"/>
  <c r="BL456" i="3"/>
  <c r="BA457" i="3"/>
  <c r="AZ457" i="3" s="1"/>
  <c r="BL459" i="3"/>
  <c r="BA460" i="3"/>
  <c r="AZ460" i="3" s="1"/>
  <c r="BL460" i="3"/>
  <c r="BL461" i="3"/>
  <c r="G462" i="3"/>
  <c r="BL463" i="3"/>
  <c r="BA464" i="3"/>
  <c r="BL464" i="3"/>
  <c r="BL465" i="3"/>
  <c r="AZ465" i="3" s="1"/>
  <c r="BL483" i="3"/>
  <c r="BA488" i="3"/>
  <c r="AZ488" i="3" s="1"/>
  <c r="AZ378" i="3"/>
  <c r="AZ376" i="3"/>
  <c r="AZ373" i="3"/>
  <c r="AZ327" i="3"/>
  <c r="AZ320" i="3"/>
  <c r="AZ535" i="3"/>
  <c r="AZ553" i="3"/>
  <c r="AZ563" i="3"/>
  <c r="AZ505" i="3"/>
  <c r="AZ515" i="3"/>
  <c r="AZ496" i="3"/>
  <c r="AZ536" i="3"/>
  <c r="AZ546" i="3"/>
  <c r="AZ560" i="3"/>
  <c r="AZ570" i="3"/>
  <c r="AZ576" i="3"/>
  <c r="AZ510" i="3"/>
  <c r="AZ498" i="3"/>
  <c r="AZ584" i="3"/>
  <c r="AB11" i="21"/>
  <c r="AC11" i="40"/>
  <c r="C21" i="39"/>
  <c r="S34" i="21"/>
  <c r="S40" i="21"/>
  <c r="U34" i="40"/>
  <c r="S34" i="40"/>
  <c r="AB39" i="40"/>
  <c r="W36" i="35"/>
  <c r="S30" i="36"/>
  <c r="F35" i="39"/>
  <c r="J35" i="39"/>
  <c r="AA41" i="21"/>
  <c r="H12" i="21"/>
  <c r="J12" i="21"/>
  <c r="B70" i="43"/>
  <c r="B77" i="43"/>
  <c r="AB8" i="35"/>
  <c r="F12" i="35"/>
  <c r="W27" i="35"/>
  <c r="H25" i="37"/>
  <c r="U25" i="37" s="1"/>
  <c r="AC8" i="40"/>
  <c r="U41" i="21"/>
  <c r="G563" i="3"/>
  <c r="G560" i="3"/>
  <c r="G552" i="3"/>
  <c r="AZ416" i="3"/>
  <c r="BA422" i="3"/>
  <c r="BL422" i="3"/>
  <c r="BA430" i="3"/>
  <c r="AZ430" i="3" s="1"/>
  <c r="BA442" i="3"/>
  <c r="AZ442" i="3" s="1"/>
  <c r="BL442" i="3"/>
  <c r="BA480" i="3"/>
  <c r="AZ480" i="3" s="1"/>
  <c r="BA331" i="3"/>
  <c r="AZ331" i="3" s="1"/>
  <c r="BA366" i="3"/>
  <c r="AZ366" i="3" s="1"/>
  <c r="BL210" i="3"/>
  <c r="BL215" i="3"/>
  <c r="BA144" i="3"/>
  <c r="AZ144" i="3" s="1"/>
  <c r="BA153" i="3"/>
  <c r="AZ153" i="3" s="1"/>
  <c r="BL162" i="3"/>
  <c r="G467" i="3"/>
  <c r="G468" i="3"/>
  <c r="G469" i="3"/>
  <c r="G470" i="3"/>
  <c r="BA471" i="3"/>
  <c r="BL472" i="3"/>
  <c r="BA473" i="3"/>
  <c r="AZ473" i="3" s="1"/>
  <c r="BA474" i="3"/>
  <c r="BL475" i="3"/>
  <c r="BL477" i="3"/>
  <c r="G479" i="3"/>
  <c r="BL479" i="3"/>
  <c r="BA481" i="3"/>
  <c r="AZ481" i="3" s="1"/>
  <c r="G482" i="3"/>
  <c r="BL485" i="3"/>
  <c r="BA486" i="3"/>
  <c r="BL486" i="3"/>
  <c r="BL491" i="3"/>
  <c r="AZ491" i="3" s="1"/>
  <c r="G311" i="3"/>
  <c r="BA315" i="3"/>
  <c r="AZ315" i="3" s="1"/>
  <c r="BL316" i="3"/>
  <c r="G318" i="3"/>
  <c r="G323" i="3"/>
  <c r="G331" i="3"/>
  <c r="G334" i="3"/>
  <c r="BA339" i="3"/>
  <c r="AZ339" i="3" s="1"/>
  <c r="BL346" i="3"/>
  <c r="AZ346" i="3" s="1"/>
  <c r="G347" i="3"/>
  <c r="G349" i="3"/>
  <c r="BA349" i="3"/>
  <c r="AZ349" i="3" s="1"/>
  <c r="G351" i="3"/>
  <c r="BL353" i="3"/>
  <c r="G358" i="3"/>
  <c r="G366" i="3"/>
  <c r="BA367" i="3"/>
  <c r="AZ367" i="3" s="1"/>
  <c r="G374" i="3"/>
  <c r="BA374" i="3"/>
  <c r="AZ374" i="3" s="1"/>
  <c r="BL375" i="3"/>
  <c r="AZ375" i="3" s="1"/>
  <c r="G378" i="3"/>
  <c r="BL383" i="3"/>
  <c r="AZ383" i="3" s="1"/>
  <c r="BA386" i="3"/>
  <c r="AZ386" i="3" s="1"/>
  <c r="G387" i="3"/>
  <c r="G392" i="3"/>
  <c r="BL395" i="3"/>
  <c r="G397" i="3"/>
  <c r="BA208" i="3"/>
  <c r="AZ208" i="3" s="1"/>
  <c r="BL212" i="3"/>
  <c r="G214" i="3"/>
  <c r="G215" i="3"/>
  <c r="BL217" i="3"/>
  <c r="G219" i="3"/>
  <c r="BA219" i="3"/>
  <c r="AZ219" i="3" s="1"/>
  <c r="G220" i="3"/>
  <c r="BA221" i="3"/>
  <c r="BL222" i="3"/>
  <c r="AZ222" i="3" s="1"/>
  <c r="G224" i="3"/>
  <c r="BA224" i="3"/>
  <c r="G225" i="3"/>
  <c r="BL225" i="3"/>
  <c r="AZ225" i="3" s="1"/>
  <c r="BA227" i="3"/>
  <c r="AZ227" i="3" s="1"/>
  <c r="BL228" i="3"/>
  <c r="AZ228" i="3" s="1"/>
  <c r="BA229" i="3"/>
  <c r="AZ229" i="3" s="1"/>
  <c r="G230" i="3"/>
  <c r="G232" i="3"/>
  <c r="G233" i="3"/>
  <c r="G234" i="3"/>
  <c r="G235" i="3"/>
  <c r="G236" i="3"/>
  <c r="BA236" i="3"/>
  <c r="AZ236" i="3" s="1"/>
  <c r="BA237" i="3"/>
  <c r="G238" i="3"/>
  <c r="G239" i="3"/>
  <c r="BL242" i="3"/>
  <c r="AZ242" i="3" s="1"/>
  <c r="BA244" i="3"/>
  <c r="AZ244" i="3" s="1"/>
  <c r="G245" i="3"/>
  <c r="BL245" i="3"/>
  <c r="AZ245" i="3" s="1"/>
  <c r="G248" i="3"/>
  <c r="G249" i="3"/>
  <c r="G250" i="3"/>
  <c r="G251" i="3"/>
  <c r="G252" i="3"/>
  <c r="BA252" i="3"/>
  <c r="G253" i="3"/>
  <c r="G254" i="3"/>
  <c r="G256" i="3"/>
  <c r="G257" i="3"/>
  <c r="G258" i="3"/>
  <c r="BA258" i="3"/>
  <c r="G259" i="3"/>
  <c r="G260" i="3"/>
  <c r="BL262" i="3"/>
  <c r="AZ262" i="3" s="1"/>
  <c r="BA264" i="3"/>
  <c r="AZ264" i="3" s="1"/>
  <c r="G265" i="3"/>
  <c r="BL265" i="3"/>
  <c r="AZ265" i="3" s="1"/>
  <c r="BA266" i="3"/>
  <c r="AZ266" i="3" s="1"/>
  <c r="G267" i="3"/>
  <c r="BL267" i="3"/>
  <c r="BL268" i="3"/>
  <c r="AZ268" i="3" s="1"/>
  <c r="BA270" i="3"/>
  <c r="AZ270" i="3" s="1"/>
  <c r="G271" i="3"/>
  <c r="BL271" i="3"/>
  <c r="AZ271" i="3" s="1"/>
  <c r="BA273" i="3"/>
  <c r="AZ273" i="3" s="1"/>
  <c r="BL274" i="3"/>
  <c r="AZ274" i="3" s="1"/>
  <c r="BA275" i="3"/>
  <c r="AZ275" i="3" s="1"/>
  <c r="G276" i="3"/>
  <c r="G278" i="3"/>
  <c r="BA278" i="3"/>
  <c r="AZ278" i="3" s="1"/>
  <c r="BA279" i="3"/>
  <c r="G280" i="3"/>
  <c r="G281" i="3"/>
  <c r="G283" i="3"/>
  <c r="G284" i="3"/>
  <c r="BA284" i="3"/>
  <c r="G285" i="3"/>
  <c r="BL285" i="3"/>
  <c r="AZ285" i="3" s="1"/>
  <c r="BA286" i="3"/>
  <c r="AZ286" i="3" s="1"/>
  <c r="G287" i="3"/>
  <c r="BL287" i="3"/>
  <c r="AZ287" i="3" s="1"/>
  <c r="BA288" i="3"/>
  <c r="AZ288" i="3" s="1"/>
  <c r="G289" i="3"/>
  <c r="BL289" i="3"/>
  <c r="BL125" i="3"/>
  <c r="G292" i="3"/>
  <c r="BA292" i="3"/>
  <c r="G293" i="3"/>
  <c r="BL293" i="3"/>
  <c r="AZ293" i="3" s="1"/>
  <c r="BA295" i="3"/>
  <c r="AZ295" i="3" s="1"/>
  <c r="BA296" i="3"/>
  <c r="G297" i="3"/>
  <c r="G298" i="3"/>
  <c r="BL300" i="3"/>
  <c r="AZ300" i="3" s="1"/>
  <c r="BA301" i="3"/>
  <c r="AZ301" i="3" s="1"/>
  <c r="G302" i="3"/>
  <c r="BL114" i="3"/>
  <c r="AZ114" i="3" s="1"/>
  <c r="BL117" i="3"/>
  <c r="AZ117" i="3" s="1"/>
  <c r="BA118" i="3"/>
  <c r="BL119" i="3"/>
  <c r="AZ119" i="3" s="1"/>
  <c r="G122" i="3"/>
  <c r="BL122" i="3"/>
  <c r="G127" i="3"/>
  <c r="G132" i="3"/>
  <c r="BA133" i="3"/>
  <c r="AZ133" i="3" s="1"/>
  <c r="BA136" i="3"/>
  <c r="AZ136" i="3" s="1"/>
  <c r="G139" i="3"/>
  <c r="BA141" i="3"/>
  <c r="BL141" i="3"/>
  <c r="G143" i="3"/>
  <c r="G144" i="3"/>
  <c r="G146" i="3"/>
  <c r="BL147" i="3"/>
  <c r="AZ147" i="3" s="1"/>
  <c r="BA148" i="3"/>
  <c r="AZ148" i="3" s="1"/>
  <c r="BL149" i="3"/>
  <c r="BL157" i="3"/>
  <c r="AZ157" i="3" s="1"/>
  <c r="G162" i="3"/>
  <c r="BA162" i="3"/>
  <c r="AZ162" i="3" s="1"/>
  <c r="G163" i="3"/>
  <c r="BL165" i="3"/>
  <c r="AZ165" i="3" s="1"/>
  <c r="BA166" i="3"/>
  <c r="G167" i="3"/>
  <c r="BA170" i="3"/>
  <c r="AZ170" i="3" s="1"/>
  <c r="BA176" i="3"/>
  <c r="AZ176" i="3" s="1"/>
  <c r="BA185" i="3"/>
  <c r="AZ185" i="3" s="1"/>
  <c r="BL194" i="3"/>
  <c r="BL203" i="3"/>
  <c r="AZ203" i="3" s="1"/>
  <c r="BL37" i="3"/>
  <c r="BA46" i="3"/>
  <c r="BL46" i="3"/>
  <c r="G48" i="3"/>
  <c r="BA48" i="3"/>
  <c r="AZ48" i="3" s="1"/>
  <c r="BA58" i="3"/>
  <c r="G61" i="3"/>
  <c r="BA62" i="3"/>
  <c r="BL62" i="3"/>
  <c r="G64" i="3"/>
  <c r="BL65" i="3"/>
  <c r="BL67" i="3"/>
  <c r="BL171" i="3"/>
  <c r="AZ171" i="3" s="1"/>
  <c r="BA173" i="3"/>
  <c r="AZ173" i="3" s="1"/>
  <c r="BL173" i="3"/>
  <c r="G175" i="3"/>
  <c r="G176" i="3"/>
  <c r="G178" i="3"/>
  <c r="BL179" i="3"/>
  <c r="AZ179" i="3" s="1"/>
  <c r="BA180" i="3"/>
  <c r="AZ180" i="3" s="1"/>
  <c r="BL181" i="3"/>
  <c r="BL189" i="3"/>
  <c r="AZ189" i="3" s="1"/>
  <c r="G194" i="3"/>
  <c r="BA194" i="3"/>
  <c r="AZ194" i="3" s="1"/>
  <c r="G195" i="3"/>
  <c r="BL197" i="3"/>
  <c r="AZ197" i="3" s="1"/>
  <c r="BA198" i="3"/>
  <c r="G199" i="3"/>
  <c r="BA202" i="3"/>
  <c r="AZ202" i="3" s="1"/>
  <c r="G204" i="3"/>
  <c r="BA204" i="3"/>
  <c r="AZ204" i="3" s="1"/>
  <c r="G205" i="3"/>
  <c r="G207" i="3"/>
  <c r="BL207" i="3"/>
  <c r="BA18" i="3"/>
  <c r="BL19" i="3"/>
  <c r="G23" i="3"/>
  <c r="BA23" i="3"/>
  <c r="AZ23" i="3" s="1"/>
  <c r="BL24" i="3"/>
  <c r="BL25" i="3"/>
  <c r="AZ25" i="3" s="1"/>
  <c r="BA28" i="3"/>
  <c r="AZ28" i="3" s="1"/>
  <c r="BL29" i="3"/>
  <c r="BL30" i="3"/>
  <c r="AZ30" i="3" s="1"/>
  <c r="G34" i="3"/>
  <c r="BL34" i="3"/>
  <c r="G37" i="3"/>
  <c r="BA37" i="3"/>
  <c r="AZ37" i="3" s="1"/>
  <c r="G38" i="3"/>
  <c r="G41" i="3"/>
  <c r="BL42" i="3"/>
  <c r="AZ42" i="3" s="1"/>
  <c r="BA45" i="3"/>
  <c r="AZ45" i="3" s="1"/>
  <c r="BA49" i="3"/>
  <c r="AZ49" i="3" s="1"/>
  <c r="BL49" i="3"/>
  <c r="G51" i="3"/>
  <c r="BL53" i="3"/>
  <c r="AZ53" i="3" s="1"/>
  <c r="BL55" i="3"/>
  <c r="AZ55" i="3" s="1"/>
  <c r="BL56" i="3"/>
  <c r="AZ56" i="3" s="1"/>
  <c r="BL58" i="3"/>
  <c r="BA61" i="3"/>
  <c r="AZ61" i="3" s="1"/>
  <c r="BA64" i="3"/>
  <c r="AZ64" i="3" s="1"/>
  <c r="BA66" i="3"/>
  <c r="AZ66" i="3" s="1"/>
  <c r="BA67" i="3"/>
  <c r="AZ67" i="3" s="1"/>
  <c r="G68" i="3"/>
  <c r="BA68" i="3"/>
  <c r="AZ68" i="3" s="1"/>
  <c r="BL69" i="3"/>
  <c r="BA70" i="3"/>
  <c r="AZ70" i="3" s="1"/>
  <c r="G72" i="3"/>
  <c r="BA80" i="3"/>
  <c r="AZ80" i="3" s="1"/>
  <c r="BL86" i="3"/>
  <c r="BL97" i="3"/>
  <c r="BA104" i="3"/>
  <c r="AZ104" i="3" s="1"/>
  <c r="BL106" i="3"/>
  <c r="Y23" i="71"/>
  <c r="Z23" i="71" s="1"/>
  <c r="B33" i="71"/>
  <c r="B34" i="71" s="1"/>
  <c r="S34" i="71" s="1"/>
  <c r="B53" i="71"/>
  <c r="S54" i="71"/>
  <c r="V54" i="71"/>
  <c r="BL72" i="3"/>
  <c r="AZ72" i="3" s="1"/>
  <c r="BA73" i="3"/>
  <c r="G74" i="3"/>
  <c r="BL74" i="3"/>
  <c r="AZ74" i="3" s="1"/>
  <c r="BA75" i="3"/>
  <c r="AZ75" i="3" s="1"/>
  <c r="G77" i="3"/>
  <c r="BL78" i="3"/>
  <c r="BA79" i="3"/>
  <c r="AZ79" i="3" s="1"/>
  <c r="G80" i="3"/>
  <c r="BL82" i="3"/>
  <c r="AZ82" i="3" s="1"/>
  <c r="BL83" i="3"/>
  <c r="AZ83" i="3" s="1"/>
  <c r="BL84" i="3"/>
  <c r="AZ84" i="3" s="1"/>
  <c r="G86" i="3"/>
  <c r="BA86" i="3"/>
  <c r="AZ86" i="3" s="1"/>
  <c r="G87" i="3"/>
  <c r="BL88" i="3"/>
  <c r="AZ88" i="3" s="1"/>
  <c r="BA89" i="3"/>
  <c r="AZ89" i="3" s="1"/>
  <c r="BL92" i="3"/>
  <c r="BL94" i="3"/>
  <c r="AZ94" i="3" s="1"/>
  <c r="BA95" i="3"/>
  <c r="AZ95" i="3" s="1"/>
  <c r="G97" i="3"/>
  <c r="BA97" i="3"/>
  <c r="AZ97" i="3" s="1"/>
  <c r="G98" i="3"/>
  <c r="BA98" i="3"/>
  <c r="AZ98" i="3" s="1"/>
  <c r="BA100" i="3"/>
  <c r="BL101" i="3"/>
  <c r="AZ101" i="3" s="1"/>
  <c r="BA102" i="3"/>
  <c r="AZ102" i="3" s="1"/>
  <c r="BA105" i="3"/>
  <c r="BA106" i="3"/>
  <c r="G107" i="3"/>
  <c r="BL108" i="3"/>
  <c r="BA109" i="3"/>
  <c r="AZ109" i="3" s="1"/>
  <c r="BL110" i="3"/>
  <c r="BA111" i="3"/>
  <c r="AZ111" i="3" s="1"/>
  <c r="G100" i="43"/>
  <c r="I10" i="66"/>
  <c r="X11" i="71"/>
  <c r="AZ531" i="3"/>
  <c r="AZ547" i="3"/>
  <c r="AZ497" i="3"/>
  <c r="AZ525" i="3"/>
  <c r="AZ533" i="3"/>
  <c r="AZ541" i="3"/>
  <c r="AZ549" i="3"/>
  <c r="AZ571" i="3"/>
  <c r="AZ581" i="3"/>
  <c r="S10" i="36"/>
  <c r="AA10" i="36"/>
  <c r="F7" i="33"/>
  <c r="S7" i="33" s="1"/>
  <c r="B34" i="72"/>
  <c r="C13" i="12"/>
  <c r="AC23" i="21"/>
  <c r="C36" i="69"/>
  <c r="AA19" i="33"/>
  <c r="AB10" i="34"/>
  <c r="AB9" i="35"/>
  <c r="U30" i="40"/>
  <c r="W25" i="21"/>
  <c r="U28" i="21"/>
  <c r="AB28" i="33"/>
  <c r="AA31" i="34"/>
  <c r="U24" i="35"/>
  <c r="U11" i="39"/>
  <c r="AC41" i="39"/>
  <c r="W19" i="40"/>
  <c r="H51" i="43"/>
  <c r="H59" i="43"/>
  <c r="D9" i="53"/>
  <c r="B25" i="72" s="1"/>
  <c r="AA14" i="21"/>
  <c r="S23" i="34"/>
  <c r="AB41" i="34"/>
  <c r="S27" i="34"/>
  <c r="U23" i="37"/>
  <c r="AC15" i="37"/>
  <c r="S36" i="37"/>
  <c r="U29" i="37"/>
  <c r="W27" i="37"/>
  <c r="AC10" i="35"/>
  <c r="U23" i="36"/>
  <c r="S23" i="40"/>
  <c r="AC36" i="40"/>
  <c r="F53" i="9"/>
  <c r="F48" i="9"/>
  <c r="O52" i="9" s="1"/>
  <c r="U23" i="39"/>
  <c r="U33" i="34"/>
  <c r="U27" i="36"/>
  <c r="AB25" i="37"/>
  <c r="AC35" i="21"/>
  <c r="AZ306" i="3"/>
  <c r="AZ347" i="3"/>
  <c r="AZ344" i="3"/>
  <c r="S11" i="39"/>
  <c r="AA15" i="39"/>
  <c r="AB37" i="39"/>
  <c r="AA41" i="34"/>
  <c r="S22" i="31"/>
  <c r="R22" i="31" s="1"/>
  <c r="B21" i="31" s="1"/>
  <c r="AZ514" i="3"/>
  <c r="U33" i="40"/>
  <c r="AB33" i="40"/>
  <c r="AB46" i="33"/>
  <c r="AC44" i="33"/>
  <c r="S14" i="33"/>
  <c r="AA27" i="33"/>
  <c r="U14" i="36"/>
  <c r="AB14" i="36"/>
  <c r="AB17" i="34"/>
  <c r="AB23" i="40"/>
  <c r="W31" i="36"/>
  <c r="J29" i="21"/>
  <c r="H29" i="21"/>
  <c r="H46" i="21"/>
  <c r="F46" i="21"/>
  <c r="W12" i="34"/>
  <c r="AA31" i="35"/>
  <c r="J34" i="36"/>
  <c r="H34" i="36"/>
  <c r="F34" i="36"/>
  <c r="H14" i="37"/>
  <c r="J14" i="37"/>
  <c r="AC40" i="39"/>
  <c r="AB35" i="39"/>
  <c r="U35" i="39"/>
  <c r="U40" i="40"/>
  <c r="AB40" i="40"/>
  <c r="AC41" i="33"/>
  <c r="W41" i="33"/>
  <c r="BL557" i="3"/>
  <c r="AZ557" i="3" s="1"/>
  <c r="BD5" i="3"/>
  <c r="BL550" i="3"/>
  <c r="AZ550" i="3" s="1"/>
  <c r="H9" i="34"/>
  <c r="F9" i="34"/>
  <c r="H23" i="35"/>
  <c r="J23" i="35"/>
  <c r="F23" i="35"/>
  <c r="AC45" i="34"/>
  <c r="W38" i="37"/>
  <c r="U10" i="36"/>
  <c r="U29" i="36"/>
  <c r="U36" i="40"/>
  <c r="AZ343" i="3"/>
  <c r="AB25" i="39"/>
  <c r="AC13" i="40"/>
  <c r="W12" i="37"/>
  <c r="S36" i="35"/>
  <c r="AC46" i="21"/>
  <c r="AZ516" i="3"/>
  <c r="AZ568" i="3"/>
  <c r="AA14" i="37"/>
  <c r="AC47" i="34"/>
  <c r="W47" i="34"/>
  <c r="AC31" i="34"/>
  <c r="W31" i="34"/>
  <c r="J28" i="21"/>
  <c r="AB16" i="36"/>
  <c r="U16" i="36"/>
  <c r="U31" i="35"/>
  <c r="W25" i="37"/>
  <c r="BL587" i="3"/>
  <c r="BA587" i="3"/>
  <c r="AA8" i="33"/>
  <c r="S8" i="33"/>
  <c r="J9" i="33"/>
  <c r="F9" i="33"/>
  <c r="J9" i="34"/>
  <c r="AB32" i="35"/>
  <c r="U32" i="35"/>
  <c r="H9" i="36"/>
  <c r="F9" i="36"/>
  <c r="J12" i="36"/>
  <c r="H12" i="36"/>
  <c r="F12" i="36"/>
  <c r="AC24" i="36"/>
  <c r="AB9" i="40"/>
  <c r="AB38" i="40"/>
  <c r="U38" i="40"/>
  <c r="J12" i="40"/>
  <c r="H12" i="40"/>
  <c r="W32" i="40"/>
  <c r="AC32" i="40"/>
  <c r="BL565" i="3"/>
  <c r="BA565" i="3"/>
  <c r="BL564" i="3"/>
  <c r="BO5" i="3"/>
  <c r="BL559" i="3"/>
  <c r="AZ559" i="3" s="1"/>
  <c r="BA558" i="3"/>
  <c r="AZ558" i="3" s="1"/>
  <c r="BA551" i="3"/>
  <c r="AZ551" i="3" s="1"/>
  <c r="J34" i="35"/>
  <c r="F34" i="35"/>
  <c r="H34" i="35"/>
  <c r="S17" i="33"/>
  <c r="AC27" i="33"/>
  <c r="W33" i="21"/>
  <c r="D121" i="9"/>
  <c r="D7" i="52" s="1"/>
  <c r="W23" i="33"/>
  <c r="AC17" i="37"/>
  <c r="AC25" i="35"/>
  <c r="U25" i="36"/>
  <c r="AA39" i="39"/>
  <c r="AB27" i="39"/>
  <c r="AC11" i="39"/>
  <c r="D9" i="69"/>
  <c r="C9" i="69" s="1"/>
  <c r="U32" i="40"/>
  <c r="E56" i="39"/>
  <c r="AB8" i="34"/>
  <c r="AZ14" i="3"/>
  <c r="AC29" i="35"/>
  <c r="H52" i="43"/>
  <c r="H50" i="43"/>
  <c r="BR5" i="3"/>
  <c r="G28" i="6" s="1"/>
  <c r="AC5" i="3"/>
  <c r="AZ361" i="3"/>
  <c r="AZ313" i="3"/>
  <c r="AZ513" i="3"/>
  <c r="AZ579" i="3"/>
  <c r="AZ564" i="3"/>
  <c r="AZ586" i="3"/>
  <c r="U23" i="34"/>
  <c r="AB35" i="21"/>
  <c r="AC40" i="33"/>
  <c r="U8" i="36"/>
  <c r="AB8" i="36"/>
  <c r="AB31" i="36"/>
  <c r="U31" i="36"/>
  <c r="AC31" i="37"/>
  <c r="AC8" i="39"/>
  <c r="W8" i="39"/>
  <c r="AB42" i="34"/>
  <c r="U42" i="34"/>
  <c r="BL580" i="3"/>
  <c r="AZ580" i="3" s="1"/>
  <c r="BL573" i="3"/>
  <c r="BA573" i="3"/>
  <c r="BL566" i="3"/>
  <c r="AZ566" i="3" s="1"/>
  <c r="BL586" i="3"/>
  <c r="J12" i="33"/>
  <c r="H12" i="33"/>
  <c r="F44" i="39"/>
  <c r="J44" i="39"/>
  <c r="W38" i="34"/>
  <c r="AC38" i="34"/>
  <c r="AB34" i="37"/>
  <c r="U34" i="37"/>
  <c r="AZ548" i="3"/>
  <c r="AA34" i="34"/>
  <c r="S34" i="34"/>
  <c r="H12" i="34"/>
  <c r="F12" i="34"/>
  <c r="F33" i="36"/>
  <c r="J33" i="36"/>
  <c r="F38" i="40"/>
  <c r="J38" i="40"/>
  <c r="G556" i="3"/>
  <c r="AZ398" i="3"/>
  <c r="AZ405" i="3"/>
  <c r="AZ409" i="3"/>
  <c r="AZ427" i="3"/>
  <c r="AZ429" i="3"/>
  <c r="AZ440" i="3"/>
  <c r="AZ459" i="3"/>
  <c r="AZ476" i="3"/>
  <c r="AZ212" i="3"/>
  <c r="BA220" i="3"/>
  <c r="AZ220" i="3" s="1"/>
  <c r="AZ122" i="3"/>
  <c r="AC31" i="35"/>
  <c r="C5" i="11"/>
  <c r="BL16" i="3"/>
  <c r="AZ16" i="3" s="1"/>
  <c r="AZ402" i="3"/>
  <c r="BL410" i="3"/>
  <c r="AZ410" i="3" s="1"/>
  <c r="AZ425" i="3"/>
  <c r="AZ434" i="3"/>
  <c r="BL440" i="3"/>
  <c r="AZ445" i="3"/>
  <c r="BA451" i="3"/>
  <c r="AZ451" i="3" s="1"/>
  <c r="AZ464" i="3"/>
  <c r="BA466" i="3"/>
  <c r="AZ466" i="3" s="1"/>
  <c r="BA470" i="3"/>
  <c r="AZ470" i="3" s="1"/>
  <c r="BL476" i="3"/>
  <c r="AZ486" i="3"/>
  <c r="BL340" i="3"/>
  <c r="AZ340" i="3" s="1"/>
  <c r="BL15" i="3"/>
  <c r="AZ15" i="3" s="1"/>
  <c r="BL400" i="3"/>
  <c r="AZ400" i="3" s="1"/>
  <c r="BL403" i="3"/>
  <c r="AZ403" i="3" s="1"/>
  <c r="AZ406" i="3"/>
  <c r="BL407" i="3"/>
  <c r="AZ407" i="3" s="1"/>
  <c r="BA414" i="3"/>
  <c r="AZ414" i="3" s="1"/>
  <c r="AZ415" i="3"/>
  <c r="BA417" i="3"/>
  <c r="AZ417" i="3" s="1"/>
  <c r="AZ418" i="3"/>
  <c r="AZ420" i="3"/>
  <c r="AZ424" i="3"/>
  <c r="AZ443" i="3"/>
  <c r="AZ444" i="3"/>
  <c r="AZ446" i="3"/>
  <c r="AZ448" i="3"/>
  <c r="BA452" i="3"/>
  <c r="AZ452" i="3" s="1"/>
  <c r="AZ456" i="3"/>
  <c r="AZ458" i="3"/>
  <c r="AZ462" i="3"/>
  <c r="AZ463" i="3"/>
  <c r="AZ477" i="3"/>
  <c r="AZ479" i="3"/>
  <c r="AZ482" i="3"/>
  <c r="AZ485" i="3"/>
  <c r="AZ487" i="3"/>
  <c r="AZ489" i="3"/>
  <c r="BL381" i="3"/>
  <c r="AZ381" i="3" s="1"/>
  <c r="BA385" i="3"/>
  <c r="AZ385" i="3" s="1"/>
  <c r="AZ395" i="3"/>
  <c r="BA214" i="3"/>
  <c r="AZ214" i="3" s="1"/>
  <c r="AZ217" i="3"/>
  <c r="AZ284" i="3"/>
  <c r="BN5" i="3"/>
  <c r="G29" i="6" s="1"/>
  <c r="BS5" i="3"/>
  <c r="F28" i="6" s="1"/>
  <c r="BL428" i="3"/>
  <c r="AZ428" i="3" s="1"/>
  <c r="BL432" i="3"/>
  <c r="AZ432" i="3" s="1"/>
  <c r="BA436" i="3"/>
  <c r="AZ436" i="3" s="1"/>
  <c r="BA439" i="3"/>
  <c r="AZ439" i="3" s="1"/>
  <c r="BL449" i="3"/>
  <c r="AZ449" i="3" s="1"/>
  <c r="G455" i="3"/>
  <c r="BA468" i="3"/>
  <c r="AZ468" i="3" s="1"/>
  <c r="BA472" i="3"/>
  <c r="AZ472" i="3" s="1"/>
  <c r="BA475" i="3"/>
  <c r="AZ475" i="3" s="1"/>
  <c r="BL478" i="3"/>
  <c r="AZ478" i="3" s="1"/>
  <c r="G491" i="3"/>
  <c r="BL312" i="3"/>
  <c r="AZ312" i="3" s="1"/>
  <c r="BA323" i="3"/>
  <c r="AZ323" i="3" s="1"/>
  <c r="BL333" i="3"/>
  <c r="AZ333" i="3" s="1"/>
  <c r="BL348" i="3"/>
  <c r="AZ348" i="3" s="1"/>
  <c r="BA358" i="3"/>
  <c r="AZ358" i="3" s="1"/>
  <c r="G369" i="3"/>
  <c r="BL393" i="3"/>
  <c r="AZ393" i="3" s="1"/>
  <c r="G208" i="3"/>
  <c r="BA213" i="3"/>
  <c r="AZ213" i="3" s="1"/>
  <c r="BA218" i="3"/>
  <c r="AZ218" i="3" s="1"/>
  <c r="BL223" i="3"/>
  <c r="AZ223" i="3" s="1"/>
  <c r="AZ226" i="3"/>
  <c r="AZ246" i="3"/>
  <c r="AZ267" i="3"/>
  <c r="AZ272" i="3"/>
  <c r="AZ289" i="3"/>
  <c r="AZ294" i="3"/>
  <c r="BL135" i="3"/>
  <c r="AZ135" i="3" s="1"/>
  <c r="C21" i="68"/>
  <c r="C40" i="68"/>
  <c r="BL435" i="3"/>
  <c r="BL438" i="3"/>
  <c r="BL453" i="3"/>
  <c r="AZ453" i="3" s="1"/>
  <c r="BL467" i="3"/>
  <c r="AZ467" i="3" s="1"/>
  <c r="BL471" i="3"/>
  <c r="AZ471" i="3" s="1"/>
  <c r="BL474" i="3"/>
  <c r="AZ474" i="3" s="1"/>
  <c r="BA490" i="3"/>
  <c r="AZ490" i="3" s="1"/>
  <c r="BA307" i="3"/>
  <c r="AZ307" i="3" s="1"/>
  <c r="BL317" i="3"/>
  <c r="AZ317" i="3" s="1"/>
  <c r="BA332" i="3"/>
  <c r="AZ332" i="3" s="1"/>
  <c r="BL354" i="3"/>
  <c r="AZ354" i="3" s="1"/>
  <c r="BA368" i="3"/>
  <c r="AZ368" i="3" s="1"/>
  <c r="BA397" i="3"/>
  <c r="AZ397" i="3" s="1"/>
  <c r="BL221" i="3"/>
  <c r="AZ221" i="3" s="1"/>
  <c r="BL224" i="3"/>
  <c r="AZ224" i="3" s="1"/>
  <c r="BA231" i="3"/>
  <c r="AZ231" i="3" s="1"/>
  <c r="BA232" i="3"/>
  <c r="AZ232" i="3" s="1"/>
  <c r="BA233" i="3"/>
  <c r="AZ233" i="3" s="1"/>
  <c r="BA234" i="3"/>
  <c r="AZ234" i="3" s="1"/>
  <c r="BA235" i="3"/>
  <c r="AZ235" i="3" s="1"/>
  <c r="BL237" i="3"/>
  <c r="AZ237" i="3" s="1"/>
  <c r="BA239" i="3"/>
  <c r="AZ239" i="3" s="1"/>
  <c r="BA240" i="3"/>
  <c r="AZ240" i="3" s="1"/>
  <c r="BA241" i="3"/>
  <c r="AZ241" i="3" s="1"/>
  <c r="BL243" i="3"/>
  <c r="AZ243" i="3" s="1"/>
  <c r="BL252" i="3"/>
  <c r="AZ252" i="3" s="1"/>
  <c r="BL258" i="3"/>
  <c r="AZ258" i="3" s="1"/>
  <c r="BA260" i="3"/>
  <c r="AZ260" i="3" s="1"/>
  <c r="BA261" i="3"/>
  <c r="AZ261" i="3" s="1"/>
  <c r="BL263" i="3"/>
  <c r="AZ263" i="3" s="1"/>
  <c r="BL269" i="3"/>
  <c r="AZ269" i="3" s="1"/>
  <c r="BA277" i="3"/>
  <c r="AZ277" i="3" s="1"/>
  <c r="BL279" i="3"/>
  <c r="AZ279" i="3" s="1"/>
  <c r="BL284" i="3"/>
  <c r="BL292" i="3"/>
  <c r="AZ292" i="3" s="1"/>
  <c r="BL296" i="3"/>
  <c r="AZ296" i="3" s="1"/>
  <c r="BA298" i="3"/>
  <c r="AZ298" i="3" s="1"/>
  <c r="BA299" i="3"/>
  <c r="AZ299" i="3" s="1"/>
  <c r="BA116" i="3"/>
  <c r="AZ116" i="3" s="1"/>
  <c r="BL123" i="3"/>
  <c r="AZ123" i="3" s="1"/>
  <c r="AZ65" i="3"/>
  <c r="Z12" i="43"/>
  <c r="Z10" i="43"/>
  <c r="BK5" i="3"/>
  <c r="BG5" i="3"/>
  <c r="BC5" i="3"/>
  <c r="BM5" i="3"/>
  <c r="F29" i="6" s="1"/>
  <c r="E29" i="6" s="1"/>
  <c r="K15" i="1" s="1"/>
  <c r="BL421" i="3"/>
  <c r="AZ421" i="3" s="1"/>
  <c r="BA426" i="3"/>
  <c r="AZ426" i="3" s="1"/>
  <c r="G430" i="3"/>
  <c r="BA435" i="3"/>
  <c r="AZ435" i="3" s="1"/>
  <c r="BA438" i="3"/>
  <c r="AZ438" i="3" s="1"/>
  <c r="BL441" i="3"/>
  <c r="AZ441" i="3" s="1"/>
  <c r="G447" i="3"/>
  <c r="G458" i="3"/>
  <c r="BA461" i="3"/>
  <c r="AZ461" i="3" s="1"/>
  <c r="G480" i="3"/>
  <c r="BA483" i="3"/>
  <c r="AZ483" i="3" s="1"/>
  <c r="G488" i="3"/>
  <c r="BL492" i="3"/>
  <c r="AZ492" i="3" s="1"/>
  <c r="BA316" i="3"/>
  <c r="AZ316" i="3" s="1"/>
  <c r="BL330" i="3"/>
  <c r="AZ330" i="3" s="1"/>
  <c r="G345" i="3"/>
  <c r="BA353" i="3"/>
  <c r="AZ353" i="3" s="1"/>
  <c r="BL365" i="3"/>
  <c r="AZ365" i="3" s="1"/>
  <c r="BA388" i="3"/>
  <c r="AZ388" i="3" s="1"/>
  <c r="BL396" i="3"/>
  <c r="AZ396" i="3" s="1"/>
  <c r="BA210" i="3"/>
  <c r="AZ210" i="3" s="1"/>
  <c r="BA215" i="3"/>
  <c r="AZ215" i="3" s="1"/>
  <c r="BL230" i="3"/>
  <c r="AZ230" i="3" s="1"/>
  <c r="BL238" i="3"/>
  <c r="AZ238" i="3" s="1"/>
  <c r="BA247" i="3"/>
  <c r="AZ247" i="3" s="1"/>
  <c r="BA248" i="3"/>
  <c r="AZ248" i="3" s="1"/>
  <c r="BA249" i="3"/>
  <c r="AZ249" i="3" s="1"/>
  <c r="BA250" i="3"/>
  <c r="AZ250" i="3" s="1"/>
  <c r="BA251" i="3"/>
  <c r="AZ251" i="3" s="1"/>
  <c r="BL253" i="3"/>
  <c r="AZ253" i="3" s="1"/>
  <c r="BA255" i="3"/>
  <c r="AZ255" i="3" s="1"/>
  <c r="BA256" i="3"/>
  <c r="AZ256" i="3" s="1"/>
  <c r="BA257" i="3"/>
  <c r="AZ257" i="3" s="1"/>
  <c r="BL259" i="3"/>
  <c r="AZ259" i="3" s="1"/>
  <c r="BL276" i="3"/>
  <c r="AZ276" i="3" s="1"/>
  <c r="BL280" i="3"/>
  <c r="AZ280" i="3" s="1"/>
  <c r="BA282" i="3"/>
  <c r="AZ282" i="3" s="1"/>
  <c r="BA283" i="3"/>
  <c r="AZ283" i="3" s="1"/>
  <c r="BA290" i="3"/>
  <c r="AZ290" i="3" s="1"/>
  <c r="BA291" i="3"/>
  <c r="AZ291" i="3" s="1"/>
  <c r="BL297" i="3"/>
  <c r="AZ297" i="3" s="1"/>
  <c r="BL302" i="3"/>
  <c r="AZ302" i="3" s="1"/>
  <c r="BL113" i="3"/>
  <c r="AZ113" i="3" s="1"/>
  <c r="BL118" i="3"/>
  <c r="AZ118" i="3" s="1"/>
  <c r="BL126" i="3"/>
  <c r="AZ126" i="3" s="1"/>
  <c r="BA129" i="3"/>
  <c r="AZ129" i="3" s="1"/>
  <c r="BA134" i="3"/>
  <c r="AZ134" i="3" s="1"/>
  <c r="BL137" i="3"/>
  <c r="AZ137" i="3" s="1"/>
  <c r="AZ46" i="3"/>
  <c r="K108" i="43"/>
  <c r="K100" i="43"/>
  <c r="N108" i="43"/>
  <c r="N100" i="43"/>
  <c r="W21" i="34"/>
  <c r="AC21" i="34"/>
  <c r="S25" i="40"/>
  <c r="AA25" i="40"/>
  <c r="AA21" i="71"/>
  <c r="AA20" i="71"/>
  <c r="AA18" i="71"/>
  <c r="AA3" i="71"/>
  <c r="AA12" i="71"/>
  <c r="AA15" i="71"/>
  <c r="AA14" i="71"/>
  <c r="BA120" i="3"/>
  <c r="AZ120" i="3" s="1"/>
  <c r="G123" i="3"/>
  <c r="G128" i="3"/>
  <c r="G134" i="3"/>
  <c r="BL143" i="3"/>
  <c r="AZ143" i="3" s="1"/>
  <c r="BL146" i="3"/>
  <c r="AZ146" i="3" s="1"/>
  <c r="G150" i="3"/>
  <c r="G155" i="3"/>
  <c r="BL161" i="3"/>
  <c r="AZ161" i="3" s="1"/>
  <c r="G164" i="3"/>
  <c r="BL167" i="3"/>
  <c r="AZ167" i="3" s="1"/>
  <c r="BL169" i="3"/>
  <c r="AZ169" i="3" s="1"/>
  <c r="BA174" i="3"/>
  <c r="AZ174" i="3" s="1"/>
  <c r="BA177" i="3"/>
  <c r="AZ177" i="3" s="1"/>
  <c r="BA181" i="3"/>
  <c r="AZ181" i="3" s="1"/>
  <c r="BA186" i="3"/>
  <c r="AZ186" i="3" s="1"/>
  <c r="BA188" i="3"/>
  <c r="AZ188" i="3" s="1"/>
  <c r="BA192" i="3"/>
  <c r="AZ192" i="3" s="1"/>
  <c r="BL198" i="3"/>
  <c r="AZ198" i="3" s="1"/>
  <c r="BL206" i="3"/>
  <c r="AZ206" i="3" s="1"/>
  <c r="BL18" i="3"/>
  <c r="AZ18" i="3" s="1"/>
  <c r="BA19" i="3"/>
  <c r="AZ19" i="3" s="1"/>
  <c r="BL21" i="3"/>
  <c r="AZ21" i="3" s="1"/>
  <c r="BA24" i="3"/>
  <c r="AZ24" i="3" s="1"/>
  <c r="BL27" i="3"/>
  <c r="AZ27" i="3" s="1"/>
  <c r="G30" i="3"/>
  <c r="BA32" i="3"/>
  <c r="AZ32" i="3" s="1"/>
  <c r="BA34" i="3"/>
  <c r="AZ34" i="3" s="1"/>
  <c r="BL36" i="3"/>
  <c r="AZ36" i="3" s="1"/>
  <c r="BL39" i="3"/>
  <c r="AZ39" i="3" s="1"/>
  <c r="BL41" i="3"/>
  <c r="AZ41" i="3" s="1"/>
  <c r="BL51" i="3"/>
  <c r="AZ51" i="3" s="1"/>
  <c r="G53" i="3"/>
  <c r="BL60" i="3"/>
  <c r="AZ60" i="3" s="1"/>
  <c r="BA63" i="3"/>
  <c r="AZ63" i="3" s="1"/>
  <c r="BA69" i="3"/>
  <c r="AZ69" i="3" s="1"/>
  <c r="BL85" i="3"/>
  <c r="AZ85" i="3" s="1"/>
  <c r="BA91" i="3"/>
  <c r="AZ92" i="3"/>
  <c r="AZ100" i="3"/>
  <c r="BL105" i="3"/>
  <c r="AZ105" i="3" s="1"/>
  <c r="I108" i="43"/>
  <c r="I100" i="43"/>
  <c r="AB18" i="36"/>
  <c r="U18" i="36"/>
  <c r="AB15" i="71"/>
  <c r="F16" i="71"/>
  <c r="F17" i="71" s="1"/>
  <c r="F18" i="71" s="1"/>
  <c r="V18" i="71" s="1"/>
  <c r="AB14" i="71"/>
  <c r="D36" i="71"/>
  <c r="C37" i="71"/>
  <c r="BL121" i="3"/>
  <c r="AZ121" i="3" s="1"/>
  <c r="BA125" i="3"/>
  <c r="AZ125" i="3" s="1"/>
  <c r="BA132" i="3"/>
  <c r="AZ132" i="3" s="1"/>
  <c r="BL138" i="3"/>
  <c r="AZ138" i="3" s="1"/>
  <c r="BA142" i="3"/>
  <c r="AZ142" i="3" s="1"/>
  <c r="BA145" i="3"/>
  <c r="AZ145" i="3" s="1"/>
  <c r="BA149" i="3"/>
  <c r="AZ149" i="3" s="1"/>
  <c r="BA154" i="3"/>
  <c r="AZ154" i="3" s="1"/>
  <c r="BA156" i="3"/>
  <c r="AZ156" i="3" s="1"/>
  <c r="BA160" i="3"/>
  <c r="AZ160" i="3" s="1"/>
  <c r="BL166" i="3"/>
  <c r="AZ166" i="3" s="1"/>
  <c r="BL175" i="3"/>
  <c r="AZ175" i="3" s="1"/>
  <c r="BL178" i="3"/>
  <c r="AZ178" i="3" s="1"/>
  <c r="G182" i="3"/>
  <c r="G187" i="3"/>
  <c r="BL193" i="3"/>
  <c r="AZ193" i="3" s="1"/>
  <c r="G196" i="3"/>
  <c r="BL199" i="3"/>
  <c r="AZ199" i="3" s="1"/>
  <c r="BL201" i="3"/>
  <c r="AZ201" i="3" s="1"/>
  <c r="BA205" i="3"/>
  <c r="AZ205" i="3" s="1"/>
  <c r="BA207" i="3"/>
  <c r="AZ207" i="3" s="1"/>
  <c r="G20" i="3"/>
  <c r="BA22" i="3"/>
  <c r="AZ22" i="3" s="1"/>
  <c r="G25" i="3"/>
  <c r="BA29" i="3"/>
  <c r="AZ29" i="3" s="1"/>
  <c r="BL33" i="3"/>
  <c r="AZ33" i="3" s="1"/>
  <c r="G35" i="3"/>
  <c r="BA40" i="3"/>
  <c r="AZ40" i="3" s="1"/>
  <c r="BL44" i="3"/>
  <c r="AZ44" i="3" s="1"/>
  <c r="BA47" i="3"/>
  <c r="AZ47" i="3" s="1"/>
  <c r="BA50" i="3"/>
  <c r="AZ50" i="3" s="1"/>
  <c r="BA52" i="3"/>
  <c r="AZ52" i="3" s="1"/>
  <c r="BL54" i="3"/>
  <c r="AZ54" i="3" s="1"/>
  <c r="BL57" i="3"/>
  <c r="AZ57" i="3" s="1"/>
  <c r="BA71" i="3"/>
  <c r="AZ73" i="3"/>
  <c r="BA76" i="3"/>
  <c r="AZ78" i="3"/>
  <c r="BA81" i="3"/>
  <c r="AZ87" i="3"/>
  <c r="G103" i="3"/>
  <c r="AB21" i="33"/>
  <c r="U21" i="33"/>
  <c r="AB21" i="37"/>
  <c r="U21" i="37"/>
  <c r="AB20" i="71"/>
  <c r="AB18" i="71"/>
  <c r="AB19" i="71"/>
  <c r="D9" i="71"/>
  <c r="C8" i="71"/>
  <c r="D8" i="71" s="1"/>
  <c r="BL71" i="3"/>
  <c r="BL76" i="3"/>
  <c r="BL81" i="3"/>
  <c r="AZ108" i="3"/>
  <c r="B7" i="1"/>
  <c r="E7" i="1" s="1"/>
  <c r="F3" i="35"/>
  <c r="B55" i="43"/>
  <c r="B66" i="43"/>
  <c r="AB17" i="71"/>
  <c r="AB16" i="71"/>
  <c r="C20" i="71"/>
  <c r="Y19" i="71"/>
  <c r="Z19" i="71" s="1"/>
  <c r="AB23" i="71"/>
  <c r="F24" i="71"/>
  <c r="F25" i="71" s="1"/>
  <c r="F26" i="71" s="1"/>
  <c r="AB22" i="71"/>
  <c r="E49" i="71"/>
  <c r="E50" i="71" s="1"/>
  <c r="U50" i="71" s="1"/>
  <c r="B61" i="71"/>
  <c r="B60" i="71" s="1"/>
  <c r="S62" i="71"/>
  <c r="V62" i="71"/>
  <c r="F61" i="71"/>
  <c r="F60" i="71" s="1"/>
  <c r="AA10" i="43"/>
  <c r="AA12" i="43"/>
  <c r="AD12" i="43"/>
  <c r="AD10" i="43"/>
  <c r="X13" i="71"/>
  <c r="B13" i="71"/>
  <c r="B12" i="71" s="1"/>
  <c r="AB11" i="71"/>
  <c r="AB12" i="71"/>
  <c r="AB7" i="71"/>
  <c r="G18" i="3"/>
  <c r="G19" i="3"/>
  <c r="G70" i="3"/>
  <c r="BL91" i="3"/>
  <c r="BL93" i="3"/>
  <c r="AZ93" i="3" s="1"/>
  <c r="BL96" i="3"/>
  <c r="AZ96" i="3" s="1"/>
  <c r="BL99" i="3"/>
  <c r="AZ99" i="3" s="1"/>
  <c r="G101" i="3"/>
  <c r="BA103" i="3"/>
  <c r="AZ103" i="3" s="1"/>
  <c r="G106" i="3"/>
  <c r="BA110" i="3"/>
  <c r="AZ110" i="3" s="1"/>
  <c r="BL112" i="3"/>
  <c r="AZ112" i="3" s="1"/>
  <c r="AB21" i="21"/>
  <c r="C29" i="39"/>
  <c r="AA18" i="36"/>
  <c r="S18" i="36"/>
  <c r="Y16" i="71"/>
  <c r="Z16" i="71" s="1"/>
  <c r="Y14" i="71"/>
  <c r="Z14" i="71" s="1"/>
  <c r="Y15" i="71"/>
  <c r="Z15" i="71" s="1"/>
  <c r="Y17" i="71"/>
  <c r="Z17" i="71" s="1"/>
  <c r="Y22" i="71"/>
  <c r="Z22" i="71" s="1"/>
  <c r="Y21" i="71"/>
  <c r="Z21" i="71" s="1"/>
  <c r="Y20" i="71"/>
  <c r="Z20" i="71" s="1"/>
  <c r="C41" i="71"/>
  <c r="D40" i="71"/>
  <c r="D65" i="71"/>
  <c r="C64" i="71"/>
  <c r="D64" i="71" s="1"/>
  <c r="AB10" i="71"/>
  <c r="AB8" i="71"/>
  <c r="Y7" i="71"/>
  <c r="Z7" i="71" s="1"/>
  <c r="G12" i="1"/>
  <c r="G8" i="1"/>
  <c r="E59" i="43"/>
  <c r="B57" i="43" s="1"/>
  <c r="D13" i="71"/>
  <c r="C12" i="71"/>
  <c r="D12" i="71" s="1"/>
  <c r="T14" i="71"/>
  <c r="D14" i="71"/>
  <c r="U14" i="71" s="1"/>
  <c r="D24" i="71"/>
  <c r="C25" i="71"/>
  <c r="C45" i="71"/>
  <c r="AI10" i="43"/>
  <c r="AE12" i="43"/>
  <c r="AE10" i="43"/>
  <c r="AA5" i="71"/>
  <c r="AA10" i="71"/>
  <c r="X8" i="71"/>
  <c r="AA7" i="71"/>
  <c r="G13" i="1"/>
  <c r="G9" i="1"/>
  <c r="T50" i="71"/>
  <c r="T30" i="71"/>
  <c r="AB13" i="71"/>
  <c r="C17" i="71"/>
  <c r="D16" i="71"/>
  <c r="AA17" i="71"/>
  <c r="Y18" i="71"/>
  <c r="Z18" i="71" s="1"/>
  <c r="X22" i="71"/>
  <c r="X18" i="71"/>
  <c r="E37" i="71"/>
  <c r="E38" i="71" s="1"/>
  <c r="U38" i="71" s="1"/>
  <c r="F41" i="71"/>
  <c r="F42" i="71" s="1"/>
  <c r="V42" i="71" s="1"/>
  <c r="C53" i="71"/>
  <c r="O54" i="71"/>
  <c r="D70" i="71"/>
  <c r="C69" i="71"/>
  <c r="AA13" i="71"/>
  <c r="AA11" i="71"/>
  <c r="Y10" i="71"/>
  <c r="Z10" i="71" s="1"/>
  <c r="Y12" i="71"/>
  <c r="Z12" i="71" s="1"/>
  <c r="Y11" i="71"/>
  <c r="Z11" i="71" s="1"/>
  <c r="AB9" i="71"/>
  <c r="Y8" i="71"/>
  <c r="Z8" i="71" s="1"/>
  <c r="X9" i="71"/>
  <c r="X6" i="71"/>
  <c r="X7" i="71"/>
  <c r="X5" i="71"/>
  <c r="C61" i="71"/>
  <c r="E17" i="71"/>
  <c r="E18" i="71" s="1"/>
  <c r="U18" i="71" s="1"/>
  <c r="P74" i="67"/>
  <c r="B10" i="71"/>
  <c r="X10" i="71"/>
  <c r="AA9" i="71"/>
  <c r="AA8" i="71"/>
  <c r="AB6" i="71"/>
  <c r="AB5" i="71"/>
  <c r="E20" i="71"/>
  <c r="E21" i="71" s="1"/>
  <c r="E22" i="71" s="1"/>
  <c r="U22" i="71" s="1"/>
  <c r="AA19" i="71"/>
  <c r="X19" i="71"/>
  <c r="X20" i="71"/>
  <c r="AB21" i="71"/>
  <c r="Y5" i="71"/>
  <c r="Z5" i="71" s="1"/>
  <c r="Y3" i="71"/>
  <c r="Z3" i="71" s="1"/>
  <c r="AA6" i="71"/>
  <c r="J7" i="33"/>
  <c r="W7" i="33" s="1"/>
  <c r="H7" i="33"/>
  <c r="AB7" i="33" s="1"/>
  <c r="T48" i="33" s="1"/>
  <c r="G48" i="33" s="1"/>
  <c r="J51" i="15"/>
  <c r="D23" i="67"/>
  <c r="D22" i="67"/>
  <c r="C40" i="69"/>
  <c r="E11" i="43"/>
  <c r="E9" i="43"/>
  <c r="E10" i="43"/>
  <c r="E8" i="43"/>
  <c r="F81" i="43"/>
  <c r="N4" i="43"/>
  <c r="N2" i="43"/>
  <c r="P61" i="15"/>
  <c r="F32" i="15"/>
  <c r="F60" i="15" s="1"/>
  <c r="F31" i="12"/>
  <c r="C31" i="12" s="1"/>
  <c r="F54" i="9"/>
  <c r="F32" i="67"/>
  <c r="F60" i="67" s="1"/>
  <c r="F30" i="11"/>
  <c r="M18" i="15"/>
  <c r="F30" i="69"/>
  <c r="C48" i="69" s="1"/>
  <c r="F28" i="67"/>
  <c r="C28" i="67" s="1"/>
  <c r="F30" i="68"/>
  <c r="C30" i="68" s="1"/>
  <c r="C36" i="11"/>
  <c r="D68" i="9"/>
  <c r="F28" i="15"/>
  <c r="C28" i="15" s="1"/>
  <c r="M18" i="67"/>
  <c r="F52" i="9"/>
  <c r="D93" i="9"/>
  <c r="T7" i="1"/>
  <c r="Q16" i="1"/>
  <c r="F27" i="69" s="1"/>
  <c r="G5" i="3"/>
  <c r="B3" i="3" s="1"/>
  <c r="E69" i="3" s="1"/>
  <c r="E213" i="3"/>
  <c r="E145" i="3"/>
  <c r="E221" i="3"/>
  <c r="E301" i="3"/>
  <c r="E586" i="3"/>
  <c r="E165" i="3"/>
  <c r="E539" i="3"/>
  <c r="E563" i="3"/>
  <c r="E319" i="3"/>
  <c r="E153" i="3"/>
  <c r="E328" i="3"/>
  <c r="E574" i="3"/>
  <c r="E285" i="3"/>
  <c r="E390" i="3"/>
  <c r="E523" i="3"/>
  <c r="E418" i="3"/>
  <c r="E321" i="3"/>
  <c r="E169" i="3"/>
  <c r="E11" i="6"/>
  <c r="E61" i="39" s="1"/>
  <c r="O7" i="1"/>
  <c r="P7" i="1" s="1"/>
  <c r="AQ7" i="1"/>
  <c r="P11" i="1"/>
  <c r="E12" i="6"/>
  <c r="E13" i="6"/>
  <c r="E10" i="6"/>
  <c r="E14" i="6"/>
  <c r="E15" i="6"/>
  <c r="AR8" i="1"/>
  <c r="T8" i="1"/>
  <c r="O9" i="1"/>
  <c r="P9" i="1" s="1"/>
  <c r="AR11" i="1"/>
  <c r="D19" i="12"/>
  <c r="C19" i="12" s="1"/>
  <c r="T11" i="1"/>
  <c r="E51" i="40"/>
  <c r="P10" i="1"/>
  <c r="BL13" i="3"/>
  <c r="BA13" i="3"/>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4" i="43"/>
  <c r="O17" i="43"/>
  <c r="M17" i="43"/>
  <c r="N17" i="43"/>
  <c r="L17" i="43"/>
  <c r="E17" i="43"/>
  <c r="T35" i="4"/>
  <c r="A19" i="51" s="1"/>
  <c r="B14" i="72" s="1"/>
  <c r="A15" i="62"/>
  <c r="B61" i="72" s="1"/>
  <c r="J56" i="9"/>
  <c r="J57" i="9" s="1"/>
  <c r="J59" i="9" s="1"/>
  <c r="J61" i="9" s="1"/>
  <c r="K56" i="9"/>
  <c r="N56" i="9"/>
  <c r="C65" i="40"/>
  <c r="D63" i="40"/>
  <c r="AA7" i="33"/>
  <c r="R48" i="33" s="1"/>
  <c r="E48" i="33" s="1"/>
  <c r="J1" i="73"/>
  <c r="G52" i="33"/>
  <c r="H52" i="33" s="1"/>
  <c r="U7" i="33"/>
  <c r="L59" i="34"/>
  <c r="M59" i="34" s="1"/>
  <c r="N59" i="34" s="1"/>
  <c r="O59" i="34" s="1"/>
  <c r="F48" i="35"/>
  <c r="E46" i="36"/>
  <c r="D58" i="21"/>
  <c r="G52" i="37"/>
  <c r="C70" i="39"/>
  <c r="D68" i="39"/>
  <c r="F7" i="71"/>
  <c r="F6" i="71" s="1"/>
  <c r="F5" i="71" s="1"/>
  <c r="Y6" i="71"/>
  <c r="Z6" i="71" s="1"/>
  <c r="B7" i="49"/>
  <c r="E7" i="49"/>
  <c r="B15" i="49"/>
  <c r="AB3" i="71"/>
  <c r="X3" i="71"/>
  <c r="C7" i="71"/>
  <c r="E7" i="71"/>
  <c r="E6"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F71" i="67"/>
  <c r="F66" i="15"/>
  <c r="F50" i="15"/>
  <c r="M7" i="15"/>
  <c r="J6" i="15" s="1"/>
  <c r="B10" i="70"/>
  <c r="F68" i="67"/>
  <c r="F66" i="67"/>
  <c r="L59" i="67"/>
  <c r="M59" i="67"/>
  <c r="N59" i="67"/>
  <c r="L58" i="67"/>
  <c r="F68" i="15"/>
  <c r="F65" i="15"/>
  <c r="Q71" i="67"/>
  <c r="B13" i="70"/>
  <c r="B8" i="70"/>
  <c r="C34" i="67"/>
  <c r="F63" i="67"/>
  <c r="C62" i="67" s="1"/>
  <c r="B20" i="31"/>
  <c r="B7" i="70"/>
  <c r="F69" i="67"/>
  <c r="J20" i="67"/>
  <c r="F65" i="67"/>
  <c r="Q71" i="15"/>
  <c r="M7" i="67"/>
  <c r="J6" i="67" s="1"/>
  <c r="F50" i="67"/>
  <c r="F51" i="67"/>
  <c r="C6" i="67"/>
  <c r="B11" i="70"/>
  <c r="I1" i="73"/>
  <c r="B39" i="1" s="1"/>
  <c r="C27" i="15"/>
  <c r="F51" i="15"/>
  <c r="F64" i="15"/>
  <c r="I54" i="67"/>
  <c r="J57" i="67"/>
  <c r="J55" i="67" s="1"/>
  <c r="J58" i="67" s="1"/>
  <c r="Q50" i="67" s="1"/>
  <c r="L56" i="67"/>
  <c r="C27" i="67"/>
  <c r="B12" i="70"/>
  <c r="B9" i="70"/>
  <c r="F31" i="15"/>
  <c r="F59" i="67"/>
  <c r="M17" i="67"/>
  <c r="M17" i="15"/>
  <c r="F31" i="67"/>
  <c r="F59" i="15"/>
  <c r="C36" i="68"/>
  <c r="F27" i="68"/>
  <c r="D9" i="68"/>
  <c r="C17" i="67"/>
  <c r="C14" i="67"/>
  <c r="D5" i="73"/>
  <c r="J15" i="15"/>
  <c r="D3" i="73"/>
  <c r="F6" i="15"/>
  <c r="L48" i="15"/>
  <c r="M27" i="15"/>
  <c r="F43" i="15"/>
  <c r="C16" i="15"/>
  <c r="D7" i="73"/>
  <c r="C16" i="67"/>
  <c r="D4" i="73"/>
  <c r="L47" i="15"/>
  <c r="AZ91" i="3" l="1"/>
  <c r="E164" i="3"/>
  <c r="F30" i="6"/>
  <c r="F31" i="6" s="1"/>
  <c r="AZ106" i="3"/>
  <c r="AZ62" i="3"/>
  <c r="AZ58" i="3"/>
  <c r="AZ422" i="3"/>
  <c r="AB12" i="21"/>
  <c r="U12" i="21"/>
  <c r="W35" i="39"/>
  <c r="AC35" i="39"/>
  <c r="AZ450" i="3"/>
  <c r="E61" i="3"/>
  <c r="E298" i="3"/>
  <c r="E338" i="3"/>
  <c r="E506" i="3"/>
  <c r="S6" i="3"/>
  <c r="E97" i="3"/>
  <c r="E359" i="3"/>
  <c r="O6" i="3"/>
  <c r="E426" i="3"/>
  <c r="E501" i="3"/>
  <c r="E53" i="3"/>
  <c r="E445" i="3"/>
  <c r="E461" i="3"/>
  <c r="E495" i="3"/>
  <c r="E350" i="3"/>
  <c r="E99" i="3"/>
  <c r="E207" i="3"/>
  <c r="E379" i="3"/>
  <c r="E562" i="3"/>
  <c r="C48" i="68"/>
  <c r="G30" i="6"/>
  <c r="G31" i="6" s="1"/>
  <c r="AZ565" i="3"/>
  <c r="AZ587" i="3"/>
  <c r="I21" i="66"/>
  <c r="D1" i="66" s="1"/>
  <c r="E10" i="66" s="1"/>
  <c r="N53" i="71"/>
  <c r="B52" i="71"/>
  <c r="AZ141" i="3"/>
  <c r="S12" i="35"/>
  <c r="AA12" i="35"/>
  <c r="AC12" i="21"/>
  <c r="W12" i="21"/>
  <c r="AA35" i="39"/>
  <c r="S35" i="39"/>
  <c r="D6" i="52"/>
  <c r="K120" i="9"/>
  <c r="A18" i="62" s="1"/>
  <c r="B64" i="72" s="1"/>
  <c r="F28" i="12"/>
  <c r="C29" i="12" s="1"/>
  <c r="D28" i="12" s="1"/>
  <c r="F27" i="11"/>
  <c r="F71" i="15"/>
  <c r="C6" i="15"/>
  <c r="L58" i="15"/>
  <c r="Q73" i="15" s="1"/>
  <c r="M59" i="15"/>
  <c r="L59" i="15"/>
  <c r="Q74" i="15" s="1"/>
  <c r="J57" i="15"/>
  <c r="J55" i="15" s="1"/>
  <c r="J58" i="15" s="1"/>
  <c r="Q50" i="15" s="1"/>
  <c r="I54" i="15"/>
  <c r="J53" i="15"/>
  <c r="F1" i="15" s="1"/>
  <c r="C52" i="71"/>
  <c r="D53" i="71"/>
  <c r="O53" i="71"/>
  <c r="C18" i="71"/>
  <c r="D17" i="71"/>
  <c r="V26" i="71"/>
  <c r="M19" i="43"/>
  <c r="AA33" i="36"/>
  <c r="S33" i="36"/>
  <c r="AA44" i="39"/>
  <c r="S44" i="39"/>
  <c r="AB34" i="35"/>
  <c r="U34" i="35"/>
  <c r="U12" i="40"/>
  <c r="AB12" i="40"/>
  <c r="W12" i="36"/>
  <c r="AC12" i="36"/>
  <c r="W28" i="21"/>
  <c r="AC28" i="21"/>
  <c r="W23" i="35"/>
  <c r="AC23" i="35"/>
  <c r="S34" i="36"/>
  <c r="AA34" i="36"/>
  <c r="AC29" i="21"/>
  <c r="W29" i="21"/>
  <c r="AC7" i="33"/>
  <c r="V48" i="33" s="1"/>
  <c r="I48" i="33" s="1"/>
  <c r="E28" i="6"/>
  <c r="K14" i="1" s="1"/>
  <c r="E134" i="3"/>
  <c r="E189" i="3"/>
  <c r="E215" i="3"/>
  <c r="E335" i="3"/>
  <c r="E387" i="3"/>
  <c r="AB6" i="3"/>
  <c r="M6" i="3"/>
  <c r="E570" i="3"/>
  <c r="E514" i="3"/>
  <c r="E311" i="3"/>
  <c r="E201" i="3"/>
  <c r="E247" i="3"/>
  <c r="E431" i="3"/>
  <c r="E579" i="3"/>
  <c r="E509" i="3"/>
  <c r="AJ6" i="3"/>
  <c r="E322" i="3"/>
  <c r="E268" i="3"/>
  <c r="E526" i="3"/>
  <c r="E217" i="3"/>
  <c r="E114" i="3"/>
  <c r="E395" i="3"/>
  <c r="E550" i="3"/>
  <c r="E545" i="3"/>
  <c r="E352" i="3"/>
  <c r="E128" i="3"/>
  <c r="E518" i="3"/>
  <c r="E578" i="3"/>
  <c r="E382" i="3"/>
  <c r="E245" i="3"/>
  <c r="E188" i="3"/>
  <c r="E161" i="3"/>
  <c r="E252" i="3"/>
  <c r="AD6" i="3"/>
  <c r="E228" i="3"/>
  <c r="E527" i="3"/>
  <c r="C47" i="69"/>
  <c r="D45" i="69" s="1"/>
  <c r="C30" i="69"/>
  <c r="D61" i="71"/>
  <c r="C60" i="71"/>
  <c r="D60" i="71" s="1"/>
  <c r="C68" i="71"/>
  <c r="D68" i="71" s="1"/>
  <c r="D69" i="71"/>
  <c r="C46" i="71"/>
  <c r="D45" i="71"/>
  <c r="C42" i="71"/>
  <c r="D41" i="71"/>
  <c r="AZ81" i="3"/>
  <c r="AZ71" i="3"/>
  <c r="AC38" i="40"/>
  <c r="W38" i="40"/>
  <c r="AA12" i="34"/>
  <c r="S12" i="34"/>
  <c r="U12" i="33"/>
  <c r="AB12" i="33"/>
  <c r="AZ573" i="3"/>
  <c r="S34" i="35"/>
  <c r="AA34" i="35"/>
  <c r="AC12" i="40"/>
  <c r="W12" i="40"/>
  <c r="AA9" i="36"/>
  <c r="S9" i="36"/>
  <c r="AC9" i="34"/>
  <c r="W9" i="34"/>
  <c r="U23" i="35"/>
  <c r="AB23" i="35"/>
  <c r="AB34" i="36"/>
  <c r="U34" i="36"/>
  <c r="AA46" i="21"/>
  <c r="S46" i="21"/>
  <c r="E5" i="71"/>
  <c r="V6" i="71"/>
  <c r="H7" i="34"/>
  <c r="AB7" i="34" s="1"/>
  <c r="T49" i="34" s="1"/>
  <c r="G49" i="34" s="1"/>
  <c r="J7" i="34"/>
  <c r="E135" i="3"/>
  <c r="E185" i="3"/>
  <c r="E216" i="3"/>
  <c r="E231" i="3"/>
  <c r="E380" i="3"/>
  <c r="E439" i="3"/>
  <c r="E538" i="3"/>
  <c r="E561" i="3"/>
  <c r="AR6" i="3"/>
  <c r="E533" i="3"/>
  <c r="E270" i="3"/>
  <c r="E143" i="3"/>
  <c r="E337" i="3"/>
  <c r="E410" i="3"/>
  <c r="E555" i="3"/>
  <c r="E388" i="3"/>
  <c r="E508" i="3"/>
  <c r="E305" i="3"/>
  <c r="E343" i="3"/>
  <c r="E530" i="3"/>
  <c r="E175" i="3"/>
  <c r="E278" i="3"/>
  <c r="E172" i="3"/>
  <c r="E535" i="3"/>
  <c r="E567" i="3"/>
  <c r="E227" i="3"/>
  <c r="E353" i="3"/>
  <c r="AN6" i="3"/>
  <c r="E402" i="3"/>
  <c r="E303" i="3"/>
  <c r="E159" i="3"/>
  <c r="E91" i="3"/>
  <c r="E180" i="3"/>
  <c r="E271" i="3"/>
  <c r="E107" i="3"/>
  <c r="E542" i="3"/>
  <c r="E16" i="3"/>
  <c r="E525" i="3"/>
  <c r="L56" i="15"/>
  <c r="B9" i="71"/>
  <c r="B8" i="71" s="1"/>
  <c r="B7" i="71" s="1"/>
  <c r="B6" i="71" s="1"/>
  <c r="S10" i="71"/>
  <c r="C26" i="71"/>
  <c r="D25" i="71"/>
  <c r="AA38" i="40"/>
  <c r="S38" i="40"/>
  <c r="U12" i="34"/>
  <c r="AB12" i="34"/>
  <c r="W12" i="33"/>
  <c r="AC12" i="33"/>
  <c r="W34" i="35"/>
  <c r="AC34" i="35"/>
  <c r="AA12" i="36"/>
  <c r="S12" i="36"/>
  <c r="AB9" i="36"/>
  <c r="U9" i="36"/>
  <c r="S9" i="33"/>
  <c r="AA9" i="33"/>
  <c r="S9" i="34"/>
  <c r="AA9" i="34"/>
  <c r="AC14" i="37"/>
  <c r="W14" i="37"/>
  <c r="W34" i="36"/>
  <c r="AC34" i="36"/>
  <c r="U46" i="21"/>
  <c r="AB46" i="21"/>
  <c r="C38" i="71"/>
  <c r="D37" i="71"/>
  <c r="F7" i="34"/>
  <c r="BL5" i="3"/>
  <c r="E254" i="3"/>
  <c r="E130" i="3"/>
  <c r="E230" i="3"/>
  <c r="E294" i="3"/>
  <c r="E320" i="3"/>
  <c r="E407" i="3"/>
  <c r="V6" i="3"/>
  <c r="E551" i="3"/>
  <c r="E559" i="3"/>
  <c r="E358" i="3"/>
  <c r="E151" i="3"/>
  <c r="E229" i="3"/>
  <c r="E396" i="3"/>
  <c r="E569" i="3"/>
  <c r="E516" i="3"/>
  <c r="E239" i="3"/>
  <c r="N6" i="3"/>
  <c r="E282" i="3"/>
  <c r="E553" i="3"/>
  <c r="E366" i="3"/>
  <c r="E125" i="3"/>
  <c r="E415" i="3"/>
  <c r="E260" i="3"/>
  <c r="E329" i="3"/>
  <c r="E510" i="3"/>
  <c r="E205" i="3"/>
  <c r="E385" i="3"/>
  <c r="AI6" i="3"/>
  <c r="E423" i="3"/>
  <c r="E263" i="3"/>
  <c r="E191" i="3"/>
  <c r="E290" i="3"/>
  <c r="E117" i="3"/>
  <c r="E204" i="3"/>
  <c r="E327" i="3"/>
  <c r="E515" i="3"/>
  <c r="E450" i="3"/>
  <c r="E196" i="3"/>
  <c r="C21" i="71"/>
  <c r="D20" i="71"/>
  <c r="AZ76" i="3"/>
  <c r="W33" i="36"/>
  <c r="AC33" i="36"/>
  <c r="AC44" i="39"/>
  <c r="W44" i="39"/>
  <c r="U12" i="36"/>
  <c r="AB12" i="36"/>
  <c r="AC9" i="33"/>
  <c r="W9" i="33"/>
  <c r="AA23" i="35"/>
  <c r="S23" i="35"/>
  <c r="AB9" i="34"/>
  <c r="U9" i="34"/>
  <c r="U14" i="37"/>
  <c r="AB14" i="37"/>
  <c r="U29" i="21"/>
  <c r="AB29" i="21"/>
  <c r="R49" i="33"/>
  <c r="N59" i="15"/>
  <c r="C29" i="69"/>
  <c r="D27" i="69" s="1"/>
  <c r="C9" i="68"/>
  <c r="C29" i="68"/>
  <c r="D27" i="68" s="1"/>
  <c r="C47" i="68"/>
  <c r="D45" i="68" s="1"/>
  <c r="G17" i="43"/>
  <c r="C16" i="43" s="1"/>
  <c r="H83" i="43"/>
  <c r="G83" i="43" s="1"/>
  <c r="H82" i="43"/>
  <c r="G82" i="43" s="1"/>
  <c r="H85" i="43"/>
  <c r="G85" i="43" s="1"/>
  <c r="H84" i="43"/>
  <c r="G84" i="43" s="1"/>
  <c r="H86" i="43"/>
  <c r="G86" i="43" s="1"/>
  <c r="H87" i="43"/>
  <c r="G87" i="43" s="1"/>
  <c r="H81" i="43"/>
  <c r="G81" i="43" s="1"/>
  <c r="H88" i="43"/>
  <c r="G88" i="43" s="1"/>
  <c r="C48" i="11"/>
  <c r="C30" i="11"/>
  <c r="E149" i="3"/>
  <c r="E77" i="3"/>
  <c r="E212" i="3"/>
  <c r="E253" i="3"/>
  <c r="E167" i="3"/>
  <c r="E199" i="3"/>
  <c r="E141" i="3"/>
  <c r="E286" i="3"/>
  <c r="E312" i="3"/>
  <c r="E575" i="3"/>
  <c r="E499" i="3"/>
  <c r="R6" i="3"/>
  <c r="E411" i="3"/>
  <c r="E183" i="3"/>
  <c r="E296" i="3"/>
  <c r="E336" i="3"/>
  <c r="E571" i="3"/>
  <c r="E457" i="3"/>
  <c r="E458" i="3"/>
  <c r="E223" i="3"/>
  <c r="E397" i="3"/>
  <c r="E576" i="3"/>
  <c r="E585" i="3"/>
  <c r="Z6" i="3"/>
  <c r="U6" i="3"/>
  <c r="AG6" i="3"/>
  <c r="AO6" i="3"/>
  <c r="E304" i="3"/>
  <c r="E302" i="3"/>
  <c r="E157" i="3"/>
  <c r="E136" i="3"/>
  <c r="E434" i="3"/>
  <c r="E314" i="3"/>
  <c r="E471" i="3"/>
  <c r="E537" i="3"/>
  <c r="W6" i="3"/>
  <c r="E288" i="3"/>
  <c r="E438" i="3"/>
  <c r="E474" i="3"/>
  <c r="T6" i="3"/>
  <c r="E173" i="3"/>
  <c r="E122" i="3"/>
  <c r="E549" i="3"/>
  <c r="AA6" i="3"/>
  <c r="E552" i="3"/>
  <c r="E502" i="3"/>
  <c r="E421" i="3"/>
  <c r="E237" i="3"/>
  <c r="E565" i="3"/>
  <c r="E17" i="3"/>
  <c r="E261" i="3"/>
  <c r="E503" i="3"/>
  <c r="E181" i="3"/>
  <c r="E236" i="3"/>
  <c r="E262" i="3"/>
  <c r="E306" i="3"/>
  <c r="AK6" i="3"/>
  <c r="E511" i="3"/>
  <c r="E293" i="3"/>
  <c r="E583" i="3"/>
  <c r="E468" i="3"/>
  <c r="E429" i="3"/>
  <c r="E577" i="3"/>
  <c r="AE6" i="3"/>
  <c r="E587" i="3"/>
  <c r="E344" i="3"/>
  <c r="E465" i="3"/>
  <c r="E424" i="3"/>
  <c r="E406" i="3"/>
  <c r="E481" i="3"/>
  <c r="E472" i="3"/>
  <c r="E405" i="3"/>
  <c r="E534" i="3"/>
  <c r="E369" i="3"/>
  <c r="E197" i="3"/>
  <c r="E140" i="3"/>
  <c r="E148" i="3"/>
  <c r="E368" i="3"/>
  <c r="I6" i="3"/>
  <c r="E280" i="3"/>
  <c r="E528" i="3"/>
  <c r="D22" i="43"/>
  <c r="E246" i="3"/>
  <c r="X6" i="3"/>
  <c r="E361" i="3"/>
  <c r="E483" i="3"/>
  <c r="E452" i="3"/>
  <c r="E419" i="3"/>
  <c r="E494" i="3"/>
  <c r="E498" i="3"/>
  <c r="E13" i="3"/>
  <c r="J6" i="3"/>
  <c r="E497" i="3"/>
  <c r="AH6" i="3"/>
  <c r="E556" i="3"/>
  <c r="E376" i="3"/>
  <c r="E360" i="3"/>
  <c r="E490" i="3"/>
  <c r="E451" i="3"/>
  <c r="E440" i="3"/>
  <c r="E408" i="3"/>
  <c r="E422" i="3"/>
  <c r="E512" i="3"/>
  <c r="E507" i="3"/>
  <c r="E469" i="3"/>
  <c r="E486" i="3"/>
  <c r="E456" i="3"/>
  <c r="E427" i="3"/>
  <c r="E543" i="3"/>
  <c r="E564" i="3"/>
  <c r="E493" i="3"/>
  <c r="E393" i="3"/>
  <c r="E105" i="3"/>
  <c r="E116" i="3"/>
  <c r="E238" i="3"/>
  <c r="E85" i="3"/>
  <c r="E89" i="3"/>
  <c r="E269" i="3"/>
  <c r="E156" i="3"/>
  <c r="E244" i="3"/>
  <c r="E453" i="3"/>
  <c r="E536" i="3"/>
  <c r="E568" i="3"/>
  <c r="E124" i="3"/>
  <c r="E399" i="3"/>
  <c r="E347" i="3"/>
  <c r="E45" i="3"/>
  <c r="E224" i="3"/>
  <c r="E193" i="3"/>
  <c r="E313" i="3"/>
  <c r="E519" i="3"/>
  <c r="E532" i="3"/>
  <c r="E573" i="3"/>
  <c r="E529"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120" i="3"/>
  <c r="E277" i="3"/>
  <c r="E177" i="3"/>
  <c r="E133" i="3"/>
  <c r="E330" i="3"/>
  <c r="K6" i="3"/>
  <c r="Q6" i="3"/>
  <c r="E560" i="3"/>
  <c r="E437"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214" i="3"/>
  <c r="E257" i="3"/>
  <c r="E274" i="3"/>
  <c r="E351" i="3"/>
  <c r="E315" i="3"/>
  <c r="E357"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26" i="3"/>
  <c r="E243" i="3"/>
  <c r="E276" i="3"/>
  <c r="E332" i="3"/>
  <c r="E346" i="3"/>
  <c r="E391"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87" i="3"/>
  <c r="E265" i="3"/>
  <c r="E308" i="3"/>
  <c r="E365" i="3"/>
  <c r="E326" i="3"/>
  <c r="E524" i="3"/>
  <c r="E22" i="3"/>
  <c r="E101" i="3"/>
  <c r="E83" i="3"/>
  <c r="E56" i="40"/>
  <c r="C29" i="11"/>
  <c r="D27" i="11" s="1"/>
  <c r="C47" i="11"/>
  <c r="D45" i="11" s="1"/>
  <c r="E30" i="6"/>
  <c r="E60" i="40"/>
  <c r="E65" i="39"/>
  <c r="E16" i="6"/>
  <c r="E57" i="40"/>
  <c r="E62" i="39"/>
  <c r="BA5" i="3"/>
  <c r="E27" i="6" s="1"/>
  <c r="AZ13" i="3"/>
  <c r="E64" i="39"/>
  <c r="E59" i="40"/>
  <c r="E58" i="40"/>
  <c r="E63" i="39"/>
  <c r="E104" i="43"/>
  <c r="E107" i="43"/>
  <c r="E105" i="43"/>
  <c r="E106" i="43"/>
  <c r="E102" i="43"/>
  <c r="E103" i="43"/>
  <c r="E109" i="43"/>
  <c r="M109" i="43"/>
  <c r="M104" i="43"/>
  <c r="M107" i="43"/>
  <c r="M105" i="43"/>
  <c r="M102" i="43"/>
  <c r="M103" i="43"/>
  <c r="M106" i="43"/>
  <c r="N102" i="43"/>
  <c r="N105" i="43"/>
  <c r="N103" i="43"/>
  <c r="N106" i="43"/>
  <c r="N107" i="43"/>
  <c r="N104" i="43"/>
  <c r="N109" i="43"/>
  <c r="K103" i="43"/>
  <c r="K102" i="43"/>
  <c r="K105" i="43"/>
  <c r="K107" i="43"/>
  <c r="K104" i="43"/>
  <c r="K106" i="43"/>
  <c r="K109" i="43"/>
  <c r="H107" i="43"/>
  <c r="H106" i="43"/>
  <c r="H105" i="43"/>
  <c r="H103" i="43"/>
  <c r="H109" i="43"/>
  <c r="H102" i="43"/>
  <c r="H104" i="43"/>
  <c r="I109" i="43"/>
  <c r="I104" i="43"/>
  <c r="I107" i="43"/>
  <c r="I105" i="43"/>
  <c r="I102" i="43"/>
  <c r="I106" i="43"/>
  <c r="I103" i="43"/>
  <c r="D109" i="43"/>
  <c r="D105" i="43"/>
  <c r="D106" i="43"/>
  <c r="D102" i="43"/>
  <c r="D103" i="43"/>
  <c r="D104" i="43"/>
  <c r="D107" i="43"/>
  <c r="F104" i="43"/>
  <c r="F102" i="43"/>
  <c r="F107" i="43"/>
  <c r="F106" i="43"/>
  <c r="F103" i="43"/>
  <c r="F105" i="43"/>
  <c r="F109" i="43"/>
  <c r="L109" i="43"/>
  <c r="L106" i="43"/>
  <c r="L107" i="43"/>
  <c r="L103" i="43"/>
  <c r="L102" i="43"/>
  <c r="L105" i="43"/>
  <c r="L104" i="43"/>
  <c r="J107" i="43"/>
  <c r="J102" i="43"/>
  <c r="J104" i="43"/>
  <c r="J105" i="43"/>
  <c r="J103" i="43"/>
  <c r="J106" i="43"/>
  <c r="J109"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5" i="43"/>
  <c r="D5" i="43"/>
  <c r="E20" i="43"/>
  <c r="P28" i="43" s="1"/>
  <c r="G20" i="43" s="1"/>
  <c r="K1" i="73"/>
  <c r="D65" i="40"/>
  <c r="E63" i="40"/>
  <c r="E68" i="39"/>
  <c r="D70" i="39"/>
  <c r="H52" i="37"/>
  <c r="F46" i="36"/>
  <c r="W7" i="34"/>
  <c r="AC7" i="34"/>
  <c r="V49" i="34" s="1"/>
  <c r="I49" i="34" s="1"/>
  <c r="S7" i="34"/>
  <c r="AA7" i="34"/>
  <c r="R49" i="34" s="1"/>
  <c r="I52" i="33"/>
  <c r="J52" i="33" s="1"/>
  <c r="I53" i="33"/>
  <c r="J53" i="33" s="1"/>
  <c r="C49" i="33"/>
  <c r="C48" i="33"/>
  <c r="G53" i="33"/>
  <c r="H53" i="33" s="1"/>
  <c r="U7" i="34"/>
  <c r="E58" i="21"/>
  <c r="G48" i="35"/>
  <c r="E53" i="33"/>
  <c r="F53" i="33" s="1"/>
  <c r="E52" i="33"/>
  <c r="F52" i="33" s="1"/>
  <c r="P23" i="43"/>
  <c r="B71" i="39" s="1"/>
  <c r="C6" i="71"/>
  <c r="D7" i="71"/>
  <c r="P25" i="43"/>
  <c r="C49" i="67"/>
  <c r="C49" i="15"/>
  <c r="C18" i="67"/>
  <c r="C15" i="67"/>
  <c r="M11" i="15"/>
  <c r="J10" i="15" s="1"/>
  <c r="J5" i="15" s="1"/>
  <c r="F11" i="67"/>
  <c r="F11" i="15"/>
  <c r="M11" i="67"/>
  <c r="J10" i="67" s="1"/>
  <c r="J5" i="67" s="1"/>
  <c r="Q73" i="67"/>
  <c r="Q60" i="67"/>
  <c r="Q61" i="67"/>
  <c r="Q74" i="67"/>
  <c r="AE6" i="1"/>
  <c r="G1" i="73"/>
  <c r="D6" i="73"/>
  <c r="AC6" i="3" l="1"/>
  <c r="N52" i="71"/>
  <c r="N51" i="71"/>
  <c r="Q61" i="15"/>
  <c r="Q52" i="15"/>
  <c r="Q60" i="15"/>
  <c r="C10" i="15"/>
  <c r="C5" i="15" s="1"/>
  <c r="C5" i="71"/>
  <c r="D5" i="71" s="1"/>
  <c r="T6" i="71"/>
  <c r="AZ5" i="3"/>
  <c r="M88" i="43"/>
  <c r="N88" i="43" s="1"/>
  <c r="K88" i="43"/>
  <c r="M84" i="43"/>
  <c r="N84" i="43" s="1"/>
  <c r="K84" i="43"/>
  <c r="J84" i="43" s="1"/>
  <c r="D38" i="71"/>
  <c r="T38" i="71"/>
  <c r="D26" i="71"/>
  <c r="T26" i="71"/>
  <c r="D46" i="71"/>
  <c r="T46" i="71"/>
  <c r="M83" i="43"/>
  <c r="N83" i="43" s="1"/>
  <c r="K83" i="43"/>
  <c r="J83" i="43" s="1"/>
  <c r="E31" i="6"/>
  <c r="M81" i="43"/>
  <c r="K81" i="43"/>
  <c r="J81" i="43" s="1"/>
  <c r="M85" i="43"/>
  <c r="N85" i="43" s="1"/>
  <c r="K85" i="43"/>
  <c r="J85" i="43" s="1"/>
  <c r="C22" i="71"/>
  <c r="D21" i="71"/>
  <c r="O52" i="71"/>
  <c r="O51" i="71"/>
  <c r="D52" i="71"/>
  <c r="K86" i="43"/>
  <c r="M86" i="43"/>
  <c r="N86" i="43" s="1"/>
  <c r="M87" i="43"/>
  <c r="N87" i="43" s="1"/>
  <c r="K87" i="43"/>
  <c r="K82" i="43"/>
  <c r="J82" i="43" s="1"/>
  <c r="M82" i="43"/>
  <c r="N82" i="43" s="1"/>
  <c r="B5" i="71"/>
  <c r="S6" i="71"/>
  <c r="D42" i="71"/>
  <c r="T42" i="71"/>
  <c r="D18" i="71"/>
  <c r="T18" i="71"/>
  <c r="G6" i="1"/>
  <c r="G16" i="1" s="1"/>
  <c r="H16" i="1"/>
  <c r="M28" i="43"/>
  <c r="O28" i="43"/>
  <c r="E41" i="43"/>
  <c r="C41" i="43" s="1"/>
  <c r="C20" i="43"/>
  <c r="N28" i="43"/>
  <c r="H6" i="3"/>
  <c r="E6" i="3" s="1"/>
  <c r="E66" i="39"/>
  <c r="K22" i="6"/>
  <c r="M22" i="6" s="1"/>
  <c r="I22" i="6" s="1"/>
  <c r="S22" i="6" s="1"/>
  <c r="K23" i="6"/>
  <c r="M23" i="6" s="1"/>
  <c r="I23" i="6" s="1"/>
  <c r="S23" i="6" s="1"/>
  <c r="K21" i="6"/>
  <c r="M21" i="6" s="1"/>
  <c r="I21" i="6" s="1"/>
  <c r="S21" i="6" s="1"/>
  <c r="K26" i="6"/>
  <c r="M26" i="6" s="1"/>
  <c r="I26" i="6" s="1"/>
  <c r="S26" i="6" s="1"/>
  <c r="K24" i="6"/>
  <c r="M24" i="6" s="1"/>
  <c r="I24" i="6" s="1"/>
  <c r="S24" i="6" s="1"/>
  <c r="AY6" i="3"/>
  <c r="E3" i="6"/>
  <c r="K25" i="6"/>
  <c r="M25" i="6" s="1"/>
  <c r="I25" i="6" s="1"/>
  <c r="S25" i="6" s="1"/>
  <c r="K19" i="6"/>
  <c r="S6" i="1" s="1"/>
  <c r="M14" i="1"/>
  <c r="C34" i="69"/>
  <c r="K16" i="1"/>
  <c r="B29" i="1" s="1"/>
  <c r="C8" i="68" s="1"/>
  <c r="K20" i="6"/>
  <c r="M20" i="6" s="1"/>
  <c r="I20" i="6" s="1"/>
  <c r="S20" i="6" s="1"/>
  <c r="C23" i="43"/>
  <c r="C21" i="43" s="1"/>
  <c r="S7" i="43"/>
  <c r="S5" i="43"/>
  <c r="S4" i="43"/>
  <c r="S6" i="43"/>
  <c r="S3" i="43"/>
  <c r="S2" i="43"/>
  <c r="C115" i="43"/>
  <c r="D113" i="43" s="1"/>
  <c r="B40" i="1"/>
  <c r="F22" i="68" s="1"/>
  <c r="F63" i="40"/>
  <c r="E65" i="40"/>
  <c r="H48" i="35"/>
  <c r="F58" i="21"/>
  <c r="E49" i="34"/>
  <c r="I54" i="34" s="1"/>
  <c r="J54" i="34" s="1"/>
  <c r="R50" i="34"/>
  <c r="I53" i="34"/>
  <c r="J53" i="34" s="1"/>
  <c r="I52" i="37"/>
  <c r="G53" i="34"/>
  <c r="H53" i="34" s="1"/>
  <c r="G54" i="34"/>
  <c r="H54" i="34" s="1"/>
  <c r="G46" i="36"/>
  <c r="F68" i="39"/>
  <c r="E70" i="39"/>
  <c r="D6" i="71"/>
  <c r="C19" i="67"/>
  <c r="C20" i="67" s="1"/>
  <c r="C26" i="67" s="1"/>
  <c r="J24" i="67"/>
  <c r="J26" i="67"/>
  <c r="J29" i="67" s="1"/>
  <c r="J18" i="67"/>
  <c r="C53" i="67"/>
  <c r="C48" i="67" s="1"/>
  <c r="C10" i="67"/>
  <c r="C5" i="67" s="1"/>
  <c r="J24" i="15"/>
  <c r="J18" i="15"/>
  <c r="J26" i="15"/>
  <c r="C53" i="15"/>
  <c r="C48" i="15" s="1"/>
  <c r="F41" i="15"/>
  <c r="C17" i="15"/>
  <c r="F69" i="15" l="1"/>
  <c r="J29" i="15"/>
  <c r="U6" i="71"/>
  <c r="D86" i="43"/>
  <c r="J86" i="43"/>
  <c r="E6" i="70"/>
  <c r="E2" i="70" s="1"/>
  <c r="D87" i="43"/>
  <c r="J87" i="43"/>
  <c r="D22" i="71"/>
  <c r="M20" i="43" s="1"/>
  <c r="C19" i="43" s="1"/>
  <c r="T22" i="71"/>
  <c r="N81" i="43"/>
  <c r="D81" i="43"/>
  <c r="D88" i="43"/>
  <c r="J88" i="43"/>
  <c r="J10" i="40"/>
  <c r="H10" i="40"/>
  <c r="F10" i="39"/>
  <c r="J10" i="39"/>
  <c r="H10" i="39"/>
  <c r="F10" i="40"/>
  <c r="F25" i="12"/>
  <c r="C26" i="12" s="1"/>
  <c r="D25" i="12" s="1"/>
  <c r="AQ6" i="1"/>
  <c r="AR6" i="1"/>
  <c r="S16" i="1"/>
  <c r="T6" i="1"/>
  <c r="F24" i="67"/>
  <c r="C24" i="67" s="1"/>
  <c r="O14" i="1"/>
  <c r="O16" i="1" s="1"/>
  <c r="M16" i="1"/>
  <c r="T16" i="1"/>
  <c r="AY103" i="3"/>
  <c r="AY98" i="3"/>
  <c r="AY67" i="3"/>
  <c r="AY82" i="3"/>
  <c r="AY50" i="3"/>
  <c r="AY18" i="3"/>
  <c r="AY196" i="3"/>
  <c r="AY191" i="3"/>
  <c r="AY160" i="3"/>
  <c r="AY171" i="3"/>
  <c r="AY139" i="3"/>
  <c r="AY132" i="3"/>
  <c r="AY83" i="3"/>
  <c r="AY66" i="3"/>
  <c r="AY23" i="3"/>
  <c r="AY176" i="3"/>
  <c r="AY155"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87" i="3"/>
  <c r="AY34" i="3"/>
  <c r="AY144"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1" i="3"/>
  <c r="AY207" i="3"/>
  <c r="AY124"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69"/>
  <c r="C35" i="69"/>
  <c r="K27" i="6"/>
  <c r="M19" i="6"/>
  <c r="D3" i="34"/>
  <c r="D3" i="33"/>
  <c r="B2" i="33" s="1"/>
  <c r="B3" i="33" s="1"/>
  <c r="E6" i="6"/>
  <c r="D37" i="11"/>
  <c r="C37" i="11" s="1"/>
  <c r="D14" i="12"/>
  <c r="M18" i="9"/>
  <c r="B118" i="9" s="1"/>
  <c r="B14" i="74" s="1"/>
  <c r="B1" i="74" s="1"/>
  <c r="C17" i="4"/>
  <c r="B4" i="52" s="1"/>
  <c r="B43" i="72" s="1"/>
  <c r="D3" i="21"/>
  <c r="D19" i="11"/>
  <c r="C19" i="11" s="1"/>
  <c r="C20" i="11" s="1"/>
  <c r="C28" i="11" s="1"/>
  <c r="C27" i="11" s="1"/>
  <c r="D3" i="37"/>
  <c r="F22" i="11"/>
  <c r="C24" i="11" s="1"/>
  <c r="F24" i="15"/>
  <c r="C24" i="15" s="1"/>
  <c r="F22" i="69"/>
  <c r="C44" i="69" s="1"/>
  <c r="D41" i="69" s="1"/>
  <c r="G63" i="40"/>
  <c r="F65" i="40"/>
  <c r="C49" i="34"/>
  <c r="C50" i="34"/>
  <c r="B2" i="34" s="1"/>
  <c r="B3" i="34" s="1"/>
  <c r="I48" i="35"/>
  <c r="G68" i="39"/>
  <c r="F70" i="39"/>
  <c r="H46" i="36"/>
  <c r="J52" i="37"/>
  <c r="E54" i="34"/>
  <c r="F54" i="34" s="1"/>
  <c r="E53" i="34"/>
  <c r="F53" i="34" s="1"/>
  <c r="G58" i="21"/>
  <c r="H58" i="21" s="1"/>
  <c r="I58" i="21" s="1"/>
  <c r="J58" i="21" s="1"/>
  <c r="K58" i="21" s="1"/>
  <c r="L58" i="21" s="1"/>
  <c r="M58" i="21" s="1"/>
  <c r="N58" i="21" s="1"/>
  <c r="O58" i="21" s="1"/>
  <c r="H7" i="21"/>
  <c r="C26" i="68"/>
  <c r="D22" i="68" s="1"/>
  <c r="C44" i="68"/>
  <c r="D41" i="68" s="1"/>
  <c r="C38" i="15"/>
  <c r="C32" i="15"/>
  <c r="C66" i="15"/>
  <c r="C60" i="15"/>
  <c r="C60" i="67"/>
  <c r="C66" i="67"/>
  <c r="C38" i="67"/>
  <c r="C32" i="67"/>
  <c r="C14" i="15"/>
  <c r="C15" i="15" l="1"/>
  <c r="C18" i="15"/>
  <c r="E81" i="43"/>
  <c r="B79" i="43" s="1"/>
  <c r="C24" i="43" s="1"/>
  <c r="C34" i="43" s="1"/>
  <c r="AA10" i="40"/>
  <c r="S10" i="40"/>
  <c r="AC10" i="39"/>
  <c r="W10" i="39"/>
  <c r="AB10" i="40"/>
  <c r="U10" i="40"/>
  <c r="AB10" i="39"/>
  <c r="U10" i="39"/>
  <c r="AA10" i="39"/>
  <c r="S10" i="39"/>
  <c r="AC10" i="40"/>
  <c r="W10" i="40"/>
  <c r="C23" i="67"/>
  <c r="C29" i="67" s="1"/>
  <c r="C33" i="67" s="1"/>
  <c r="C31" i="67" s="1"/>
  <c r="C44" i="11"/>
  <c r="D41" i="11" s="1"/>
  <c r="C26" i="69"/>
  <c r="D22" i="69" s="1"/>
  <c r="C7" i="74"/>
  <c r="M27" i="6"/>
  <c r="I19" i="6"/>
  <c r="L18" i="9" s="1"/>
  <c r="H20" i="6"/>
  <c r="D19" i="6"/>
  <c r="M19" i="9" s="1"/>
  <c r="C118" i="9" s="1"/>
  <c r="C14" i="74" s="1"/>
  <c r="B2" i="74" s="1"/>
  <c r="C18" i="4"/>
  <c r="D23" i="6"/>
  <c r="D6" i="6"/>
  <c r="D9" i="6"/>
  <c r="D10" i="6"/>
  <c r="D29" i="6"/>
  <c r="H25" i="6"/>
  <c r="H23" i="6"/>
  <c r="H26" i="6"/>
  <c r="D26" i="6"/>
  <c r="D8" i="6"/>
  <c r="D14" i="6"/>
  <c r="D5" i="6"/>
  <c r="D12" i="6"/>
  <c r="D11" i="6"/>
  <c r="D13" i="6"/>
  <c r="D28" i="6"/>
  <c r="D30" i="6" s="1"/>
  <c r="E61" i="40"/>
  <c r="H22" i="6"/>
  <c r="H21" i="6"/>
  <c r="H24" i="6"/>
  <c r="D24" i="6"/>
  <c r="R24" i="6" s="1"/>
  <c r="D22" i="6"/>
  <c r="D25" i="6"/>
  <c r="D20" i="6"/>
  <c r="R20" i="6" s="1"/>
  <c r="D21" i="6"/>
  <c r="D15" i="6"/>
  <c r="P14" i="1"/>
  <c r="P16" i="1" s="1"/>
  <c r="C11" i="12" s="1"/>
  <c r="D17" i="12"/>
  <c r="C17" i="12" s="1"/>
  <c r="C14" i="12"/>
  <c r="D10" i="11"/>
  <c r="C10" i="11" s="1"/>
  <c r="D20" i="12"/>
  <c r="C20" i="12" s="1"/>
  <c r="C18" i="12" s="1"/>
  <c r="D10" i="69"/>
  <c r="N16" i="1"/>
  <c r="L16" i="1"/>
  <c r="C34" i="11"/>
  <c r="C25" i="11"/>
  <c r="C26" i="11"/>
  <c r="D22" i="11" s="1"/>
  <c r="C23" i="11"/>
  <c r="H63" i="40"/>
  <c r="G65" i="40"/>
  <c r="AB7" i="21"/>
  <c r="T48" i="21" s="1"/>
  <c r="G48" i="21" s="1"/>
  <c r="U7" i="21"/>
  <c r="J7" i="21"/>
  <c r="K52" i="37"/>
  <c r="I46" i="36"/>
  <c r="H68" i="39"/>
  <c r="G70" i="39"/>
  <c r="J48" i="35"/>
  <c r="F7" i="21"/>
  <c r="J59" i="15"/>
  <c r="J60" i="15" s="1"/>
  <c r="D10" i="68"/>
  <c r="C34" i="68"/>
  <c r="H19" i="6" l="1"/>
  <c r="L19" i="9" s="1"/>
  <c r="C37" i="43"/>
  <c r="G37" i="43" s="1"/>
  <c r="I37" i="43" s="1"/>
  <c r="T13" i="43"/>
  <c r="V13" i="43" s="1"/>
  <c r="C33" i="43"/>
  <c r="G33" i="43" s="1"/>
  <c r="I33" i="43" s="1"/>
  <c r="T6" i="43"/>
  <c r="V6" i="43" s="1"/>
  <c r="T9" i="43"/>
  <c r="V9" i="43" s="1"/>
  <c r="T14" i="43"/>
  <c r="V14" i="43" s="1"/>
  <c r="E37" i="43"/>
  <c r="C19" i="15"/>
  <c r="C20" i="15" s="1"/>
  <c r="E34" i="43"/>
  <c r="G34" i="43"/>
  <c r="I34" i="43" s="1"/>
  <c r="E33" i="43"/>
  <c r="H27" i="6"/>
  <c r="R26" i="6"/>
  <c r="T15" i="43"/>
  <c r="V15" i="43" s="1"/>
  <c r="T5" i="43"/>
  <c r="V5" i="43" s="1"/>
  <c r="T3" i="43"/>
  <c r="V3" i="43" s="1"/>
  <c r="T12" i="43"/>
  <c r="V12" i="43" s="1"/>
  <c r="T7" i="43"/>
  <c r="V7" i="43" s="1"/>
  <c r="R25" i="6"/>
  <c r="C38" i="43"/>
  <c r="T11" i="43"/>
  <c r="V11" i="43" s="1"/>
  <c r="T2" i="43"/>
  <c r="V2" i="43" s="1"/>
  <c r="C29" i="43"/>
  <c r="T4" i="43"/>
  <c r="V4" i="43" s="1"/>
  <c r="T10" i="43"/>
  <c r="V10" i="43" s="1"/>
  <c r="C36" i="43"/>
  <c r="C39" i="43"/>
  <c r="T8" i="43"/>
  <c r="V8" i="43" s="1"/>
  <c r="C35" i="43"/>
  <c r="T16" i="43"/>
  <c r="V16" i="43" s="1"/>
  <c r="C22" i="11"/>
  <c r="C31" i="11" s="1"/>
  <c r="J59" i="67"/>
  <c r="J60" i="67" s="1"/>
  <c r="L46" i="67" s="1"/>
  <c r="C13" i="67"/>
  <c r="C37" i="67" s="1"/>
  <c r="Q49" i="67"/>
  <c r="J14" i="67"/>
  <c r="J22" i="67" s="1"/>
  <c r="C36" i="67"/>
  <c r="J19" i="67"/>
  <c r="J17" i="67" s="1"/>
  <c r="C57" i="67"/>
  <c r="C61" i="67" s="1"/>
  <c r="C59" i="67" s="1"/>
  <c r="R22" i="6"/>
  <c r="D16" i="6"/>
  <c r="R23" i="6"/>
  <c r="R21" i="6"/>
  <c r="C35" i="68"/>
  <c r="C38" i="68"/>
  <c r="C10" i="69"/>
  <c r="C8" i="69" s="1"/>
  <c r="C5" i="69" s="1"/>
  <c r="D19" i="69"/>
  <c r="D27" i="6"/>
  <c r="D31" i="6" s="1"/>
  <c r="R19" i="6"/>
  <c r="S19" i="6"/>
  <c r="S27" i="6" s="1"/>
  <c r="I27" i="6"/>
  <c r="C38" i="11"/>
  <c r="C35" i="11"/>
  <c r="F50" i="69"/>
  <c r="F50" i="11"/>
  <c r="F50" i="68"/>
  <c r="C10" i="68"/>
  <c r="D19" i="68"/>
  <c r="C15" i="12"/>
  <c r="C12" i="12"/>
  <c r="D7" i="74"/>
  <c r="A7" i="51"/>
  <c r="B7" i="72" s="1"/>
  <c r="C4" i="52"/>
  <c r="B45" i="72" s="1"/>
  <c r="A10" i="51"/>
  <c r="B9" i="72" s="1"/>
  <c r="H65" i="40"/>
  <c r="I63" i="40"/>
  <c r="AC7" i="21"/>
  <c r="V48" i="21" s="1"/>
  <c r="I48" i="21" s="1"/>
  <c r="G53" i="21" s="1"/>
  <c r="H53" i="21" s="1"/>
  <c r="W7" i="21"/>
  <c r="G52" i="21"/>
  <c r="H52" i="21" s="1"/>
  <c r="S7" i="21"/>
  <c r="AA7" i="21"/>
  <c r="R48" i="21" s="1"/>
  <c r="K48" i="35"/>
  <c r="I68" i="39"/>
  <c r="H70" i="39"/>
  <c r="J46" i="36"/>
  <c r="L52" i="37"/>
  <c r="Q48" i="15"/>
  <c r="C33" i="15"/>
  <c r="C26" i="15" l="1"/>
  <c r="C23" i="15"/>
  <c r="E36" i="43"/>
  <c r="G36" i="43"/>
  <c r="I36" i="43" s="1"/>
  <c r="G35" i="43"/>
  <c r="I35" i="43" s="1"/>
  <c r="E35" i="43"/>
  <c r="G38" i="43"/>
  <c r="I38" i="43" s="1"/>
  <c r="E38" i="43"/>
  <c r="G39" i="43"/>
  <c r="I39" i="43" s="1"/>
  <c r="E39" i="43"/>
  <c r="E29" i="43"/>
  <c r="C30" i="43"/>
  <c r="E30" i="43" s="1"/>
  <c r="C75" i="67"/>
  <c r="J13" i="67"/>
  <c r="J23" i="67" s="1"/>
  <c r="J16" i="67" s="1"/>
  <c r="J25" i="67" s="1"/>
  <c r="Q70" i="67"/>
  <c r="C56" i="67"/>
  <c r="C65" i="67" s="1"/>
  <c r="C64" i="67"/>
  <c r="Q48" i="67"/>
  <c r="C30" i="67"/>
  <c r="C39" i="67" s="1"/>
  <c r="Q69" i="67" s="1"/>
  <c r="Q68" i="67" s="1"/>
  <c r="R27" i="6"/>
  <c r="R6" i="1"/>
  <c r="C16" i="12"/>
  <c r="C21" i="12" s="1"/>
  <c r="C22" i="12" s="1"/>
  <c r="C19" i="68"/>
  <c r="D37" i="68"/>
  <c r="C37" i="68" s="1"/>
  <c r="C33" i="68" s="1"/>
  <c r="C91" i="9" s="1"/>
  <c r="C33" i="11"/>
  <c r="I6" i="6"/>
  <c r="I5" i="6"/>
  <c r="C19" i="69"/>
  <c r="C24" i="69" s="1"/>
  <c r="D37" i="69"/>
  <c r="C37" i="69" s="1"/>
  <c r="C33" i="69" s="1"/>
  <c r="C23" i="69"/>
  <c r="I65" i="40"/>
  <c r="J63" i="40"/>
  <c r="M52" i="37"/>
  <c r="R49" i="21"/>
  <c r="E48" i="21"/>
  <c r="I53" i="21" s="1"/>
  <c r="J53" i="21" s="1"/>
  <c r="I52" i="21"/>
  <c r="J52" i="21" s="1"/>
  <c r="K46" i="36"/>
  <c r="J68" i="39"/>
  <c r="I70" i="39"/>
  <c r="L48" i="35"/>
  <c r="M21" i="15"/>
  <c r="F35" i="15"/>
  <c r="C29" i="15" l="1"/>
  <c r="J19" i="15" s="1"/>
  <c r="C26" i="43"/>
  <c r="B2" i="43" s="1"/>
  <c r="C27" i="43"/>
  <c r="C40" i="67"/>
  <c r="Q47" i="67" s="1"/>
  <c r="Q53" i="67" s="1"/>
  <c r="C58" i="67"/>
  <c r="C67" i="67" s="1"/>
  <c r="C68" i="67" s="1"/>
  <c r="C71" i="67" s="1"/>
  <c r="C80" i="67"/>
  <c r="C79" i="67" s="1"/>
  <c r="C92" i="9"/>
  <c r="C94" i="9"/>
  <c r="C20" i="69"/>
  <c r="C28" i="69" s="1"/>
  <c r="C27" i="69" s="1"/>
  <c r="J20" i="15"/>
  <c r="F63" i="15"/>
  <c r="C62" i="15" s="1"/>
  <c r="C34" i="15"/>
  <c r="C31" i="15" s="1"/>
  <c r="R16" i="1"/>
  <c r="C30" i="12"/>
  <c r="C28" i="12" s="1"/>
  <c r="C27" i="12"/>
  <c r="C25" i="12" s="1"/>
  <c r="C39" i="69"/>
  <c r="C42" i="69"/>
  <c r="C39" i="11"/>
  <c r="C42" i="11"/>
  <c r="C24" i="68"/>
  <c r="C39" i="68"/>
  <c r="C43" i="68" s="1"/>
  <c r="C42" i="68"/>
  <c r="K63" i="40"/>
  <c r="J65" i="40"/>
  <c r="E52" i="21"/>
  <c r="F52" i="21" s="1"/>
  <c r="E53" i="21"/>
  <c r="F53" i="21" s="1"/>
  <c r="M48" i="35"/>
  <c r="K68" i="39"/>
  <c r="J70" i="39"/>
  <c r="L46" i="36"/>
  <c r="C48" i="21"/>
  <c r="C49" i="21"/>
  <c r="B2" i="21" s="1"/>
  <c r="B3" i="21" s="1"/>
  <c r="N52" i="37"/>
  <c r="B6" i="76"/>
  <c r="L51" i="67"/>
  <c r="E6" i="76"/>
  <c r="C57" i="15" l="1"/>
  <c r="J14" i="15"/>
  <c r="J22" i="15" s="1"/>
  <c r="C13" i="15"/>
  <c r="C37" i="15" s="1"/>
  <c r="C36" i="15"/>
  <c r="Q49" i="15"/>
  <c r="Q56" i="67"/>
  <c r="J17" i="15"/>
  <c r="C61" i="15"/>
  <c r="C59" i="15" s="1"/>
  <c r="C64" i="15"/>
  <c r="J13" i="15"/>
  <c r="J23" i="15" s="1"/>
  <c r="C56" i="15"/>
  <c r="C65" i="15" s="1"/>
  <c r="E2" i="76"/>
  <c r="B2" i="76"/>
  <c r="C6" i="68"/>
  <c r="C7" i="68" s="1"/>
  <c r="C5" i="68" s="1"/>
  <c r="B3" i="43"/>
  <c r="D2" i="67"/>
  <c r="B3" i="67" s="1"/>
  <c r="C43" i="67"/>
  <c r="Q65" i="67"/>
  <c r="C83" i="67"/>
  <c r="C82" i="67" s="1"/>
  <c r="Q67" i="67"/>
  <c r="L57" i="67"/>
  <c r="L60" i="67" s="1"/>
  <c r="Q66" i="67" s="1"/>
  <c r="C45" i="67"/>
  <c r="C46" i="67" s="1"/>
  <c r="C25" i="69"/>
  <c r="C22" i="69" s="1"/>
  <c r="C31" i="69" s="1"/>
  <c r="L57" i="15"/>
  <c r="L60" i="15" s="1"/>
  <c r="L46" i="15" s="1"/>
  <c r="C41" i="68"/>
  <c r="C32" i="12"/>
  <c r="B2" i="12" s="1"/>
  <c r="B3" i="12" s="1"/>
  <c r="C46" i="68"/>
  <c r="C45" i="68" s="1"/>
  <c r="C46" i="11"/>
  <c r="C45" i="11" s="1"/>
  <c r="C43" i="11"/>
  <c r="C41" i="11" s="1"/>
  <c r="C46" i="69"/>
  <c r="C45" i="69" s="1"/>
  <c r="C43" i="69"/>
  <c r="C41" i="69" s="1"/>
  <c r="K65" i="40"/>
  <c r="L63" i="40"/>
  <c r="O52" i="37"/>
  <c r="J7" i="37" s="1"/>
  <c r="M46" i="36"/>
  <c r="N46" i="36" s="1"/>
  <c r="O46" i="36" s="1"/>
  <c r="L68" i="39"/>
  <c r="K70" i="39"/>
  <c r="N48" i="35"/>
  <c r="C75" i="15" l="1"/>
  <c r="Q70" i="15"/>
  <c r="B3" i="76"/>
  <c r="C30" i="15"/>
  <c r="C39" i="15" s="1"/>
  <c r="B2" i="67"/>
  <c r="C58" i="15"/>
  <c r="C67" i="15" s="1"/>
  <c r="C68" i="15" s="1"/>
  <c r="C71" i="15" s="1"/>
  <c r="J16" i="15"/>
  <c r="J25" i="15" s="1"/>
  <c r="C23" i="68"/>
  <c r="C20" i="68"/>
  <c r="H7" i="36"/>
  <c r="AB7" i="36" s="1"/>
  <c r="T36" i="36" s="1"/>
  <c r="G36" i="36" s="1"/>
  <c r="Q75" i="67"/>
  <c r="Q57" i="67"/>
  <c r="Q62" i="67" s="1"/>
  <c r="Q66" i="15"/>
  <c r="Q57" i="15"/>
  <c r="C49" i="68"/>
  <c r="C51" i="68" s="1"/>
  <c r="F35" i="9" s="1"/>
  <c r="C49" i="69"/>
  <c r="C51" i="69" s="1"/>
  <c r="C52" i="69" s="1"/>
  <c r="B2" i="69" s="1"/>
  <c r="B3" i="69" s="1"/>
  <c r="C49" i="11"/>
  <c r="C51" i="11" s="1"/>
  <c r="C52" i="11" s="1"/>
  <c r="B2" i="11" s="1"/>
  <c r="B3" i="11" s="1"/>
  <c r="L65" i="40"/>
  <c r="M63" i="40"/>
  <c r="W7" i="37"/>
  <c r="AC7" i="37"/>
  <c r="V42" i="37" s="1"/>
  <c r="I42" i="37" s="1"/>
  <c r="O48" i="35"/>
  <c r="J7" i="35" s="1"/>
  <c r="M68" i="39"/>
  <c r="L70" i="39"/>
  <c r="J7" i="36"/>
  <c r="F7" i="36"/>
  <c r="F7" i="37"/>
  <c r="H7" i="37"/>
  <c r="L51" i="15"/>
  <c r="C80" i="15" l="1"/>
  <c r="C79" i="15" s="1"/>
  <c r="Q69" i="15"/>
  <c r="Q68" i="15" s="1"/>
  <c r="C40" i="15"/>
  <c r="B2" i="15" s="1"/>
  <c r="B3" i="15" s="1"/>
  <c r="Q67" i="15"/>
  <c r="U7" i="36"/>
  <c r="C28" i="68"/>
  <c r="C27" i="68" s="1"/>
  <c r="C25" i="68"/>
  <c r="C22" i="68" s="1"/>
  <c r="C57" i="69"/>
  <c r="C56" i="69" s="1"/>
  <c r="C56" i="11"/>
  <c r="C57" i="11" s="1"/>
  <c r="N63" i="40"/>
  <c r="M65" i="40"/>
  <c r="S7" i="36"/>
  <c r="AA7" i="36"/>
  <c r="R36" i="36" s="1"/>
  <c r="W7" i="35"/>
  <c r="AC7" i="35"/>
  <c r="V38" i="35" s="1"/>
  <c r="I38" i="35" s="1"/>
  <c r="I46" i="37"/>
  <c r="J46" i="37" s="1"/>
  <c r="G40" i="36"/>
  <c r="H40" i="36" s="1"/>
  <c r="AB7" i="37"/>
  <c r="T42" i="37" s="1"/>
  <c r="G42" i="37" s="1"/>
  <c r="U7" i="37"/>
  <c r="AA7" i="37"/>
  <c r="R42" i="37" s="1"/>
  <c r="S7" i="37"/>
  <c r="AC7" i="36"/>
  <c r="V36" i="36" s="1"/>
  <c r="I36" i="36" s="1"/>
  <c r="G41" i="36" s="1"/>
  <c r="H41" i="36" s="1"/>
  <c r="W7" i="36"/>
  <c r="N68" i="39"/>
  <c r="M70" i="39"/>
  <c r="H7" i="35"/>
  <c r="F7" i="35"/>
  <c r="D19" i="9"/>
  <c r="AO6" i="1"/>
  <c r="D20" i="9"/>
  <c r="Q47" i="15" l="1"/>
  <c r="Q53" i="15" s="1"/>
  <c r="Q56" i="15"/>
  <c r="Q62" i="15" s="1"/>
  <c r="C83" i="15"/>
  <c r="C82" i="15" s="1"/>
  <c r="C46" i="15"/>
  <c r="Q65" i="15"/>
  <c r="Q75" i="15" s="1"/>
  <c r="D102" i="9"/>
  <c r="D21" i="9"/>
  <c r="B6" i="70"/>
  <c r="B2" i="70" s="1"/>
  <c r="B3" i="70" s="1"/>
  <c r="C43" i="15"/>
  <c r="C31" i="68"/>
  <c r="C52" i="68" s="1"/>
  <c r="B2" i="68" s="1"/>
  <c r="B3" i="68" s="1"/>
  <c r="D103" i="9"/>
  <c r="O63" i="40"/>
  <c r="O65" i="40" s="1"/>
  <c r="N65" i="40"/>
  <c r="AA7" i="35"/>
  <c r="R38" i="35" s="1"/>
  <c r="S7" i="35"/>
  <c r="I42" i="35"/>
  <c r="J42" i="35" s="1"/>
  <c r="R37" i="36"/>
  <c r="E36" i="36"/>
  <c r="I41" i="36" s="1"/>
  <c r="J41" i="36" s="1"/>
  <c r="U7" i="35"/>
  <c r="AB7" i="35"/>
  <c r="T38" i="35" s="1"/>
  <c r="G38" i="35" s="1"/>
  <c r="O68" i="39"/>
  <c r="O70" i="39" s="1"/>
  <c r="N70" i="39"/>
  <c r="I40" i="36"/>
  <c r="J40" i="36" s="1"/>
  <c r="R43" i="37"/>
  <c r="E42" i="37"/>
  <c r="G46" i="37"/>
  <c r="H46" i="37" s="1"/>
  <c r="G47" i="37"/>
  <c r="H47" i="37" s="1"/>
  <c r="C19" i="9"/>
  <c r="C20" i="9"/>
  <c r="G19" i="9" l="1"/>
  <c r="F34" i="9" s="1"/>
  <c r="D22" i="9"/>
  <c r="C21" i="9"/>
  <c r="C102" i="9"/>
  <c r="C57" i="68"/>
  <c r="C103" i="9"/>
  <c r="G20" i="9"/>
  <c r="H7" i="40"/>
  <c r="J7" i="40"/>
  <c r="F7" i="40"/>
  <c r="E47" i="37"/>
  <c r="F47" i="37" s="1"/>
  <c r="E46" i="37"/>
  <c r="F46" i="37" s="1"/>
  <c r="I47" i="37"/>
  <c r="J47" i="37" s="1"/>
  <c r="G42" i="35"/>
  <c r="H42" i="35" s="1"/>
  <c r="G43" i="35"/>
  <c r="H43" i="35" s="1"/>
  <c r="E40" i="36"/>
  <c r="F40" i="36" s="1"/>
  <c r="E41" i="36"/>
  <c r="F41" i="36" s="1"/>
  <c r="C43" i="37"/>
  <c r="B2" i="37" s="1"/>
  <c r="B3" i="37" s="1"/>
  <c r="C42" i="37"/>
  <c r="H7" i="39"/>
  <c r="J7" i="39"/>
  <c r="F7" i="39"/>
  <c r="C37" i="36"/>
  <c r="B2" i="36" s="1"/>
  <c r="B3" i="36" s="1"/>
  <c r="C36" i="36"/>
  <c r="R39" i="35"/>
  <c r="E38" i="35"/>
  <c r="C56" i="68" l="1"/>
  <c r="G21" i="9"/>
  <c r="C32" i="9"/>
  <c r="AC7" i="40"/>
  <c r="V42" i="40" s="1"/>
  <c r="I42" i="40" s="1"/>
  <c r="I46" i="40" s="1"/>
  <c r="J46" i="40" s="1"/>
  <c r="W7" i="40"/>
  <c r="AA7" i="40"/>
  <c r="R42" i="40" s="1"/>
  <c r="S7" i="40"/>
  <c r="AB7" i="40"/>
  <c r="T42" i="40" s="1"/>
  <c r="G42" i="40" s="1"/>
  <c r="U7" i="40"/>
  <c r="S7" i="39"/>
  <c r="AA7" i="39"/>
  <c r="R47" i="39" s="1"/>
  <c r="AB7" i="39"/>
  <c r="T47" i="39" s="1"/>
  <c r="G47" i="39" s="1"/>
  <c r="U7" i="39"/>
  <c r="E43" i="35"/>
  <c r="F43" i="35" s="1"/>
  <c r="E42" i="35"/>
  <c r="F42" i="35" s="1"/>
  <c r="I43" i="35"/>
  <c r="J43" i="35" s="1"/>
  <c r="C39" i="35"/>
  <c r="B2" i="35" s="1"/>
  <c r="B3" i="35" s="1"/>
  <c r="C38" i="35"/>
  <c r="AC7" i="39"/>
  <c r="V47" i="39" s="1"/>
  <c r="I47" i="39" s="1"/>
  <c r="W7" i="39"/>
  <c r="C35" i="9" l="1"/>
  <c r="H118" i="9"/>
  <c r="G46" i="40"/>
  <c r="H46" i="40" s="1"/>
  <c r="G47" i="40"/>
  <c r="H47" i="40" s="1"/>
  <c r="E42" i="40"/>
  <c r="R43" i="40"/>
  <c r="E47" i="39"/>
  <c r="I52" i="39" s="1"/>
  <c r="J52" i="39" s="1"/>
  <c r="R48" i="39"/>
  <c r="I51" i="39"/>
  <c r="J51" i="39" s="1"/>
  <c r="G51" i="39"/>
  <c r="H51" i="39" s="1"/>
  <c r="G52" i="39"/>
  <c r="H52" i="39" s="1"/>
  <c r="D35" i="9"/>
  <c r="D14" i="74" l="1"/>
  <c r="H101" i="9"/>
  <c r="H119" i="9"/>
  <c r="H5" i="52" s="1"/>
  <c r="H4" i="52"/>
  <c r="I118" i="9"/>
  <c r="C104" i="9"/>
  <c r="F118" i="9"/>
  <c r="C34" i="9"/>
  <c r="C42" i="40"/>
  <c r="C43" i="40"/>
  <c r="I47" i="40"/>
  <c r="J47" i="40" s="1"/>
  <c r="E46" i="40"/>
  <c r="F46" i="40" s="1"/>
  <c r="E47" i="40"/>
  <c r="F47" i="40" s="1"/>
  <c r="C48" i="39"/>
  <c r="C47" i="39"/>
  <c r="E52" i="39"/>
  <c r="F52" i="39" s="1"/>
  <c r="E51" i="39"/>
  <c r="F51" i="39" s="1"/>
  <c r="D34" i="9"/>
  <c r="D118" i="9" l="1"/>
  <c r="D119" i="9" s="1"/>
  <c r="D5" i="52" s="1"/>
  <c r="B49" i="72" s="1"/>
  <c r="F4" i="52"/>
  <c r="B51" i="72" s="1"/>
  <c r="F119" i="9"/>
  <c r="F5" i="52" s="1"/>
  <c r="B53" i="72" s="1"/>
  <c r="G118" i="9"/>
  <c r="G4" i="52" s="1"/>
  <c r="B52" i="72" s="1"/>
  <c r="H107" i="9"/>
  <c r="D5" i="53"/>
  <c r="D45" i="9"/>
  <c r="M48" i="9"/>
  <c r="C105" i="9"/>
  <c r="H102" i="9"/>
  <c r="D7" i="53" s="1"/>
  <c r="B21" i="72" s="1"/>
  <c r="I4" i="52"/>
  <c r="B5" i="74"/>
  <c r="E14" i="74"/>
  <c r="F14" i="74"/>
  <c r="B60" i="40"/>
  <c r="F60" i="40" s="1"/>
  <c r="F61" i="40"/>
  <c r="B2" i="40" s="1"/>
  <c r="B3" i="40" s="1"/>
  <c r="B52" i="40"/>
  <c r="F52" i="40" s="1"/>
  <c r="B55" i="40"/>
  <c r="F55" i="40" s="1"/>
  <c r="B57" i="40"/>
  <c r="F57" i="40" s="1"/>
  <c r="B56" i="40"/>
  <c r="F56" i="40" s="1"/>
  <c r="B53" i="40"/>
  <c r="F53" i="40" s="1"/>
  <c r="B58" i="40"/>
  <c r="F58" i="40" s="1"/>
  <c r="B51" i="40"/>
  <c r="F51" i="40" s="1"/>
  <c r="B59" i="40"/>
  <c r="F59" i="40" s="1"/>
  <c r="B54" i="40"/>
  <c r="F54"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4" i="52" l="1"/>
  <c r="B47" i="72" s="1"/>
  <c r="E118" i="9"/>
  <c r="E4" i="52" s="1"/>
  <c r="B48" i="72" s="1"/>
  <c r="D6" i="53"/>
  <c r="B22" i="72" s="1"/>
  <c r="B20" i="72"/>
  <c r="C5" i="74"/>
  <c r="D5" i="74"/>
  <c r="M49" i="9"/>
  <c r="H108" i="9"/>
  <c r="D15" i="53" s="1"/>
  <c r="B31" i="72" s="1"/>
  <c r="D122" i="9"/>
  <c r="D13" i="53"/>
  <c r="C72" i="9"/>
  <c r="D53" i="9"/>
  <c r="D48" i="9" s="1"/>
  <c r="M52" i="9" s="1"/>
  <c r="C85" i="9"/>
  <c r="C64" i="9"/>
  <c r="C63" i="9" s="1"/>
  <c r="C67" i="9" s="1"/>
  <c r="C68" i="9" s="1"/>
  <c r="D54" i="9" s="1"/>
  <c r="D55" i="9"/>
  <c r="M53" i="9" s="1"/>
  <c r="D52" i="9"/>
  <c r="C93" i="9"/>
  <c r="C86" i="9" s="1"/>
  <c r="C78" i="9"/>
  <c r="C73" i="9" s="1"/>
  <c r="C79" i="9" l="1"/>
  <c r="B30" i="72"/>
  <c r="D14" i="53"/>
  <c r="B32" i="72" s="1"/>
  <c r="C95" i="9"/>
  <c r="C96" i="9" s="1"/>
  <c r="E96" i="9" s="1"/>
  <c r="E97" i="9" s="1"/>
  <c r="G14" i="74"/>
  <c r="B6" i="74" s="1"/>
  <c r="D123" i="9"/>
  <c r="D9" i="52" s="1"/>
  <c r="D8" i="52"/>
  <c r="L68" i="9"/>
  <c r="M68" i="9" s="1"/>
  <c r="L63" i="9"/>
  <c r="M63" i="9" s="1"/>
  <c r="L64" i="9"/>
  <c r="M64" i="9" s="1"/>
  <c r="L65" i="9"/>
  <c r="M65" i="9" s="1"/>
  <c r="L67" i="9"/>
  <c r="M67" i="9" s="1"/>
  <c r="L66" i="9"/>
  <c r="M66" i="9" s="1"/>
  <c r="C97" i="9" l="1"/>
  <c r="D58" i="9" s="1"/>
  <c r="D56" i="9" s="1"/>
  <c r="M54" i="9" s="1"/>
  <c r="N57" i="9" s="1"/>
  <c r="P57" i="9" s="1"/>
  <c r="C80" i="9"/>
  <c r="E80" i="9" s="1"/>
  <c r="E81" i="9" s="1"/>
  <c r="M69" i="9"/>
  <c r="N69" i="9" s="1"/>
  <c r="C6" i="74"/>
  <c r="D6" i="74"/>
  <c r="N58" i="9" l="1"/>
  <c r="N59" i="9"/>
  <c r="H111" i="9" s="1"/>
  <c r="D126" i="9" s="1"/>
  <c r="C81" i="9"/>
  <c r="N61" i="9" l="1"/>
  <c r="H112" i="9" s="1"/>
  <c r="D21" i="53" s="1"/>
  <c r="B39" i="72" s="1"/>
  <c r="N60" i="9"/>
  <c r="D19" i="53"/>
  <c r="B38" i="72" s="1"/>
  <c r="I14" i="74"/>
  <c r="B8" i="74" s="1"/>
  <c r="D12" i="52"/>
  <c r="D127" i="9"/>
  <c r="D13" i="52" s="1"/>
  <c r="D20" i="53" l="1"/>
  <c r="B40" i="72" s="1"/>
  <c r="C8" i="74"/>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<sst xmlns="http://schemas.openxmlformats.org/spreadsheetml/2006/main" count="7327" uniqueCount="3102">
  <si>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</si>
  <si>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</si>
  <si>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</si>
  <si>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</si>
  <si>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</si>
  <si>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</si>
  <si>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</si>
  <si>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</si>
  <si>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</si>
  <si>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</si>
  <si>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</si>
  <si>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</si>
  <si>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</si>
  <si>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</si>
  <si>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</si>
  <si>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</si>
  <si>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</si>
  <si>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</si>
  <si>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</si>
  <si>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</si>
  <si>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</si>
  <si>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</si>
  <si>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</si>
  <si>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</si>
  <si>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</si>
  <si>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</si>
  <si>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</si>
  <si>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</si>
  <si>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</si>
  <si>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</si>
  <si>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</si>
  <si>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</si>
  <si>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</si>
  <si>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</si>
  <si>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</si>
  <si>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</si>
  <si>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</si>
  <si>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</si>
  <si>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</si>
  <si>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</si>
  <si>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</si>
  <si>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</si>
  <si>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</si>
  <si>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</si>
  <si>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</si>
  <si>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</si>
  <si>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</si>
  <si>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</si>
  <si>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</si>
  <si>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</si>
  <si>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</si>
  <si>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</si>
  <si>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</si>
  <si>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</si>
  <si>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</si>
  <si>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</si>
  <si>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</si>
  <si>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</si>
  <si>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</si>
  <si>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</si>
  <si>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</si>
  <si>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</si>
  <si>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</si>
  <si>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</si>
  <si>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</si>
  <si>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</si>
  <si>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</si>
  <si>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</si>
  <si>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</si>
  <si>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</si>
  <si>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</si>
  <si>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</si>
  <si>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</si>
  <si>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</si>
  <si>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</si>
  <si>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</si>
  <si>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</si>
  <si>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</si>
  <si>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</si>
  <si>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</si>
  <si>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</si>
  <si>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</si>
  <si>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</si>
  <si>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</si>
  <si>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</si>
  <si>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</si>
  <si>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</si>
  <si>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</si>
  <si>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</si>
  <si>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</si>
  <si>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</si>
  <si>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</si>
  <si>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</si>
  <si>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</si>
  <si>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</si>
  <si>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</si>
  <si>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</si>
  <si>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</si>
  <si>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</si>
  <si>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</si>
  <si>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</si>
  <si>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</si>
  <si>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</si>
  <si>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</si>
  <si>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</si>
  <si>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</si>
  <si>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</si>
  <si>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</si>
  <si>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</si>
  <si>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</si>
  <si>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</si>
  <si>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</si>
  <si>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</si>
  <si>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</si>
  <si>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</si>
  <si>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</si>
  <si>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</si>
  <si>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</si>
  <si>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</si>
  <si>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</si>
  <si>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</si>
  <si>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</si>
  <si>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</si>
  <si>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</si>
  <si>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</si>
  <si>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</si>
  <si>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</si>
  <si>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</si>
  <si>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</si>
  <si>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</si>
  <si>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</si>
  <si>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</si>
  <si>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</si>
  <si>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</si>
  <si>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</si>
  <si>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</si>
  <si>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</si>
  <si>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</si>
  <si>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</si>
  <si>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</si>
  <si>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</si>
  <si>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</si>
  <si>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</si>
  <si>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</si>
  <si>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</si>
  <si>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</si>
  <si>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</si>
  <si>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</si>
  <si>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</si>
  <si>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</si>
  <si>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</si>
  <si>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</si>
  <si>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</si>
  <si>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</si>
  <si>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</si>
  <si>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</si>
  <si>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</si>
  <si>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</si>
  <si>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</si>
  <si>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</si>
  <si>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</si>
  <si>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</si>
  <si>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</si>
  <si>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</si>
  <si>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</si>
  <si>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</si>
  <si>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</si>
  <si>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</si>
  <si>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</si>
  <si>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</si>
  <si>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</si>
  <si>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</si>
  <si>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</si>
  <si>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</si>
  <si>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</si>
  <si>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</si>
  <si>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</si>
  <si>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</si>
  <si>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</si>
  <si>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</si>
  <si>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</si>
  <si>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</si>
  <si>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</si>
  <si>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</si>
  <si>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</si>
  <si>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</si>
  <si>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</si>
  <si>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</si>
  <si>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</si>
  <si>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</si>
  <si>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</si>
  <si>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</si>
  <si>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</si>
  <si>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</si>
  <si>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</si>
  <si>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</si>
  <si>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</si>
  <si>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</si>
  <si>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</si>
  <si>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</si>
  <si>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</si>
  <si>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</si>
  <si>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</si>
  <si>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</si>
  <si>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</si>
  <si>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</si>
  <si>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</si>
  <si>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</si>
  <si>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</si>
  <si>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</si>
  <si>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</si>
  <si>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</si>
  <si>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</si>
  <si>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</si>
  <si>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</si>
  <si>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</si>
  <si>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</si>
  <si>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</si>
  <si>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</si>
  <si>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</si>
  <si>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</si>
  <si>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</si>
  <si>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</si>
  <si>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</si>
  <si>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</si>
  <si>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</si>
  <si>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</si>
  <si>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</si>
  <si>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</si>
  <si>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</si>
  <si>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</si>
  <si>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</si>
  <si>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</si>
  <si>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</si>
  <si>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</si>
  <si>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</si>
  <si>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</si>
  <si>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</si>
  <si>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</si>
  <si>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</si>
  <si>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</si>
  <si>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</si>
  <si>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</si>
  <si>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</si>
  <si>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</si>
  <si>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</si>
  <si>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</si>
  <si>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</si>
  <si>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</si>
  <si>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</si>
  <si>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</si>
  <si>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</si>
  <si>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</si>
  <si>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</si>
  <si>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</si>
  <si>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</si>
  <si>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</si>
  <si>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</si>
  <si>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</si>
  <si>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</si>
  <si>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</si>
  <si>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</si>
  <si>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</si>
  <si>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</si>
  <si>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</si>
  <si>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</si>
  <si>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</si>
  <si>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</si>
  <si>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</si>
  <si>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</si>
  <si>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</si>
  <si>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</si>
  <si>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</si>
  <si>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</si>
  <si>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</si>
  <si>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</si>
  <si>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</si>
  <si>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</si>
  <si>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</si>
  <si>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</si>
  <si>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</si>
  <si>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</si>
  <si>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</si>
  <si>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</si>
  <si>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</si>
  <si>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</si>
  <si>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</si>
  <si>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</si>
  <si>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</si>
  <si>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</si>
  <si>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</si>
  <si>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</si>
  <si>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</si>
  <si>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</si>
  <si>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</si>
  <si>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</si>
  <si>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</si>
  <si>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</si>
  <si>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</si>
  <si>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</si>
  <si>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</si>
  <si>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</si>
  <si>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</si>
  <si>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</si>
  <si>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</si>
  <si>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</si>
  <si>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</si>
  <si>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</si>
  <si>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</si>
  <si>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</si>
  <si>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</si>
  <si>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</si>
  <si>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</si>
  <si>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</si>
  <si>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</si>
  <si>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</si>
  <si>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</si>
  <si>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</si>
  <si>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</si>
  <si>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</si>
  <si>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</si>
  <si>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</si>
  <si>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</si>
  <si>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</si>
  <si>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</si>
  <si>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</si>
  <si>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</si>
  <si>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</si>
  <si>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</si>
  <si>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</si>
  <si>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</si>
  <si>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</si>
  <si>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</si>
  <si>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</si>
  <si>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</si>
  <si>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</si>
  <si>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</si>
  <si>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</si>
  <si>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</si>
  <si>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</si>
  <si>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</si>
  <si>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</si>
  <si>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</si>
  <si>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</si>
  <si>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</si>
  <si>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</si>
  <si>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</si>
  <si>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</si>
  <si>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</si>
  <si>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</si>
  <si>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</si>
  <si>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</si>
  <si>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</si>
  <si>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</si>
  <si>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</si>
  <si>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</si>
  <si>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</si>
  <si>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</si>
  <si>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</si>
  <si>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</si>
  <si>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</si>
  <si>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</si>
  <si>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</si>
  <si>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</si>
  <si>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</si>
  <si>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</si>
  <si>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</si>
  <si>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</si>
  <si>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</si>
  <si>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</si>
  <si>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</si>
  <si>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</si>
  <si>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</si>
  <si>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</si>
  <si>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</si>
  <si>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</si>
  <si>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</si>
  <si>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</si>
  <si>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</si>
  <si>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</si>
  <si>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</si>
  <si>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</si>
  <si>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</si>
  <si>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</si>
  <si>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</si>
  <si>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</si>
  <si>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</si>
  <si>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</si>
  <si>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</si>
  <si>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</si>
  <si>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</si>
  <si>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</si>
  <si>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</si>
  <si>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</si>
  <si>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</si>
  <si>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</si>
  <si>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</si>
  <si>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</si>
  <si>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</si>
  <si>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</si>
  <si>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</si>
  <si>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</si>
  <si>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</si>
  <si>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</si>
  <si>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</si>
  <si>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</si>
  <si>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</si>
  <si>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</si>
  <si>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</si>
  <si>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</si>
  <si>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</si>
  <si>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</si>
  <si>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</si>
  <si>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</si>
  <si>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</si>
  <si>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</si>
  <si>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</si>
  <si>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</si>
  <si>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</si>
  <si>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</si>
  <si>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</si>
  <si>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</si>
  <si>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</si>
  <si>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</si>
  <si>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</si>
  <si>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</si>
  <si>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</si>
  <si>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</si>
  <si>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</si>
  <si>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</si>
  <si>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</si>
  <si>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</si>
  <si>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</si>
  <si>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</si>
  <si>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</si>
  <si>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</si>
  <si>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</si>
  <si>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</si>
  <si>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</si>
  <si>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</si>
  <si>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</si>
  <si>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</si>
  <si>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</si>
  <si>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</si>
  <si>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</si>
  <si>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</si>
  <si>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</si>
  <si>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</si>
  <si>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</si>
  <si>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</si>
  <si>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</si>
  <si>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</si>
  <si>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</si>
  <si>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</si>
  <si>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</si>
  <si>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</si>
  <si>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</si>
  <si>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</si>
  <si>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</si>
  <si>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</si>
  <si>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</si>
  <si>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</si>
  <si>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</si>
  <si>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</si>
  <si>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</si>
  <si>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</si>
  <si>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</si>
  <si>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</si>
  <si>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</si>
  <si>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</si>
  <si>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</si>
  <si>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</si>
  <si>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</si>
  <si>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</si>
  <si>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</si>
  <si>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</si>
  <si>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</si>
  <si>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</si>
  <si>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</si>
  <si>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</si>
  <si>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</si>
  <si>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</si>
  <si>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</si>
  <si>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</si>
  <si>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</si>
  <si>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</si>
  <si>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</si>
  <si>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</si>
  <si>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</si>
  <si>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</si>
  <si>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</si>
  <si>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</si>
  <si>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</si>
  <si>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</si>
  <si>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</si>
  <si>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</si>
  <si>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</si>
  <si>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</si>
  <si>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</si>
  <si>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</si>
  <si>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</si>
  <si>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</si>
  <si>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</si>
  <si>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</si>
  <si>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</si>
  <si>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</si>
  <si>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</si>
  <si>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</si>
  <si>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</si>
  <si>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</si>
  <si>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</si>
  <si>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</si>
  <si>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</si>
  <si>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</si>
  <si>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</si>
  <si>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</si>
  <si>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</si>
  <si>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</si>
  <si>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</si>
  <si>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</si>
  <si>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</si>
  <si>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</si>
  <si>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</si>
  <si>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</si>
  <si>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</si>
  <si>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</si>
  <si>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</si>
  <si>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</si>
  <si>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</si>
  <si>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</si>
  <si>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</si>
  <si>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</si>
  <si>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</si>
  <si>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</si>
  <si>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</si>
  <si>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</si>
  <si>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</si>
  <si>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</si>
  <si>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</si>
  <si>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</si>
  <si>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</si>
  <si>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</si>
  <si>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</si>
  <si>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</si>
  <si>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</si>
  <si>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</si>
  <si>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</si>
  <si>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</si>
  <si>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</si>
  <si>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</si>
  <si>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</si>
  <si>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</si>
  <si>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</si>
  <si>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</si>
  <si>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</si>
  <si>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</si>
  <si>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</si>
  <si>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</si>
  <si>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</si>
  <si>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</si>
  <si>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</si>
  <si>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</si>
  <si>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</si>
  <si>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</si>
  <si>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</si>
  <si>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</si>
  <si>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</si>
  <si>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</si>
  <si>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</si>
  <si>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</si>
  <si>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</si>
  <si>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</si>
  <si>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</si>
  <si>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</si>
  <si>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</si>
  <si>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</si>
  <si>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</si>
  <si>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</si>
  <si>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</si>
  <si>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</si>
  <si>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</si>
  <si>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</si>
  <si>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</si>
  <si>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</si>
  <si>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</si>
  <si>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</si>
  <si>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</si>
  <si>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</si>
  <si>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</si>
  <si>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</si>
  <si>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</si>
  <si>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</si>
  <si>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</si>
  <si>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</si>
  <si>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</si>
  <si>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</si>
  <si>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</si>
  <si>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</si>
  <si>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</si>
  <si>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</si>
  <si>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</si>
  <si>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</si>
  <si>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</si>
  <si>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</si>
  <si>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</si>
  <si>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</si>
  <si>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</si>
  <si>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</si>
  <si>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</si>
  <si>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</si>
  <si>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</si>
  <si>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</si>
  <si>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</si>
  <si>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</si>
  <si>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</si>
  <si>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</si>
  <si>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</si>
  <si>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</si>
  <si>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</si>
  <si>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</si>
  <si>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</si>
  <si>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</si>
  <si>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</si>
  <si>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</si>
  <si>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</si>
  <si>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</si>
  <si>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</si>
  <si>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</si>
  <si>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</si>
  <si>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</si>
  <si>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</si>
  <si>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</si>
  <si>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</si>
  <si>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</si>
  <si>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</si>
  <si>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</si>
  <si>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</si>
  <si>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</si>
  <si>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</si>
  <si>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</si>
  <si>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</si>
  <si>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</si>
  <si>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</si>
  <si>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</si>
  <si>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</si>
  <si>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</si>
  <si>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</si>
  <si>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</si>
  <si>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</si>
  <si>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</si>
  <si>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</si>
  <si>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</si>
  <si>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</si>
  <si>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</si>
  <si>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</si>
  <si>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</si>
  <si>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</si>
  <si>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</si>
  <si>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</si>
  <si>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</si>
  <si>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</si>
  <si>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</si>
  <si>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</si>
  <si>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</si>
  <si>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</si>
  <si>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</si>
  <si>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</si>
  <si>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</si>
  <si>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</si>
  <si>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</si>
  <si>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</si>
  <si>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</si>
  <si>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</si>
  <si>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</si>
  <si>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</si>
  <si>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</si>
  <si>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</si>
  <si>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</si>
  <si>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</si>
  <si>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</si>
  <si>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</si>
  <si>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</si>
  <si>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</si>
  <si>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</si>
  <si>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</si>
  <si>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</si>
  <si>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</si>
  <si>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</si>
  <si>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</si>
  <si>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</si>
  <si>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</si>
  <si>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</si>
  <si>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</si>
  <si>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</si>
  <si>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</si>
  <si>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</si>
  <si>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</si>
  <si>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</si>
  <si>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</si>
  <si>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</si>
  <si>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</si>
  <si>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</si>
  <si>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</si>
  <si>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</si>
  <si>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</si>
  <si>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</si>
  <si>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</si>
  <si>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</si>
  <si>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</si>
  <si>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</si>
  <si>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</si>
  <si>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</si>
  <si>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</si>
  <si>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</si>
  <si>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</si>
  <si>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</si>
  <si>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</si>
  <si>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</si>
  <si>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</si>
  <si>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</si>
  <si>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</si>
  <si>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</si>
  <si>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</si>
  <si>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</si>
  <si>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</si>
  <si>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</si>
  <si>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</si>
  <si>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</si>
  <si>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</si>
  <si>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</si>
  <si>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</si>
  <si>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</si>
  <si>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</si>
  <si>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</si>
  <si>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</si>
  <si>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</si>
  <si>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</si>
  <si>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</si>
  <si>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</si>
  <si>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</si>
  <si>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</si>
  <si>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</si>
  <si>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</si>
  <si>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</si>
  <si>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</si>
  <si>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</si>
  <si>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</si>
  <si>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</si>
  <si>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</si>
  <si>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</si>
  <si>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</si>
  <si>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</si>
  <si>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</si>
  <si>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</si>
  <si>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</si>
  <si>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</si>
  <si>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</si>
  <si>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</si>
  <si>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</si>
  <si>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</si>
  <si>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</si>
  <si>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</si>
  <si>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</si>
  <si>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</si>
  <si>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</si>
  <si>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</si>
  <si>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</si>
  <si>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</si>
  <si>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</si>
  <si>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</si>
  <si>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</si>
  <si>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</si>
  <si>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</si>
  <si>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</si>
  <si>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</si>
  <si>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</si>
  <si>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</si>
  <si>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</si>
  <si>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</si>
  <si>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</si>
  <si>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</si>
  <si>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</si>
  <si>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</si>
  <si>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</si>
  <si>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</si>
  <si>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</si>
  <si>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</si>
  <si>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</si>
  <si>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</si>
  <si>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</si>
  <si>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</si>
  <si>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</si>
  <si>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</si>
  <si>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</si>
  <si>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</si>
  <si>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</si>
  <si>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</si>
  <si>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</si>
  <si>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</si>
  <si>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</si>
  <si>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</si>
  <si>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</si>
  <si>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</si>
  <si>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</si>
  <si>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</si>
  <si>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</si>
  <si>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</si>
  <si>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</si>
  <si>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</si>
  <si>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</si>
  <si>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</si>
  <si>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</si>
  <si>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</si>
  <si>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</si>
  <si>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</si>
  <si>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</si>
  <si>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</si>
  <si>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</si>
  <si>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</si>
  <si>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</si>
  <si>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</si>
  <si>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</si>
  <si>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</si>
  <si>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</si>
  <si>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</si>
  <si>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</si>
  <si>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</si>
  <si>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</si>
  <si>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</si>
  <si>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</si>
  <si>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</si>
  <si>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</si>
  <si>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</si>
  <si>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</si>
  <si>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</si>
  <si>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</si>
  <si>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</si>
  <si>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</si>
  <si>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</si>
  <si>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</si>
  <si>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</si>
  <si>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</si>
  <si>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</si>
  <si>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</si>
  <si>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</si>
  <si>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</si>
  <si>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</si>
  <si>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</si>
  <si>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</si>
  <si>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</si>
  <si>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</si>
  <si>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</si>
  <si>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</si>
  <si>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</si>
  <si>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</si>
  <si>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</si>
  <si>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</si>
  <si>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</si>
  <si>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</si>
  <si>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</si>
  <si>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</si>
  <si>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</si>
  <si>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</si>
  <si>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</si>
  <si>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</si>
  <si>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</si>
  <si>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</si>
  <si>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</si>
  <si>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</si>
  <si>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</si>
  <si>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</si>
  <si>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</si>
  <si>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</si>
  <si>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</si>
  <si>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</si>
  <si>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</si>
  <si>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</si>
  <si>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</si>
  <si>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</si>
  <si>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</si>
  <si>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</si>
  <si>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</si>
  <si>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</si>
  <si>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</si>
  <si>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</si>
  <si>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</si>
  <si>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</si>
  <si>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</si>
  <si>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</si>
  <si>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</si>
  <si>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</si>
  <si>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</si>
  <si>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</si>
  <si>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</si>
  <si>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</si>
  <si>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</si>
  <si>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</si>
  <si>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</si>
  <si>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</si>
  <si>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</si>
  <si>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</si>
  <si>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</si>
  <si>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</si>
  <si>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</si>
  <si>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</si>
  <si>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</si>
  <si>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</si>
  <si>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</si>
  <si>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</si>
  <si>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</si>
  <si>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</si>
  <si>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</si>
  <si>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</si>
  <si>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</si>
  <si>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</si>
  <si>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</si>
  <si>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</si>
  <si>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</si>
  <si>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</si>
  <si>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</si>
  <si>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</si>
  <si>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</si>
  <si>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</si>
  <si>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</si>
  <si>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</si>
  <si>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</si>
  <si>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</si>
  <si>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</si>
  <si>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</si>
  <si>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</si>
  <si>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</si>
  <si>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</si>
  <si>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</si>
  <si>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</si>
  <si>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</si>
  <si>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</si>
  <si>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</si>
  <si>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</si>
  <si>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</si>
  <si>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</si>
  <si>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</si>
  <si>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</si>
  <si>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</si>
  <si>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</si>
  <si>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</si>
  <si>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</si>
  <si>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</si>
  <si>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</si>
  <si>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</si>
  <si>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</si>
  <si>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</si>
  <si>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</si>
  <si>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</si>
  <si>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</si>
  <si>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</si>
  <si>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</si>
  <si>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</si>
  <si>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</si>
  <si>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</si>
  <si>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</si>
  <si>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</si>
  <si>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</si>
  <si>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</si>
  <si>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</si>
  <si>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</si>
  <si>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</si>
  <si>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</si>
  <si>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</si>
  <si>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</si>
  <si>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</si>
  <si>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</si>
  <si>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</si>
  <si>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</si>
  <si>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</si>
  <si>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</si>
  <si>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</si>
  <si>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</si>
  <si>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</si>
  <si>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</si>
  <si>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</si>
  <si>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</si>
  <si>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</si>
  <si>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</si>
  <si>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</si>
  <si>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</si>
  <si>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</si>
  <si>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</si>
  <si>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</si>
  <si>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</si>
  <si>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</si>
  <si>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</si>
  <si>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</si>
  <si>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</si>
  <si>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</si>
  <si>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</si>
  <si>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</si>
  <si>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</si>
  <si>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</si>
  <si>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</si>
  <si>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</si>
  <si>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</si>
  <si>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</si>
  <si>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</si>
  <si>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</si>
  <si>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</si>
  <si>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</si>
  <si>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</si>
  <si>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</si>
  <si>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</si>
  <si>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</si>
  <si>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</si>
  <si>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</si>
  <si>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</si>
  <si>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</si>
  <si>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</si>
  <si>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</si>
  <si>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</si>
  <si>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</si>
  <si>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</si>
  <si>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</si>
  <si>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</si>
  <si>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</si>
  <si>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</si>
  <si>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</si>
  <si>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</si>
  <si>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</si>
  <si>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</si>
  <si>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</si>
  <si>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</si>
  <si>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</si>
  <si>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</si>
  <si>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</si>
  <si>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</si>
  <si>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</si>
  <si>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</si>
  <si>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</si>
  <si>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</si>
  <si>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</si>
  <si>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</si>
  <si>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</si>
  <si>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</si>
  <si>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</si>
  <si>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</si>
  <si>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</si>
  <si>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</si>
  <si>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</si>
  <si>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</si>
  <si>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</si>
  <si>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</si>
  <si>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</si>
  <si>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</si>
  <si>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</si>
  <si>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</si>
  <si>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</si>
  <si>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</si>
  <si>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</si>
  <si>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</si>
  <si>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</si>
  <si>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</si>
  <si>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</si>
  <si>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</si>
  <si>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</si>
  <si>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</si>
  <si>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</si>
  <si>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</si>
  <si>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</si>
  <si>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</si>
  <si>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</si>
  <si>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</si>
  <si>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</si>
  <si>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</si>
  <si>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</si>
  <si>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</si>
  <si>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</si>
  <si>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</si>
  <si>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</si>
  <si>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</si>
  <si>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</si>
  <si>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</si>
  <si>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</si>
  <si>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</si>
  <si>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</si>
  <si>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</si>
  <si>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</si>
  <si>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</si>
  <si>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</si>
  <si>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</si>
  <si>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</si>
  <si>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</si>
  <si>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</si>
  <si>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</si>
  <si>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</si>
  <si>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</si>
  <si>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</si>
  <si>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</si>
  <si>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</si>
  <si>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</si>
  <si>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</si>
  <si>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</si>
  <si>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</si>
  <si>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</si>
  <si>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</si>
  <si>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</si>
  <si>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</si>
  <si>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</si>
  <si>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</si>
  <si>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</si>
  <si>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</si>
  <si>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</si>
  <si>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</si>
  <si>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</si>
  <si>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</si>
  <si>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</si>
  <si>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</si>
  <si>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</si>
  <si>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</si>
  <si>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</si>
  <si>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</si>
  <si>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</si>
  <si>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</si>
  <si>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</si>
  <si>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</si>
  <si>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</si>
  <si>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</si>
  <si>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</si>
  <si>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</si>
  <si>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</si>
  <si>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</si>
  <si>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</si>
  <si>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</si>
  <si>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</si>
  <si>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</si>
  <si>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</si>
  <si>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</si>
  <si>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</si>
  <si>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</si>
  <si>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</si>
  <si>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</si>
  <si>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</si>
  <si>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</si>
  <si>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</si>
  <si>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</si>
  <si>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</si>
  <si>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</si>
  <si>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</si>
  <si>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</si>
  <si>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</si>
  <si>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</si>
  <si>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</si>
  <si>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</si>
  <si>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</si>
  <si>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</si>
  <si>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</si>
  <si>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</si>
  <si>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</si>
  <si>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</si>
  <si>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</si>
  <si>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</si>
  <si>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</si>
  <si>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</si>
  <si>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</si>
  <si>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</si>
  <si>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</si>
  <si>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</si>
  <si>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</si>
  <si>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</si>
  <si>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</si>
  <si>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</si>
  <si>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</si>
  <si>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</si>
  <si>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</si>
  <si>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</si>
  <si>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</si>
  <si>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</si>
  <si>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</si>
  <si>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</si>
  <si>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</si>
  <si>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</si>
  <si>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</si>
  <si>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</si>
  <si>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</si>
  <si>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</si>
  <si>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</si>
  <si>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</si>
  <si>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</si>
  <si>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</si>
  <si>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</si>
  <si>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</si>
  <si>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</si>
  <si>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</si>
  <si>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</si>
  <si>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</si>
  <si>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</si>
  <si>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</si>
  <si>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</si>
  <si>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</si>
  <si>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</si>
  <si>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</si>
  <si>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</si>
  <si>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</si>
  <si>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</si>
  <si>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</si>
  <si>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</si>
  <si>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</si>
  <si>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</si>
  <si>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</si>
  <si>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</si>
  <si>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</si>
  <si>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</si>
  <si>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</si>
  <si>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</si>
  <si>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</si>
  <si>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</si>
  <si>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</si>
  <si>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</si>
  <si>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</si>
  <si>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</si>
  <si>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</si>
  <si>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</si>
  <si>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</si>
  <si>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</si>
  <si>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</si>
  <si>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</si>
  <si>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</si>
  <si>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</si>
  <si>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</si>
  <si>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</si>
  <si>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</si>
  <si>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</si>
  <si>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</si>
  <si>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</si>
  <si>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</si>
  <si>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</si>
  <si>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</si>
  <si>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</si>
  <si>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</si>
  <si>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</si>
  <si>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</si>
  <si>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</si>
  <si>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</si>
  <si>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</si>
  <si>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</si>
  <si>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</si>
  <si>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</si>
  <si>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</si>
  <si>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</si>
  <si>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</si>
  <si>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</si>
  <si>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</si>
  <si>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</si>
  <si>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</si>
  <si>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</si>
  <si>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</si>
  <si>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</si>
  <si>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</si>
  <si>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</si>
  <si>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</si>
  <si>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</si>
  <si>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</si>
  <si>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</si>
  <si>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</si>
  <si>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</si>
  <si>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</si>
  <si>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</si>
  <si>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</si>
  <si>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</si>
  <si>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</si>
  <si>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</si>
  <si>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</si>
  <si>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</si>
  <si>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</si>
  <si>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</si>
  <si>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</si>
  <si>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</si>
  <si>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</si>
  <si>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</si>
  <si>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</si>
  <si>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</si>
  <si>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</si>
  <si>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</si>
  <si>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</si>
  <si>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</si>
  <si>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</si>
  <si>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</si>
  <si>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</si>
  <si>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</si>
  <si>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</si>
  <si>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</si>
  <si>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</si>
  <si>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</si>
  <si>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</si>
  <si>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</si>
  <si>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</si>
  <si>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</si>
  <si>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</si>
  <si>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</si>
  <si>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</si>
  <si>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</si>
  <si>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</si>
  <si>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</si>
  <si>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</si>
  <si>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</si>
  <si>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</si>
  <si>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</si>
  <si>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</si>
  <si>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</si>
  <si>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</si>
  <si>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</si>
  <si>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</si>
  <si>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</si>
  <si>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</si>
  <si>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</si>
  <si>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</si>
  <si>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</si>
  <si>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</si>
  <si>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</si>
  <si>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</si>
  <si>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</si>
  <si>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</si>
  <si>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</si>
  <si>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</si>
  <si>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</si>
  <si>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</si>
  <si>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</si>
  <si>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</si>
  <si>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</si>
  <si>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</si>
  <si>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</si>
  <si>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</si>
  <si>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</si>
  <si>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</si>
  <si>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</si>
  <si>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</si>
  <si>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</si>
  <si>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</si>
  <si>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</si>
  <si>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</si>
  <si>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</si>
  <si>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</si>
  <si>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</si>
  <si>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</si>
  <si>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</si>
  <si>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</si>
  <si>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</si>
  <si>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</si>
  <si>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</si>
  <si>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</si>
  <si>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</si>
  <si>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</si>
  <si>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</si>
  <si>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</si>
  <si>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</si>
  <si>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</si>
  <si>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</si>
  <si>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</si>
  <si>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</si>
  <si>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</si>
  <si>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</si>
  <si>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</si>
  <si>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</si>
  <si>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</si>
  <si>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</si>
  <si>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</si>
  <si>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</si>
  <si>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</si>
  <si>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</si>
  <si>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</si>
  <si>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</si>
  <si>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</si>
  <si>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</si>
  <si>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</si>
  <si>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</si>
  <si>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</si>
  <si>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</si>
  <si>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</si>
  <si>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</si>
  <si>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</si>
  <si>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</si>
  <si>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</si>
  <si>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</si>
  <si>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</si>
  <si>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</si>
  <si>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</si>
  <si>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</si>
  <si>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</si>
  <si>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</si>
  <si>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</si>
  <si>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</si>
  <si>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</si>
  <si>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</si>
  <si>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</si>
  <si>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</si>
  <si>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</si>
  <si>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</si>
  <si>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</si>
  <si>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</si>
  <si>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</si>
  <si>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</si>
  <si>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</si>
  <si>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</si>
  <si>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</si>
  <si>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</si>
  <si>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</si>
  <si>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</si>
  <si>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</si>
  <si>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</si>
  <si>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</si>
  <si>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</si>
  <si>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</si>
  <si>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</si>
  <si>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</si>
  <si>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</si>
  <si>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</si>
  <si>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</si>
  <si>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</si>
  <si>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</si>
  <si>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</si>
  <si>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</si>
  <si>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</si>
  <si>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</si>
  <si>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</si>
  <si>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</si>
  <si>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</si>
  <si>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</si>
  <si>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</si>
  <si>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</si>
  <si>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</si>
  <si>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</si>
  <si>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</si>
  <si>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</si>
  <si>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</si>
  <si>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</si>
  <si>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</si>
  <si>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</si>
  <si>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</si>
  <si>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</si>
  <si>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</si>
  <si>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</si>
  <si>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</si>
  <si>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</si>
  <si>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</si>
  <si>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</si>
  <si>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</si>
  <si>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</si>
  <si>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</si>
  <si>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</si>
  <si>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</si>
  <si>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</si>
  <si>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</si>
  <si>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</si>
  <si>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</si>
  <si>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</si>
  <si>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</si>
  <si>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</si>
  <si>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</si>
  <si>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</si>
  <si>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</si>
  <si>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</si>
  <si>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</si>
  <si>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</si>
  <si>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</si>
  <si>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</si>
  <si>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</si>
  <si>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</si>
  <si>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</si>
  <si>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</si>
  <si>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</si>
  <si>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</si>
  <si>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</si>
  <si>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</si>
  <si>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</si>
  <si>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</si>
  <si>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</si>
  <si>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</si>
  <si>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</si>
  <si>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</si>
  <si>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</si>
  <si>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</si>
  <si>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</si>
  <si>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</si>
  <si>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</si>
  <si>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</si>
  <si>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</si>
  <si>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</si>
  <si>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</si>
  <si>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</si>
  <si>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</si>
  <si>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</si>
  <si>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</si>
  <si>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</si>
  <si>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</si>
  <si>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</si>
  <si>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</si>
  <si>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</si>
  <si>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</si>
  <si>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</si>
  <si>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</si>
  <si>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</si>
  <si>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</si>
  <si>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</si>
  <si>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</si>
  <si>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</si>
  <si>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</si>
  <si>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</si>
  <si>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</si>
  <si>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</si>
  <si>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</si>
  <si>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</si>
  <si>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</si>
  <si>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</si>
  <si>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</si>
  <si>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</si>
  <si>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</si>
  <si>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</si>
  <si>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</si>
  <si>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</si>
  <si>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</si>
  <si>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</si>
  <si>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</si>
  <si>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</si>
  <si>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</si>
  <si>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</si>
  <si>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</si>
  <si>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</si>
  <si>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</si>
  <si>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</si>
  <si>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</si>
  <si>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</si>
  <si>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</si>
  <si>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</si>
  <si>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</si>
  <si>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</si>
  <si>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</si>
  <si>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</si>
  <si>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</si>
  <si>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</si>
  <si>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</si>
  <si>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</si>
  <si>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</si>
  <si>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</si>
  <si>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</si>
  <si>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</si>
  <si>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</si>
  <si>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</si>
  <si>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</si>
  <si>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</si>
  <si>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</si>
  <si>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</si>
  <si>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</si>
  <si>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</si>
  <si>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</si>
  <si>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</si>
  <si>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</si>
  <si>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</si>
  <si>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</si>
  <si>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</si>
  <si>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</si>
  <si>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</si>
  <si>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</si>
  <si>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</si>
  <si>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</si>
  <si>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</si>
  <si>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</si>
  <si>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</si>
  <si>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</si>
  <si>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</si>
  <si>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</si>
  <si>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</si>
  <si>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</si>
  <si>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</si>
  <si>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</si>
  <si>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</si>
  <si>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</si>
  <si>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</si>
  <si>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</si>
  <si>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</si>
  <si>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</si>
  <si>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</si>
  <si>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</si>
  <si>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</si>
  <si>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</si>
  <si>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</si>
  <si>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</si>
  <si>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</si>
  <si>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</si>
  <si>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</si>
  <si>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</si>
  <si>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</si>
  <si>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</si>
  <si>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</si>
  <si>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</si>
  <si>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</si>
  <si>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</si>
  <si>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</si>
  <si>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</si>
  <si>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</si>
  <si>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</si>
  <si>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</si>
  <si>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</si>
  <si>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</si>
  <si>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</si>
  <si>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</si>
  <si>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</si>
  <si>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</si>
  <si>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</si>
  <si>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</si>
  <si>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</si>
  <si>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</si>
  <si>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</si>
  <si>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</si>
  <si>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</si>
  <si>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</si>
  <si>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</si>
  <si>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</si>
  <si>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</si>
  <si>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</si>
  <si>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</si>
  <si>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</si>
  <si>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</si>
  <si>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</si>
  <si>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</si>
  <si>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</si>
  <si>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</si>
  <si>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</si>
  <si>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</si>
  <si>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</si>
  <si>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</si>
  <si>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</si>
  <si>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</si>
  <si>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</si>
  <si>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</si>
  <si>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</si>
  <si>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</si>
  <si>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</si>
  <si>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</si>
  <si>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</si>
  <si>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</si>
  <si>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</si>
  <si>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</si>
  <si>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</si>
  <si>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</si>
  <si>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</si>
  <si>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</si>
  <si>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</si>
  <si>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</si>
  <si>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</si>
  <si>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</si>
  <si>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</si>
  <si>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</si>
  <si>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</si>
  <si>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</si>
  <si>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</si>
  <si>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</si>
  <si>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</si>
  <si>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</si>
  <si>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</si>
  <si>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</si>
  <si>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</si>
  <si>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</si>
  <si>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</si>
  <si>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</si>
  <si>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</si>
  <si>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</si>
  <si>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</si>
  <si>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</si>
  <si>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</si>
  <si>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</si>
  <si>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</si>
  <si>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</si>
  <si>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</si>
  <si>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</si>
  <si>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</si>
  <si>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</si>
  <si>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</si>
  <si>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</si>
  <si>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</si>
  <si>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</si>
  <si>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</si>
  <si>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</si>
  <si>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</si>
  <si>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</si>
  <si>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</si>
  <si>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</si>
  <si>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</si>
  <si>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</si>
  <si>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</si>
  <si>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</si>
  <si>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</si>
  <si>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</si>
  <si>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</si>
  <si>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</si>
  <si>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</si>
  <si>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</si>
  <si>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</si>
  <si>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</si>
  <si>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</si>
  <si>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</si>
  <si>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</si>
  <si>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</si>
  <si>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</si>
  <si>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</si>
  <si>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</si>
  <si>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</si>
  <si>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</si>
  <si>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</si>
  <si>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</si>
  <si>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</si>
  <si>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</si>
  <si>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</si>
  <si>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</si>
  <si>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</si>
  <si>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</si>
  <si>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</si>
  <si>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</si>
  <si>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</si>
  <si>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</si>
  <si>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</si>
  <si>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</si>
  <si>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</si>
  <si>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</si>
  <si>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</si>
  <si>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</si>
  <si>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</si>
  <si>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</si>
  <si>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</si>
  <si>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</si>
  <si>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</si>
  <si>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</si>
  <si>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</si>
  <si>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</si>
  <si>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</si>
  <si>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</si>
  <si>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</si>
  <si>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</si>
  <si>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</si>
  <si>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</si>
  <si>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</si>
  <si>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</si>
  <si>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</si>
  <si>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</si>
  <si>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</si>
  <si>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</si>
  <si>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</si>
  <si>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</si>
  <si>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</si>
  <si>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</si>
  <si>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</si>
  <si>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</si>
  <si>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</si>
  <si>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</si>
  <si>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</si>
  <si>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</si>
  <si>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</si>
  <si>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</si>
  <si>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</si>
  <si>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</si>
  <si>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</si>
  <si>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</si>
  <si>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</si>
  <si>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</si>
  <si>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</si>
  <si>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</si>
  <si>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</si>
  <si>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</si>
  <si>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</si>
  <si>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</si>
  <si>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</si>
  <si>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</si>
  <si>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</si>
  <si>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</si>
  <si>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</si>
  <si>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</si>
  <si>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</si>
  <si>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</si>
  <si>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</si>
  <si>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</si>
  <si>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</si>
  <si>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</si>
  <si>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</si>
  <si>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</si>
  <si>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</si>
  <si>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</si>
  <si>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</si>
  <si>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</si>
  <si>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</si>
  <si>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</si>
  <si>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</si>
  <si>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</si>
  <si>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</si>
  <si>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</si>
  <si>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</si>
  <si>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</si>
  <si>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</si>
  <si>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</si>
  <si>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</si>
  <si>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</si>
  <si>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</si>
  <si>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</si>
  <si>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</si>
  <si>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</si>
  <si>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</si>
  <si>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</si>
  <si>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</si>
  <si>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</si>
  <si>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</si>
  <si>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</si>
  <si>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</si>
  <si>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</si>
  <si>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</si>
  <si>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</si>
  <si>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</si>
  <si>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</si>
  <si>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</si>
  <si>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</si>
  <si>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</si>
  <si>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</si>
  <si>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</si>
  <si>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</si>
  <si>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</si>
  <si>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</si>
  <si>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</si>
  <si>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</si>
  <si>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</si>
  <si>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</si>
  <si>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</si>
  <si>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</si>
  <si>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</si>
  <si>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</si>
  <si>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</si>
  <si>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</si>
  <si>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</si>
  <si>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</si>
  <si>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</si>
  <si>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</si>
  <si>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</si>
  <si>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</si>
  <si>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</si>
  <si>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</si>
  <si>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</si>
  <si>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</si>
  <si>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</si>
  <si>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</si>
  <si>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</si>
  <si>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</si>
  <si>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</si>
  <si>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</si>
  <si>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</si>
  <si>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</si>
  <si>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</si>
  <si>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</si>
  <si>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</si>
  <si>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</si>
  <si>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</si>
  <si>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</si>
  <si>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</si>
  <si>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</si>
  <si>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</si>
  <si>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</si>
  <si>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</si>
  <si>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</si>
  <si>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</si>
  <si>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</si>
  <si>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</si>
  <si>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</si>
  <si>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</si>
  <si>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</si>
  <si>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</si>
  <si>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</si>
  <si>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</si>
  <si>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</si>
  <si>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</si>
  <si>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</si>
  <si>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</si>
  <si>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</si>
  <si>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</si>
  <si>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</si>
  <si>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</si>
  <si>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</si>
  <si>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</si>
  <si>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</si>
  <si>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</si>
  <si>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</si>
  <si>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</si>
  <si>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</si>
  <si>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</si>
  <si>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</si>
  <si>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</si>
  <si>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</si>
  <si>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</si>
  <si>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</si>
  <si>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</si>
  <si>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</si>
  <si>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</si>
  <si>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</si>
  <si>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</si>
  <si>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</si>
  <si>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</si>
  <si>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</si>
  <si>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</si>
  <si>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</si>
  <si>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</si>
  <si>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</si>
  <si>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</si>
  <si>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</si>
  <si>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</si>
  <si>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</si>
  <si>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</si>
  <si>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</si>
  <si>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</si>
  <si>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</si>
  <si>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</si>
  <si>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</si>
  <si>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</si>
  <si>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</si>
  <si>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</si>
  <si>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</si>
  <si>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</si>
  <si>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</si>
  <si>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</si>
  <si>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</si>
  <si>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</si>
  <si>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</si>
  <si>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</si>
  <si>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</si>
  <si>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</si>
  <si>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</si>
  <si>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</si>
  <si>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</si>
  <si>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</si>
  <si>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</si>
  <si>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</si>
  <si>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</si>
  <si>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</si>
  <si>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</si>
  <si>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</si>
  <si>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</si>
  <si>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</si>
  <si>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</si>
  <si>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</si>
  <si>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</si>
  <si>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</si>
  <si>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</si>
  <si>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</si>
  <si>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</si>
  <si>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</si>
  <si>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</si>
  <si>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</si>
  <si>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</si>
  <si>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</si>
  <si>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</si>
  <si>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</si>
  <si>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</si>
  <si>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</si>
  <si>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</si>
  <si>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</si>
  <si>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</si>
  <si>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</si>
  <si>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</si>
  <si>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</si>
  <si>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</si>
  <si>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</si>
  <si>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</si>
  <si>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</si>
  <si>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</si>
  <si>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</si>
  <si>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</si>
  <si>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</si>
  <si>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</si>
  <si>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</si>
  <si>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</si>
  <si>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</si>
  <si>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</si>
  <si>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</si>
  <si>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</si>
  <si>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</si>
  <si>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</si>
  <si>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</si>
  <si>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</si>
  <si>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</si>
  <si>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</si>
  <si>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</si>
  <si>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</si>
  <si>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</si>
  <si>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</si>
  <si>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</si>
  <si>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</si>
  <si>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</si>
  <si>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</si>
  <si>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</si>
  <si>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</si>
  <si>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</si>
  <si>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</si>
  <si>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</si>
  <si>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</si>
  <si>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</si>
  <si>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</si>
  <si>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</si>
  <si>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</si>
  <si>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</si>
  <si>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</si>
  <si>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</si>
  <si>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</si>
  <si>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</si>
  <si>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</si>
  <si>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</si>
  <si>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</si>
  <si>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</si>
  <si>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</si>
  <si>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</si>
  <si>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</si>
  <si>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</si>
  <si>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</si>
  <si>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</si>
  <si>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</si>
  <si>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</si>
  <si>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</si>
  <si>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</si>
  <si>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</si>
  <si>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</si>
  <si>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</si>
  <si>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</si>
  <si>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</si>
  <si>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</si>
  <si>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</si>
  <si>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</si>
  <si>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</si>
  <si>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</si>
  <si>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</si>
  <si>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</si>
  <si>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</si>
  <si>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</si>
  <si>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</si>
  <si>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</si>
  <si>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</si>
  <si>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</si>
  <si>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</si>
  <si>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</si>
  <si>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</si>
  <si>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</si>
  <si>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</si>
  <si>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</si>
  <si>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</si>
  <si>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</si>
  <si>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</si>
  <si>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</si>
  <si>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</si>
  <si>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</si>
  <si>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</si>
  <si>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</si>
  <si>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</si>
  <si>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</si>
  <si>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</si>
  <si>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</si>
  <si>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</si>
  <si>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</si>
  <si>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</si>
  <si>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</si>
  <si>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</si>
  <si>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</si>
  <si>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</si>
  <si>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</si>
  <si>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</si>
  <si>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</si>
  <si>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</si>
  <si>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</si>
  <si>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</si>
  <si>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</si>
  <si>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</si>
  <si>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</si>
  <si>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</si>
  <si>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</si>
  <si>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</si>
  <si>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</si>
  <si>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</si>
  <si>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</si>
  <si>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</si>
  <si>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</si>
  <si>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</si>
  <si>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</si>
  <si>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</si>
  <si>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</si>
  <si>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</si>
  <si>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</si>
  <si>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</si>
  <si>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</si>
  <si>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</si>
  <si>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</si>
  <si>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</si>
  <si>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</si>
  <si>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</si>
  <si>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</si>
  <si>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</si>
  <si>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</si>
  <si>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</si>
  <si>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</si>
  <si>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</si>
  <si>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</si>
  <si>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</si>
  <si>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</si>
  <si>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</si>
  <si>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</si>
  <si>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</si>
  <si>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</si>
  <si>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</si>
  <si>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</si>
  <si>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</si>
  <si>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</si>
  <si>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</si>
  <si>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</si>
  <si>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</si>
  <si>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</si>
  <si>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</si>
  <si>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</si>
  <si>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</si>
  <si>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</si>
  <si>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</si>
  <si>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</si>
  <si>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</si>
  <si>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</si>
  <si>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</si>
  <si>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</si>
  <si>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</si>
  <si>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</si>
  <si>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</si>
  <si>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</si>
  <si>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</si>
  <si>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</si>
  <si>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</si>
  <si>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</si>
  <si>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</si>
  <si>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</si>
  <si>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</si>
  <si>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</si>
  <si>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</si>
  <si>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</si>
  <si>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</si>
  <si>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</si>
  <si>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</si>
  <si>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</si>
  <si>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</si>
  <si>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</si>
  <si>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</si>
  <si>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</si>
  <si>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</si>
  <si>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</si>
  <si>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</si>
  <si>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</si>
  <si>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</si>
  <si>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</si>
  <si>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</si>
  <si>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</si>
  <si>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</si>
  <si>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</si>
  <si>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</si>
  <si>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</si>
  <si>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</si>
  <si>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</si>
  <si>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</si>
  <si>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</si>
  <si>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</si>
  <si>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</si>
  <si>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</si>
  <si>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</si>
  <si>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</si>
  <si>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</si>
  <si>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</si>
  <si>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</si>
  <si>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</si>
  <si>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</si>
  <si>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</si>
  <si>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</si>
  <si>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</si>
  <si>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</si>
  <si>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</si>
  <si>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</si>
  <si>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</si>
  <si>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</si>
  <si>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</si>
  <si>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</si>
  <si>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</si>
  <si>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</si>
  <si>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</si>
  <si>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</si>
  <si>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</si>
  <si>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</si>
  <si>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</si>
  <si>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</si>
  <si>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</si>
  <si>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</si>
  <si>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</si>
  <si>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</si>
  <si>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</si>
  <si>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</si>
  <si>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</si>
  <si>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</si>
  <si>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</si>
  <si>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</si>
  <si>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</si>
  <si>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</si>
  <si>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</si>
  <si>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</si>
  <si>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</si>
  <si>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</si>
  <si>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</si>
  <si>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</si>
  <si>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</si>
  <si>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</si>
  <si>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</si>
  <si>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</si>
  <si>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</si>
  <si>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</si>
  <si>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</si>
  <si>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</si>
  <si>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</si>
  <si>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</si>
  <si>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</si>
  <si>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</si>
  <si>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</si>
  <si>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</si>
  <si>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</si>
  <si>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</si>
  <si>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</si>
  <si>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</si>
  <si>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</si>
  <si>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</si>
  <si>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</si>
  <si>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</si>
  <si>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</si>
  <si>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</si>
  <si>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</si>
  <si>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</si>
  <si>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</si>
  <si>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</si>
  <si>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</si>
  <si>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</si>
  <si>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</si>
  <si>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</si>
  <si>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</si>
  <si>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</si>
  <si>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</si>
  <si>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</si>
  <si>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</si>
  <si>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</si>
  <si>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</si>
  <si>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</si>
  <si>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</si>
  <si>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</si>
  <si>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</si>
  <si>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</si>
  <si>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</si>
  <si>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</si>
  <si>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</si>
  <si>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</si>
  <si>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</si>
  <si>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</si>
  <si>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</si>
  <si>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</si>
  <si>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</si>
  <si>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</si>
  <si>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</si>
  <si>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</si>
  <si>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</si>
  <si>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</si>
  <si>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</si>
  <si>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</si>
  <si>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</si>
  <si>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</si>
  <si>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</si>
  <si>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</si>
  <si>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</si>
  <si>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</si>
  <si>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</si>
  <si>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</si>
  <si>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</si>
  <si>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</si>
  <si>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</si>
  <si>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</si>
  <si>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</si>
  <si>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</si>
  <si>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</si>
  <si>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</si>
  <si>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</si>
  <si>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</si>
  <si>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</si>
  <si>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</si>
  <si>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</si>
  <si>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</si>
  <si>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</si>
  <si>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</si>
  <si>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</si>
  <si>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</si>
  <si>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</si>
  <si>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</si>
  <si>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</si>
  <si>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</si>
  <si>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</si>
  <si>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</si>
  <si>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</si>
  <si>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</si>
  <si>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</si>
  <si>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</si>
  <si>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</si>
  <si>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</si>
  <si>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</si>
  <si>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</si>
  <si>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</si>
  <si>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</si>
  <si>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</si>
  <si>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</si>
  <si>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</si>
  <si>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</si>
  <si>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</si>
  <si>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</si>
  <si>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</si>
  <si>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</si>
  <si>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</si>
  <si>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</si>
  <si>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</si>
  <si>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</si>
  <si>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</si>
  <si>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</si>
  <si>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</si>
  <si>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</si>
  <si>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</si>
  <si>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</si>
  <si>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</si>
  <si>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</si>
  <si>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</si>
  <si>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</si>
  <si>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</si>
  <si>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</si>
  <si>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</si>
  <si>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</si>
  <si>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</si>
  <si>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</si>
  <si>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</si>
  <si>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</si>
  <si>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</si>
  <si>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</si>
  <si>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</si>
  <si>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</si>
  <si>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</si>
  <si>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</si>
  <si>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</si>
  <si>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</si>
  <si>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</si>
  <si>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</si>
  <si>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</si>
  <si>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</si>
  <si>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</si>
  <si>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</si>
  <si>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</si>
  <si>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</si>
  <si>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</si>
  <si>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</si>
  <si>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</si>
  <si>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</si>
  <si>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</si>
  <si>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</si>
  <si>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</si>
  <si>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</si>
  <si>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</si>
  <si>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</si>
  <si>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</si>
  <si>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</si>
  <si>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</si>
  <si>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</si>
  <si>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</si>
  <si>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</si>
  <si>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</si>
  <si>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</si>
  <si>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</si>
  <si>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</si>
  <si>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</si>
  <si>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</si>
  <si>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</si>
  <si>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</si>
  <si>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</si>
  <si>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</si>
  <si>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</si>
  <si>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</si>
  <si>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</si>
  <si>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</si>
  <si>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</si>
  <si>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</si>
  <si>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</si>
  <si>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</si>
  <si>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</si>
  <si>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</si>
  <si>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</si>
  <si>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</si>
  <si>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</si>
  <si>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</si>
  <si>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</si>
  <si>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</si>
  <si>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</si>
  <si>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</si>
  <si>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</si>
  <si>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</si>
  <si>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</si>
  <si>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</si>
  <si>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</si>
  <si>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</si>
  <si>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</si>
  <si>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</si>
  <si>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</si>
  <si>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</si>
  <si>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</si>
  <si>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</si>
  <si>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</si>
  <si>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</si>
  <si>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</si>
  <si>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</si>
  <si>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</si>
  <si>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</si>
  <si>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</si>
  <si>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</si>
  <si>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</si>
  <si>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</si>
  <si>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</si>
  <si>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</si>
  <si>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</si>
  <si>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</si>
  <si>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</si>
  <si>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</si>
  <si>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</si>
  <si>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</si>
  <si>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</si>
  <si>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</si>
  <si>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</si>
  <si>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</si>
  <si>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</si>
  <si>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</si>
  <si>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</si>
  <si>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</si>
  <si>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</si>
  <si>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</si>
  <si>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</si>
  <si>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</si>
  <si>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</si>
  <si>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</si>
  <si>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</si>
  <si>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</si>
  <si>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</si>
  <si>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</si>
  <si>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</si>
  <si>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</si>
  <si>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</si>
  <si>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</si>
  <si>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</si>
  <si>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</si>
  <si>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</si>
  <si>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</si>
  <si>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</si>
  <si>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</si>
  <si>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</si>
  <si>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</si>
  <si>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</si>
  <si>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</si>
  <si>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</si>
  <si>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</si>
  <si>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</si>
  <si>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</si>
  <si>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</si>
  <si>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</si>
  <si>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</si>
  <si>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</si>
  <si>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</si>
  <si>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</si>
  <si>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</si>
  <si>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</si>
  <si>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</si>
  <si>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</si>
  <si>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</si>
  <si>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</si>
  <si>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</si>
  <si>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</si>
  <si>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</si>
  <si>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</si>
  <si>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</si>
  <si>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</si>
  <si>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</si>
  <si>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</si>
  <si>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</si>
  <si>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</si>
  <si>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</si>
  <si>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</si>
  <si>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</si>
  <si>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</si>
  <si>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</si>
  <si>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</si>
  <si>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</si>
  <si>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</si>
  <si>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</si>
  <si>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</si>
  <si>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</si>
  <si>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</si>
  <si>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</si>
  <si>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</si>
  <si>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</si>
  <si>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</si>
  <si>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</si>
  <si>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</si>
  <si>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</si>
  <si>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</si>
  <si>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</si>
  <si>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</si>
  <si>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</si>
  <si>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</si>
  <si>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</si>
  <si>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</si>
  <si>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</si>
  <si>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</si>
  <si>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</si>
  <si>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</si>
  <si>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</si>
  <si>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</si>
  <si>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</si>
  <si>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</si>
  <si>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</si>
  <si>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</si>
  <si>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</si>
  <si>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</si>
  <si>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</si>
  <si>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</si>
  <si>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</si>
  <si>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</si>
  <si>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</si>
  <si>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</si>
  <si>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</si>
  <si>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</si>
  <si>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</si>
  <si>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</si>
  <si>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</si>
  <si>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</si>
  <si>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</si>
  <si>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</si>
  <si>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</si>
  <si>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</si>
  <si>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</si>
  <si>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</si>
  <si>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</si>
  <si>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</si>
  <si>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</si>
  <si>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</si>
  <si>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</si>
  <si>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</si>
  <si>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</si>
  <si>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</si>
  <si>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</si>
  <si>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</si>
  <si>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</si>
  <si>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</si>
  <si>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</si>
  <si>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</si>
  <si>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</si>
  <si>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</si>
  <si>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</si>
  <si>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</si>
  <si>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</si>
  <si>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</si>
  <si>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</si>
  <si>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</si>
  <si>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</si>
  <si>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</si>
  <si>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</si>
  <si>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</si>
  <si>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</si>
  <si>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</si>
  <si>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</si>
  <si>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</si>
  <si>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</si>
  <si>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</si>
  <si>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</si>
  <si>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</si>
  <si>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</si>
  <si>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</si>
  <si>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</si>
  <si>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</si>
  <si>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</si>
  <si>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</si>
  <si>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</si>
  <si>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</si>
  <si>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</si>
  <si>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</si>
  <si>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</si>
  <si>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</si>
  <si>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</si>
  <si>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</si>
  <si>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</si>
  <si>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</si>
  <si>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</si>
  <si>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</si>
  <si>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</si>
  <si>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</si>
  <si>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</si>
  <si>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</si>
  <si>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</si>
  <si>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</si>
  <si>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</si>
  <si>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</si>
  <si>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</si>
  <si>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</si>
  <si>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</si>
  <si>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</si>
  <si>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</si>
  <si>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</si>
  <si>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</si>
  <si>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</si>
  <si>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</si>
  <si>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</si>
  <si>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</si>
  <si>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</si>
  <si>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</si>
  <si>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</si>
  <si>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</si>
  <si>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</si>
  <si>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</si>
  <si>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</si>
  <si>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</si>
  <si>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</si>
  <si>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</si>
  <si>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</si>
  <si>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</si>
  <si>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</si>
  <si>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</si>
  <si>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</si>
  <si>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</si>
  <si>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</si>
  <si>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</si>
  <si>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</si>
  <si>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</si>
  <si>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</si>
  <si>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</si>
  <si>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</si>
  <si>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</si>
  <si>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</si>
  <si>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</si>
  <si>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</si>
  <si>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</si>
  <si>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</si>
  <si>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</si>
  <si>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</si>
  <si>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</si>
  <si>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</si>
  <si>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</si>
  <si>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</si>
  <si>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</si>
  <si>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</si>
  <si>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</si>
  <si>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</si>
  <si>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</si>
  <si>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</si>
  <si>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</si>
  <si>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</si>
  <si>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</si>
  <si>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</si>
  <si>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</si>
  <si>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</si>
  <si>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</si>
  <si>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</si>
  <si>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</si>
  <si>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</si>
  <si>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</si>
  <si>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</si>
  <si>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</si>
  <si>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</si>
  <si>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</si>
  <si>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</si>
  <si>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</si>
  <si>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</si>
  <si>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</si>
  <si>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</si>
  <si>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</si>
  <si>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</si>
  <si>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</si>
  <si>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</si>
  <si>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</si>
  <si>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</si>
  <si>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</si>
  <si>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</si>
  <si>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</si>
  <si>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</si>
  <si>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</si>
  <si>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</si>
  <si>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</si>
  <si>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</si>
  <si>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</si>
  <si>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</si>
  <si>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</si>
  <si>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</si>
  <si>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</si>
  <si>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</si>
  <si>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</si>
  <si>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</si>
  <si>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</si>
  <si>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</si>
  <si>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</si>
  <si>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</si>
  <si>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</si>
  <si>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</si>
  <si>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</si>
  <si>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</si>
  <si>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</si>
  <si>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</si>
  <si>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</si>
  <si>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</si>
  <si>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</si>
  <si>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</si>
  <si>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</si>
  <si>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</si>
  <si>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</si>
  <si>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</si>
  <si>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</si>
  <si>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</si>
  <si>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</si>
  <si>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</si>
  <si>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</si>
  <si>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</si>
  <si>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</si>
  <si>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</si>
  <si>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</si>
  <si>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</si>
  <si>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</si>
  <si>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</si>
  <si>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</si>
  <si>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</si>
  <si>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</si>
  <si>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</si>
  <si>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</si>
  <si>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</si>
  <si>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</si>
  <si>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</si>
  <si>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</si>
  <si>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</si>
  <si>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</si>
  <si>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</si>
  <si>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</si>
  <si>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</si>
  <si>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</si>
  <si>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</si>
  <si>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</si>
  <si>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</si>
  <si>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</si>
  <si>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</si>
  <si>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</si>
  <si>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</si>
  <si>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</si>
  <si>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</si>
  <si>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</si>
  <si>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</si>
  <si>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</si>
  <si>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</si>
  <si>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</si>
  <si>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</si>
  <si>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</si>
  <si>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</si>
  <si>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</si>
  <si>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</si>
  <si>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</si>
  <si>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</si>
  <si>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</si>
  <si>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</si>
  <si>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</si>
  <si>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</si>
  <si>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</si>
  <si>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</si>
  <si>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</si>
  <si>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</si>
  <si>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</si>
  <si>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</si>
  <si>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</si>
  <si>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</si>
  <si>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</si>
  <si>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</si>
  <si>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</si>
  <si>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</si>
  <si>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</si>
  <si>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</si>
  <si>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</si>
  <si>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</si>
  <si>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</si>
  <si>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</si>
  <si>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</si>
  <si>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</si>
  <si>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</si>
  <si>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</si>
  <si>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</si>
  <si>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</si>
  <si>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</si>
  <si>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</si>
  <si>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</si>
  <si>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</si>
  <si>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</si>
  <si>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</si>
  <si>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</si>
  <si>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</si>
  <si>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</si>
  <si>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</si>
  <si>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</si>
  <si>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</si>
  <si>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</si>
  <si>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</si>
  <si>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</si>
  <si>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</si>
  <si>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</si>
  <si>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</si>
  <si>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</si>
  <si>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</si>
  <si>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</si>
  <si>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</si>
  <si>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</si>
  <si>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</si>
  <si>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</si>
  <si>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</si>
  <si>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</si>
  <si>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</si>
  <si>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</si>
  <si>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</si>
  <si>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</si>
  <si>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</si>
  <si>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</si>
  <si>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</si>
  <si>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</si>
  <si>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</si>
  <si>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</si>
  <si>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</si>
  <si>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</si>
  <si>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</si>
  <si>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</si>
  <si>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</si>
  <si>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</si>
  <si>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</si>
  <si>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</si>
  <si>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</si>
  <si>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</si>
  <si>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</si>
  <si>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</si>
  <si>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</si>
  <si>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</si>
  <si>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</si>
  <si>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</si>
  <si>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</si>
  <si>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</si>
  <si>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</si>
  <si>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</si>
  <si>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</si>
  <si>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</si>
  <si>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</si>
  <si>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</si>
  <si>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</si>
  <si>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</si>
  <si>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</si>
  <si>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</si>
  <si>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</si>
  <si>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</si>
  <si>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</si>
  <si>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</si>
  <si>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</si>
  <si>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</si>
  <si>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</si>
  <si>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</si>
  <si>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</si>
  <si>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</si>
  <si>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</si>
  <si>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</si>
  <si>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</si>
  <si>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</si>
  <si>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</si>
  <si>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</si>
  <si>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</si>
  <si>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</si>
  <si>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</si>
  <si>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</si>
  <si>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</si>
  <si>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</si>
  <si>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</si>
  <si>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</si>
  <si>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</si>
  <si>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</si>
  <si>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</si>
  <si>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</si>
  <si>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</si>
  <si>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</si>
  <si>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</si>
  <si>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</si>
  <si>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</si>
  <si>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</si>
  <si>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</si>
  <si>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</si>
  <si>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</si>
  <si>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</si>
  <si>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</si>
  <si>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</si>
  <si>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</si>
  <si>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</si>
  <si>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</si>
  <si>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</si>
  <si>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</si>
  <si>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</si>
  <si>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</si>
  <si>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</si>
  <si>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</si>
  <si>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</si>
  <si>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</si>
  <si>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</si>
  <si>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</si>
  <si>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</si>
  <si>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</si>
  <si>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</si>
  <si>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</si>
  <si>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</si>
  <si>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</si>
  <si>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</si>
  <si>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</si>
  <si>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</si>
  <si>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</si>
  <si>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</si>
  <si>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</si>
  <si>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</si>
  <si>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</si>
  <si>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</si>
  <si>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</si>
  <si>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</si>
  <si>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</si>
  <si>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</si>
  <si>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</si>
  <si>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</si>
  <si>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</si>
  <si>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</si>
  <si>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</si>
  <si>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</si>
  <si>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</si>
  <si>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</si>
  <si>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</si>
  <si>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</si>
  <si>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</si>
  <si>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</si>
  <si>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</si>
  <si>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</si>
  <si>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</si>
  <si>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</si>
  <si>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</si>
  <si>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</si>
  <si>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</si>
  <si>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</si>
  <si>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</si>
  <si>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</si>
  <si>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</si>
  <si>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</si>
  <si>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</si>
  <si>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</si>
  <si>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</si>
  <si>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</si>
  <si>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</si>
  <si>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</si>
  <si>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</si>
  <si>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</si>
  <si>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</si>
  <si>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</si>
  <si>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</si>
  <si>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</si>
  <si>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</si>
  <si>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</si>
  <si>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</si>
  <si>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</si>
  <si>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</si>
  <si>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</si>
  <si>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</si>
  <si>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</si>
  <si>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</si>
  <si>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</si>
  <si>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</si>
  <si>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</si>
  <si>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</si>
  <si>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</si>
  <si>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</si>
  <si>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</si>
  <si>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</si>
  <si>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</si>
  <si>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</si>
  <si>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</si>
  <si>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</si>
  <si>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</si>
  <si>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</si>
  <si>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</si>
  <si>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</si>
  <si>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</si>
  <si>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</si>
  <si>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</si>
  <si>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</si>
  <si>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</si>
  <si>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</si>
  <si>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</si>
  <si>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</si>
  <si>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</si>
  <si>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</si>
  <si>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</si>
  <si>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</si>
  <si>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</si>
  <si>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</si>
  <si>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</si>
  <si>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</si>
  <si>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</si>
  <si>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</si>
  <si>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</si>
  <si>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</si>
  <si>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</si>
  <si>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</si>
  <si>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</si>
  <si>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</si>
  <si>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</si>
  <si>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</si>
  <si>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</si>
  <si>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</si>
  <si>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</si>
  <si>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</si>
  <si>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</si>
  <si>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</si>
  <si>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</si>
  <si>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</si>
  <si>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</si>
  <si>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</si>
  <si>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</si>
  <si>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</si>
  <si>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</si>
  <si>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</si>
  <si>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</si>
  <si>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</si>
  <si>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</si>
  <si>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</si>
  <si>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</si>
  <si>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</si>
  <si>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</si>
  <si>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</si>
  <si>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</si>
  <si>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</si>
  <si>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</si>
  <si>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</si>
  <si>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</si>
  <si>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</si>
  <si>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</si>
  <si>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</si>
  <si>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</si>
  <si>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</si>
  <si>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</si>
  <si>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2018A-027</t>
    <phoneticPr fontId="136" type="noConversion"/>
  </si>
  <si>
    <t>兴业银行股份有限公司北京昌平支行</t>
    <phoneticPr fontId="6" type="noConversion"/>
  </si>
  <si>
    <t>北京德利生华液化气有限公司</t>
    <phoneticPr fontId="6" type="noConversion"/>
  </si>
  <si>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</si>
  <si>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</si>
  <si>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</si>
  <si>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</si>
  <si>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</si>
  <si>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京昌国用（</t>
    </r>
    <r>
      <rPr>
        <sz val="12"/>
        <color theme="9" tint="-0.249977111117893"/>
        <rFont val="Arial"/>
        <family val="2"/>
      </rPr>
      <t>2006</t>
    </r>
    <r>
      <rPr>
        <sz val="12"/>
        <color theme="9" tint="-0.249977111117893"/>
        <rFont val="宋体"/>
        <family val="3"/>
        <charset val="134"/>
      </rPr>
      <t>出）第</t>
    </r>
    <r>
      <rPr>
        <sz val="12"/>
        <color theme="9" tint="-0.249977111117893"/>
        <rFont val="Arial"/>
        <family val="2"/>
      </rPr>
      <t>223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</si>
  <si>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京房权证昌其字第</t>
    </r>
    <r>
      <rPr>
        <sz val="12"/>
        <color theme="9" tint="-0.249977111117893"/>
        <rFont val="Arial"/>
        <family val="2"/>
      </rPr>
      <t>30839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</si>
  <si>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是</t>
  </si>
  <si>
    <t>复印件</t>
  </si>
  <si>
    <t>否</t>
  </si>
  <si>
    <t>全部土地附属房</t>
    <phoneticPr fontId="6" type="noConversion"/>
  </si>
  <si>
    <t>工业项目</t>
  </si>
  <si>
    <t>现房</t>
  </si>
  <si>
    <t>无</t>
  </si>
  <si>
    <t>通路</t>
  </si>
  <si>
    <t>通电</t>
  </si>
  <si>
    <t>通讯</t>
  </si>
  <si>
    <t>通上水</t>
  </si>
  <si>
    <t>通下水</t>
  </si>
  <si>
    <t>燃气</t>
  </si>
  <si>
    <t>工业</t>
    <phoneticPr fontId="6" type="noConversion"/>
  </si>
  <si>
    <t>工业</t>
    <phoneticPr fontId="3" type="noConversion"/>
  </si>
  <si>
    <t>地上</t>
  </si>
  <si>
    <t>标准厂房</t>
  </si>
  <si>
    <t>工业</t>
    <phoneticPr fontId="7" type="noConversion"/>
  </si>
  <si>
    <t>工业</t>
    <phoneticPr fontId="3" type="noConversion"/>
  </si>
  <si>
    <t>成新度</t>
  </si>
  <si>
    <t>收益法</t>
  </si>
  <si>
    <t>押一</t>
  </si>
  <si>
    <t>按租金收入计税</t>
  </si>
  <si>
    <t>砖混</t>
  </si>
  <si>
    <t>非生产用房</t>
  </si>
  <si>
    <t>工业用地</t>
  </si>
  <si>
    <t>不临58条商业街</t>
  </si>
  <si>
    <t>较差</t>
  </si>
  <si>
    <t>一般</t>
  </si>
  <si>
    <t>较好</t>
  </si>
  <si>
    <t>与级别开发程度不一致</t>
  </si>
  <si>
    <t>平整</t>
  </si>
  <si>
    <t>容积率修正</t>
  </si>
  <si>
    <t>未包含在土地购买价格中</t>
  </si>
  <si>
    <t>已包含在土地取得成本中</t>
  </si>
  <si>
    <t>成本法</t>
  </si>
  <si>
    <t>出让金+开发费</t>
  </si>
  <si>
    <t>企业提供（在右侧录入）</t>
  </si>
  <si>
    <t>情况3</t>
  </si>
  <si>
    <t>宗地容积率</t>
  </si>
  <si>
    <t>昌平区南口镇前洼村南液化气站工业用房房地产</t>
    <phoneticPr fontId="6" type="noConversion"/>
  </si>
  <si>
    <t>季度增幅（自定义）</t>
  </si>
  <si>
    <t>自定义</t>
  </si>
  <si>
    <t>建筑物价值</t>
  </si>
  <si>
    <t>直线</t>
    <phoneticPr fontId="3" type="noConversion"/>
  </si>
  <si>
    <t>综合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</si>
</sst>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2" borderId="5" xfId="1" applyNumberFormat="1" applyFont="1" applyFill="1" applyBorder="1" applyAlignment="1" applyProtection="1">
      <alignment vertical="center"/>
      <protection locked="0"/>
    </xf>
    <xf numFmtId="0" fontId="106" fillId="5" borderId="1" xfId="0" applyNumberFormat="1" applyFont="1" applyFill="1" applyBorder="1" applyAlignment="1" applyProtection="1">
      <alignment horizontal="center" vertical="center"/>
      <protection locked="0"/>
    </xf>
    <xf numFmtId="0" fontId="120" fillId="5" borderId="49" xfId="1" applyNumberFormat="1" applyFont="1" applyFill="1" applyBorder="1" applyAlignment="1" applyProtection="1">
      <alignment horizontal="center" vertical="center"/>
      <protection locked="0"/>
    </xf>
    <xf numFmtId="177" fontId="56" fillId="7" borderId="1" xfId="1" applyNumberFormat="1" applyFont="1" applyFill="1" applyBorder="1" applyAlignment="1" applyProtection="1">
      <alignment horizontal="center"/>
    </xf>
    <xf numFmtId="0" fontId="50" fillId="17" borderId="1" xfId="0" applyFont="1" applyFill="1" applyBorder="1" applyAlignment="1" applyProtection="1">
      <alignment horizontal="center" vertical="center"/>
    </xf>
    <xf numFmtId="181" fontId="55" fillId="17" borderId="24" xfId="0" applyNumberFormat="1" applyFont="1" applyFill="1" applyBorder="1" applyAlignment="1" applyProtection="1">
      <alignment horizontal="center" vertical="center"/>
    </xf>
    <xf numFmtId="0" fontId="55" fillId="17" borderId="24" xfId="0" applyFont="1" applyFill="1" applyBorder="1" applyAlignment="1" applyProtection="1">
      <alignment horizontal="center" vertical="center"/>
    </xf>
    <xf numFmtId="181" fontId="105" fillId="17" borderId="1" xfId="0" applyNumberFormat="1" applyFont="1" applyFill="1" applyBorder="1" applyAlignment="1" applyProtection="1">
      <alignment horizontal="center" vertical="center"/>
      <protection locked="0"/>
    </xf>
    <xf numFmtId="187" fontId="53" fillId="17" borderId="84" xfId="0" applyNumberFormat="1" applyFont="1" applyFill="1" applyBorder="1" applyAlignment="1" applyProtection="1">
      <alignment horizontal="center" vertical="center" wrapText="1"/>
    </xf>
    <xf numFmtId="9" fontId="50" fillId="17" borderId="5"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10" fontId="47" fillId="17" borderId="1" xfId="0" applyNumberFormat="1" applyFont="1" applyFill="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181" fontId="47" fillId="0" borderId="1" xfId="0"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181" fontId="50" fillId="17"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675077</xdr:colOff>
      <xdr:row>15</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9590477" cy="2390476"/>
        </a:xfrm>
        <a:prstGeom prst="rect">
          <a:avLst/>
        </a:prstGeom>
      </xdr:spPr>
    </xdr:pic>
    <xdr:clientData/>
  </xdr:twoCellAnchor>
  <xdr:twoCellAnchor editAs="oneCell">
    <xdr:from>
      <xdr:col>0</xdr:col>
      <xdr:colOff>0</xdr:colOff>
      <xdr:row>17</xdr:row>
      <xdr:rowOff>0</xdr:rowOff>
    </xdr:from>
    <xdr:to>
      <xdr:col>14</xdr:col>
      <xdr:colOff>132134</xdr:colOff>
      <xdr:row>25</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9733334" cy="1523810"/>
        </a:xfrm>
        <a:prstGeom prst="rect">
          <a:avLst/>
        </a:prstGeom>
      </xdr:spPr>
    </xdr:pic>
    <xdr:clientData/>
  </xdr:twoCellAnchor>
  <xdr:twoCellAnchor editAs="oneCell">
    <xdr:from>
      <xdr:col>0</xdr:col>
      <xdr:colOff>0</xdr:colOff>
      <xdr:row>27</xdr:row>
      <xdr:rowOff>0</xdr:rowOff>
    </xdr:from>
    <xdr:to>
      <xdr:col>14</xdr:col>
      <xdr:colOff>265467</xdr:colOff>
      <xdr:row>35</xdr:row>
      <xdr:rowOff>104591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9866667" cy="1476191"/>
        </a:xfrm>
        <a:prstGeom prst="rect">
          <a:avLst/>
        </a:prstGeom>
      </xdr:spPr>
    </xdr:pic>
    <xdr:clientData/>
  </xdr:twoCellAnchor>
  <xdr:twoCellAnchor editAs="oneCell">
    <xdr:from>
      <xdr:col>0</xdr:col>
      <xdr:colOff>0</xdr:colOff>
      <xdr:row>37</xdr:row>
      <xdr:rowOff>0</xdr:rowOff>
    </xdr:from>
    <xdr:to>
      <xdr:col>14</xdr:col>
      <xdr:colOff>217848</xdr:colOff>
      <xdr:row>53</xdr:row>
      <xdr:rowOff>37753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9819048" cy="2780953"/>
        </a:xfrm>
        <a:prstGeom prst="rect">
          <a:avLst/>
        </a:prstGeom>
      </xdr:spPr>
    </xdr:pic>
    <xdr:clientData/>
  </xdr:twoCellAnchor>
  <xdr:twoCellAnchor editAs="oneCell">
    <xdr:from>
      <xdr:col>0</xdr:col>
      <xdr:colOff>0</xdr:colOff>
      <xdr:row>54</xdr:row>
      <xdr:rowOff>0</xdr:rowOff>
    </xdr:from>
    <xdr:to>
      <xdr:col>13</xdr:col>
      <xdr:colOff>503648</xdr:colOff>
      <xdr:row>62</xdr:row>
      <xdr:rowOff>114114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258300"/>
          <a:ext cx="9419048"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北京市昌平区南口镇前洼村南液化气站工业用房房地产房地产抵押价值预评估</v>
      </c>
    </row>
    <row r="3" spans="1:2" s="1592" customFormat="1">
      <c r="A3" s="1590" t="s">
        <v>1217</v>
      </c>
      <c r="B3" s="1591" t="str">
        <f>'预评函-封皮'!B40</f>
        <v>北京德利生华液化气有限公司</v>
      </c>
    </row>
    <row r="4" spans="1:2" s="1592" customFormat="1">
      <c r="A4" s="1590" t="s">
        <v>1218</v>
      </c>
      <c r="B4" s="1591" t="str">
        <f>'预评函-封皮'!B46</f>
        <v>（注册号：0)、（注册号：0)</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受贵公司委托，我公司对北京市昌平区南口镇前洼村南液化气站工业用房房地产房地产抵押价值进行了预评估。</v>
      </c>
    </row>
    <row r="7" spans="1:2" s="1592" customFormat="1">
      <c r="A7" s="1590" t="s">
        <v>1260</v>
      </c>
      <c r="B7" s="1591" t="str">
        <f>'预评函-1'!A7</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为估价委托人在向兴业银行股份有限公司北京昌平支行办理贷款手续过程中，确定房地产抵押贷款额度提供参考依据而评估房地产抵押价值。</v>
      </c>
    </row>
    <row r="12" spans="1:2" s="1592" customFormat="1">
      <c r="A12" s="1590" t="s">
        <v>1222</v>
      </c>
      <c r="B12" s="1591" t="str">
        <f>'预评函-1'!A15</f>
        <v>2020年4月21日（评估专业人员实地查勘之日）</v>
      </c>
    </row>
    <row r="13" spans="1:2" s="1592" customFormat="1">
      <c r="A13" s="1590" t="s">
        <v>1223</v>
      </c>
      <c r="B13" s="1591" t="str">
        <f>'预评函-1'!A18</f>
        <v>本次估价的“房地产价值”是指在正常市场情况下，在价值时点2020年4月21日，估价对象规划用途为工业，土地取得方式为出让，出让国有建设用地使用权剩余土地使用年限为37.6，假定未设立法定优先受偿款下的房地产市场价值。</v>
      </c>
    </row>
    <row r="14" spans="1:2" s="1592" customFormat="1">
      <c r="A14" s="1590" t="s">
        <v>1224</v>
      </c>
      <c r="B14" s="1591" t="str">
        <f>'预评函-1'!A19</f>
        <v>其中，“出让国有建设用地使用权价值”是指估价对象用途为工业，实际开发程度为宗地红线外“七通”（即通路、通电、通讯、通上水、通下水、燃气、）、红线内场地平整条件下，剩余土地使用年限为37.6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1088</v>
      </c>
    </row>
    <row r="21" spans="1:2" s="1592" customFormat="1">
      <c r="A21" s="1590" t="s">
        <v>1231</v>
      </c>
      <c r="B21" s="1591">
        <f ca="1">'预评函-2'!D7</f>
        <v>9833</v>
      </c>
    </row>
    <row r="22" spans="1:2" s="1592" customFormat="1">
      <c r="A22" s="1590" t="s">
        <v>1232</v>
      </c>
      <c r="B22" s="1591" t="str">
        <f ca="1">'预评函-2'!D6</f>
        <v>壹仟零捌拾捌万元整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1088</v>
      </c>
    </row>
    <row r="31" spans="1:2" s="1592" customFormat="1">
      <c r="A31" s="1590" t="s">
        <v>1270</v>
      </c>
      <c r="B31" s="1591">
        <f ca="1">'预评函-2'!D15</f>
        <v>9833</v>
      </c>
    </row>
    <row r="32" spans="1:2" s="1592" customFormat="1">
      <c r="A32" s="1590" t="s">
        <v>1237</v>
      </c>
      <c r="B32" s="1591" t="str">
        <f ca="1">'预评函-2'!D14</f>
        <v>壹仟零捌拾捌万元整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1017</v>
      </c>
    </row>
    <row r="39" spans="1:2" s="1592" customFormat="1">
      <c r="A39" s="1590" t="s">
        <v>1239</v>
      </c>
      <c r="B39" s="1591">
        <f ca="1">'预评函-2'!D21</f>
        <v>9192</v>
      </c>
    </row>
    <row r="40" spans="1:2" s="1592" customFormat="1">
      <c r="A40" s="1590" t="s">
        <v>1240</v>
      </c>
      <c r="B40" s="1591" t="str">
        <f ca="1">'预评函-2'!D20</f>
        <v>壹仟零壹拾柒万元整</v>
      </c>
    </row>
    <row r="41" spans="1:2" s="1592" customFormat="1">
      <c r="A41" s="1590" t="s">
        <v>1286</v>
      </c>
      <c r="B41" s="1591" t="str">
        <f>'预评函-3'!A4</f>
        <v>北京市昌平区南口镇前洼村南液化气站工业用房房地产房地产</v>
      </c>
    </row>
    <row r="42" spans="1:2" s="1592" customFormat="1" ht="31.2">
      <c r="A42" s="1590" t="s">
        <v>1284</v>
      </c>
      <c r="B42" s="1591" t="str">
        <f>'预评函-3'!B2</f>
        <v>建筑面积</v>
      </c>
    </row>
    <row r="43" spans="1:2" s="1592" customFormat="1">
      <c r="A43" s="1590" t="s">
        <v>1285</v>
      </c>
      <c r="B43" s="1591">
        <f>'预评函-3'!B4</f>
        <v>1106.44</v>
      </c>
    </row>
    <row r="44" spans="1:2" s="1592" customFormat="1" ht="31.2">
      <c r="A44" s="1590" t="s">
        <v>1269</v>
      </c>
      <c r="B44" s="1591" t="str">
        <f>'预评函-3'!C2</f>
        <v>(分摊)土地面积</v>
      </c>
    </row>
    <row r="45" spans="1:2" s="1592" customFormat="1">
      <c r="A45" s="1590" t="s">
        <v>1241</v>
      </c>
      <c r="B45" s="1591">
        <f>'预评函-3'!C4</f>
        <v>8001.46</v>
      </c>
    </row>
    <row r="46" spans="1:2" s="1592" customFormat="1">
      <c r="A46" s="1590" t="s">
        <v>1267</v>
      </c>
      <c r="B46" s="1591" t="str">
        <f>'预评函-3'!D2</f>
        <v>出让国有建设用地使用权价值</v>
      </c>
    </row>
    <row r="47" spans="1:2" s="1592" customFormat="1">
      <c r="A47" s="1590" t="s">
        <v>1242</v>
      </c>
      <c r="B47" s="1591">
        <f ca="1">'预评函-3'!D4</f>
        <v>844</v>
      </c>
    </row>
    <row r="48" spans="1:2" s="1592" customFormat="1">
      <c r="A48" s="1590" t="s">
        <v>1243</v>
      </c>
      <c r="B48" s="1591">
        <f ca="1">'预评函-3'!E4</f>
        <v>7628</v>
      </c>
    </row>
    <row r="49" spans="1:2" s="1592" customFormat="1">
      <c r="A49" s="1590" t="s">
        <v>1244</v>
      </c>
      <c r="B49" s="1591" t="str">
        <f ca="1">'预评函-3'!D5</f>
        <v>捌佰肆拾肆万元整</v>
      </c>
    </row>
    <row r="50" spans="1:2" s="1592" customFormat="1">
      <c r="A50" s="1590" t="s">
        <v>1268</v>
      </c>
      <c r="B50" s="1591" t="str">
        <f>'预评函-3'!F2</f>
        <v>建筑物价值</v>
      </c>
    </row>
    <row r="51" spans="1:2" s="1592" customFormat="1">
      <c r="A51" s="1590" t="s">
        <v>1245</v>
      </c>
      <c r="B51" s="1591">
        <f ca="1">'预评函-3'!F4</f>
        <v>244</v>
      </c>
    </row>
    <row r="52" spans="1:2" s="1592" customFormat="1">
      <c r="A52" s="1590" t="s">
        <v>1246</v>
      </c>
      <c r="B52" s="1591">
        <f ca="1">'预评函-3'!G4</f>
        <v>2205</v>
      </c>
    </row>
    <row r="53" spans="1:2" s="1592" customFormat="1">
      <c r="A53" s="1590" t="s">
        <v>1274</v>
      </c>
      <c r="B53" s="1591" t="str">
        <f ca="1">'预评函-3'!F5</f>
        <v>贰佰肆拾肆万元整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f>'预评函-4'!A4</f>
        <v>0</v>
      </c>
    </row>
    <row r="71" spans="1:2">
      <c r="A71" s="1590" t="s">
        <v>1257</v>
      </c>
      <c r="B71" s="1591">
        <f>'预评函-4'!B4</f>
        <v>0</v>
      </c>
    </row>
    <row r="72" spans="1:2">
      <c r="A72" s="1590" t="s">
        <v>1258</v>
      </c>
      <c r="B72" s="1599">
        <f>'预评函-4'!A5</f>
        <v>0</v>
      </c>
    </row>
    <row r="73" spans="1:2" s="1586" customFormat="1" ht="16.2" thickBot="1">
      <c r="A73" s="1593" t="s">
        <v>1259</v>
      </c>
      <c r="B73" s="1594">
        <f>'预评函-4'!B5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为估价委托人在向兴业银行股份有限公司北京昌平支行办理贷款手续过程中，确定房地产抵押贷款额度提供参考依据而评估房地产抵押价值。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德利生华液化气有限公司拟使用北京市昌平区南口镇前洼村南液化气站工业用房房地产房地产作为抵押担保物，向兴业银行股份有限公司北京昌平支行办理贷款手续。兴业银行股份有限公司北京昌平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6"/>
      <c r="B54" s="2021" t="s">
        <v>861</v>
      </c>
      <c r="C54" s="2018" t="s">
        <v>1277</v>
      </c>
    </row>
    <row r="55" spans="1:4">
      <c r="A55" s="3016"/>
      <c r="B55" s="2021" t="s">
        <v>862</v>
      </c>
      <c r="C55" s="2018" t="s">
        <v>1278</v>
      </c>
    </row>
    <row r="56" spans="1:4">
      <c r="A56" s="3016"/>
      <c r="B56" s="2021" t="s">
        <v>863</v>
      </c>
      <c r="C56" s="2018" t="s">
        <v>1282</v>
      </c>
    </row>
    <row r="57" spans="1:4">
      <c r="A57" s="301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2" sqref="L12"/>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25" t="str">
        <f>IF(B10="北京市","北京市",C10)&amp;F10&amp;IF(结果表!G1="在建","出让国有建设用地使用权及在建建筑物",IF(结果表!G1="土地","出让国有建设用地使用权",))&amp;B9&amp;"预评估"</f>
        <v>北京市昌平区南口镇前洼村南液化气站工业用房房地产房地产抵押价值预评估</v>
      </c>
      <c r="C1" s="3026"/>
      <c r="D1" s="3026"/>
      <c r="E1" s="3026"/>
      <c r="F1" s="3026"/>
      <c r="G1" s="3026"/>
      <c r="H1" s="3026"/>
      <c r="I1" s="302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北京市昌平区南口镇前洼村南液化气站工业用房房地产房地产抵押价值</v>
      </c>
    </row>
    <row r="2" spans="1:19" ht="18" customHeight="1">
      <c r="A2" s="2025" t="s">
        <v>1772</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北京市昌平区南口镇前洼村南液化气站工业用房房地产房地产</v>
      </c>
    </row>
    <row r="3" spans="1:19" ht="18" customHeight="1">
      <c r="A3" s="2034" t="s">
        <v>1773</v>
      </c>
      <c r="B3" s="2035">
        <v>43942</v>
      </c>
      <c r="C3" s="2036" t="s">
        <v>1774</v>
      </c>
      <c r="D3" s="2035">
        <f>B3</f>
        <v>43942</v>
      </c>
      <c r="E3" s="2025"/>
      <c r="F3" s="2025"/>
      <c r="G3" s="2025"/>
      <c r="H3" s="2025"/>
      <c r="I3" s="2025"/>
      <c r="J3" s="2025"/>
      <c r="K3" s="2026"/>
      <c r="L3" s="2027"/>
      <c r="M3" s="2027"/>
      <c r="N3" s="2028"/>
      <c r="O3" s="2029"/>
      <c r="P3" s="2028"/>
      <c r="Q3" s="2028"/>
      <c r="R3" s="2028"/>
      <c r="S3" s="2030"/>
    </row>
    <row r="4" spans="1:19" ht="18" customHeight="1" thickBot="1">
      <c r="A4" s="2037" t="s">
        <v>1775</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52.5" customHeight="1" thickTop="1">
      <c r="A5" s="2043" t="s">
        <v>1776</v>
      </c>
      <c r="B5" s="2949"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0" t="s">
        <v>3047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51" t="s">
        <v>3048</v>
      </c>
      <c r="C7" s="2047"/>
      <c r="D7" s="2048"/>
      <c r="E7" s="2033"/>
      <c r="F7" s="2041"/>
      <c r="G7" s="2041"/>
      <c r="H7" s="2041"/>
      <c r="I7" s="2041"/>
      <c r="J7" s="2041"/>
      <c r="K7" s="2050"/>
      <c r="L7" s="2027"/>
      <c r="M7" s="2027"/>
      <c r="N7" s="2028"/>
      <c r="O7" s="2029"/>
      <c r="P7" s="2028"/>
      <c r="Q7" s="2028"/>
      <c r="R7" s="2028"/>
    </row>
    <row r="8" spans="1:19" ht="18" customHeight="1">
      <c r="A8" s="2046" t="s">
        <v>1779</v>
      </c>
      <c r="B8" s="2051" t="s">
        <v>3049</v>
      </c>
      <c r="C8" s="2052"/>
      <c r="D8" s="3028" t="s">
        <v>1780</v>
      </c>
      <c r="E8" s="2053" t="s">
        <v>3050</v>
      </c>
      <c r="F8" s="2054"/>
      <c r="G8" s="2025"/>
      <c r="H8" s="2025"/>
      <c r="I8" s="2025"/>
      <c r="J8" s="2041"/>
      <c r="K8" s="2042"/>
      <c r="L8" s="2027"/>
      <c r="M8" s="2027"/>
      <c r="N8" s="2028"/>
      <c r="O8" s="2029"/>
      <c r="P8" s="2028"/>
      <c r="Q8" s="2028"/>
      <c r="R8" s="2028"/>
    </row>
    <row r="9" spans="1:19" ht="18" customHeight="1" thickBot="1">
      <c r="A9" s="2039" t="s">
        <v>1781</v>
      </c>
      <c r="B9" s="2055" t="s">
        <v>3050</v>
      </c>
      <c r="C9" s="2056"/>
      <c r="D9" s="3029"/>
      <c r="E9" s="2055" t="s">
        <v>1281</v>
      </c>
      <c r="F9" s="2057"/>
      <c r="G9" s="2058"/>
      <c r="H9" s="2058"/>
      <c r="I9" s="2058"/>
      <c r="J9" s="2041"/>
      <c r="K9" s="2050"/>
      <c r="L9" s="2027"/>
      <c r="M9" s="2027"/>
      <c r="N9" s="2028"/>
      <c r="O9" s="2029"/>
      <c r="P9" s="2028"/>
      <c r="Q9" s="2028"/>
      <c r="R9" s="2028"/>
    </row>
    <row r="10" spans="1:19" ht="18" customHeight="1" thickTop="1">
      <c r="A10" s="2059" t="s">
        <v>1782</v>
      </c>
      <c r="B10" s="2060" t="s">
        <v>3051</v>
      </c>
      <c r="C10" s="2061"/>
      <c r="D10" s="2045"/>
      <c r="E10" s="2062" t="s">
        <v>1783</v>
      </c>
      <c r="F10" s="2952" t="s">
        <v>3096</v>
      </c>
      <c r="G10" s="2063"/>
      <c r="H10" s="2064"/>
      <c r="I10" s="2045"/>
      <c r="J10" s="2041"/>
      <c r="K10" s="2050"/>
      <c r="L10" s="2027"/>
      <c r="M10" s="2027"/>
      <c r="N10" s="2028"/>
      <c r="O10" s="2029"/>
      <c r="P10" s="2028"/>
      <c r="Q10" s="2028"/>
      <c r="R10" s="2028"/>
    </row>
    <row r="11" spans="1:19" ht="18" customHeight="1">
      <c r="A11" s="2065" t="s">
        <v>1784</v>
      </c>
      <c r="B11" s="2066" t="s">
        <v>3052</v>
      </c>
      <c r="C11" s="2067"/>
      <c r="D11" s="2068"/>
      <c r="E11" s="2041"/>
      <c r="F11" s="2041"/>
      <c r="G11" s="2041"/>
      <c r="H11" s="2041"/>
      <c r="I11" s="2041"/>
      <c r="J11" s="2041"/>
      <c r="K11" s="2050"/>
      <c r="L11" s="2027"/>
      <c r="M11" s="2027"/>
      <c r="N11" s="2028"/>
      <c r="O11" s="2029"/>
      <c r="P11" s="2028"/>
      <c r="Q11" s="2028"/>
      <c r="R11" s="2028"/>
    </row>
    <row r="12" spans="1:19" ht="18" customHeight="1">
      <c r="A12" s="2069" t="s">
        <v>1785</v>
      </c>
      <c r="B12" s="2066" t="s">
        <v>3053</v>
      </c>
      <c r="C12" s="2070" t="s">
        <v>1786</v>
      </c>
      <c r="D12" s="2071" t="s">
        <v>1787</v>
      </c>
      <c r="E12" s="2071" t="s">
        <v>1788</v>
      </c>
      <c r="F12" s="2071" t="s">
        <v>1789</v>
      </c>
      <c r="G12" s="2071" t="s">
        <v>1790</v>
      </c>
      <c r="H12" s="2071" t="s">
        <v>1791</v>
      </c>
      <c r="I12" s="2071" t="s">
        <v>1792</v>
      </c>
      <c r="J12" s="2041"/>
      <c r="K12" s="2050"/>
      <c r="L12" s="2027"/>
      <c r="M12" s="2027"/>
      <c r="N12" s="2028"/>
      <c r="O12" s="2029"/>
      <c r="P12" s="2028"/>
      <c r="Q12" s="2028"/>
      <c r="R12" s="2028"/>
    </row>
    <row r="13" spans="1:19" ht="18" customHeight="1">
      <c r="A13" s="2072"/>
      <c r="B13" s="2073"/>
      <c r="C13" s="2074" t="s">
        <v>1793</v>
      </c>
      <c r="D13" s="2075"/>
      <c r="E13" s="2075"/>
      <c r="F13" s="2075"/>
      <c r="G13" s="2075"/>
      <c r="H13" s="2075"/>
      <c r="I13" s="1046">
        <v>57047</v>
      </c>
      <c r="J13" s="2041"/>
      <c r="K13" s="2050"/>
      <c r="L13" s="2027"/>
      <c r="M13" s="2027"/>
      <c r="N13" s="2028"/>
      <c r="O13" s="2029"/>
      <c r="P13" s="2028"/>
      <c r="Q13" s="2028"/>
      <c r="R13" s="2028"/>
    </row>
    <row r="14" spans="1:19" ht="18" customHeight="1">
      <c r="A14" s="2072"/>
      <c r="B14" s="2073"/>
      <c r="C14" s="2074" t="s">
        <v>1794</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1795</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35.9</v>
      </c>
      <c r="J15" s="2041"/>
      <c r="K15" s="2078"/>
      <c r="L15" s="2079"/>
      <c r="M15" s="2079"/>
      <c r="N15" s="2080"/>
      <c r="O15" s="2079"/>
      <c r="P15" s="2080"/>
      <c r="Q15" s="2028"/>
      <c r="R15" s="2028"/>
    </row>
    <row r="16" spans="1:19" ht="30.75" customHeight="1">
      <c r="A16" s="2062" t="s">
        <v>1796</v>
      </c>
      <c r="B16" s="3035" t="s">
        <v>3069</v>
      </c>
      <c r="C16" s="3036"/>
      <c r="D16" s="3037"/>
      <c r="E16" s="2081" t="s">
        <v>1797</v>
      </c>
      <c r="F16" s="3038">
        <v>37.6</v>
      </c>
      <c r="G16" s="3039"/>
      <c r="H16" s="3039"/>
      <c r="I16" s="3040"/>
      <c r="J16" s="2028"/>
      <c r="K16" s="2078"/>
      <c r="L16" s="2079"/>
      <c r="M16" s="2079"/>
      <c r="N16" s="2080"/>
      <c r="O16" s="2079"/>
      <c r="P16" s="2080"/>
      <c r="Q16" s="2028"/>
      <c r="R16" s="2028"/>
    </row>
    <row r="17" spans="1:22" ht="18" customHeight="1">
      <c r="A17" s="2082" t="s">
        <v>1798</v>
      </c>
      <c r="B17" s="2034" t="s">
        <v>1799</v>
      </c>
      <c r="C17" s="1053">
        <f>'数据-汇总表'!E3</f>
        <v>1106.44</v>
      </c>
      <c r="D17" s="2083" t="s">
        <v>1800</v>
      </c>
      <c r="E17" s="3041" t="s">
        <v>3055</v>
      </c>
      <c r="F17" s="3042"/>
      <c r="G17" s="3042"/>
      <c r="H17" s="3042"/>
      <c r="I17" s="3043"/>
      <c r="J17" s="2028"/>
      <c r="K17" s="2084"/>
      <c r="L17" s="2079"/>
      <c r="M17" s="2079"/>
      <c r="N17" s="2080"/>
      <c r="O17" s="2079"/>
      <c r="P17" s="2080"/>
      <c r="Q17" s="2028"/>
      <c r="R17" s="2028"/>
      <c r="S17" s="2028"/>
      <c r="T17" s="2028"/>
      <c r="U17" s="2028"/>
      <c r="V17" s="2028"/>
    </row>
    <row r="18" spans="1:22" ht="36" customHeight="1" thickBot="1">
      <c r="A18" s="2085" t="s">
        <v>1801</v>
      </c>
      <c r="B18" s="2037" t="s">
        <v>1802</v>
      </c>
      <c r="C18" s="1443">
        <f>'数据-汇总表'!D3</f>
        <v>8001.46</v>
      </c>
      <c r="D18" s="2086" t="s">
        <v>1800</v>
      </c>
      <c r="E18" s="3044" t="s">
        <v>3054</v>
      </c>
      <c r="F18" s="3045"/>
      <c r="G18" s="3045"/>
      <c r="H18" s="3045"/>
      <c r="I18" s="3046"/>
      <c r="J18" s="2028"/>
      <c r="K18" s="2084"/>
      <c r="L18" s="2079"/>
      <c r="M18" s="2079"/>
      <c r="N18" s="2080"/>
      <c r="O18" s="2079"/>
      <c r="P18" s="2080"/>
      <c r="Q18" s="2028"/>
      <c r="R18" s="2028"/>
      <c r="S18" s="2028"/>
      <c r="T18" s="2028"/>
      <c r="U18" s="2028"/>
      <c r="V18" s="2028"/>
    </row>
    <row r="19" spans="1:22" ht="37.5" customHeight="1" thickTop="1" thickBot="1">
      <c r="A19" s="372" t="s">
        <v>1803</v>
      </c>
      <c r="B19" s="351" t="s">
        <v>1804</v>
      </c>
      <c r="C19" s="2087" t="s">
        <v>3056</v>
      </c>
      <c r="D19" s="2088" t="s">
        <v>1805</v>
      </c>
      <c r="E19" s="2089" t="s">
        <v>3058</v>
      </c>
      <c r="F19" s="2090" t="str">
        <f>IF(AND(C19="是",E19="否"),"是否提供他项权证或相关说明","")</f>
        <v>是否提供他项权证或相关说明</v>
      </c>
      <c r="G19" s="2091" t="s">
        <v>3058</v>
      </c>
      <c r="H19" s="2041"/>
      <c r="I19" s="2041"/>
      <c r="J19" s="2041"/>
      <c r="K19" s="2050"/>
      <c r="L19" s="2027"/>
      <c r="M19" s="2027"/>
      <c r="N19" s="2080"/>
      <c r="O19" s="2079"/>
      <c r="P19" s="2080"/>
      <c r="Q19" s="2028"/>
      <c r="R19" s="2028"/>
      <c r="S19" s="2028"/>
      <c r="T19" s="2028"/>
      <c r="U19" s="2028"/>
      <c r="V19" s="2028"/>
    </row>
    <row r="20" spans="1:22" ht="18" customHeight="1">
      <c r="A20" s="2092" t="s">
        <v>1806</v>
      </c>
      <c r="B20" s="3031" t="s">
        <v>1807</v>
      </c>
      <c r="C20" s="3032"/>
      <c r="D20" s="3033" t="s">
        <v>1808</v>
      </c>
      <c r="E20" s="3034"/>
      <c r="F20" s="2093" t="s">
        <v>1809</v>
      </c>
      <c r="G20" s="2041"/>
      <c r="H20" s="2041"/>
      <c r="I20" s="2041"/>
      <c r="J20" s="2041"/>
      <c r="K20" s="3030" t="s">
        <v>1810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1811</v>
      </c>
      <c r="C21" s="2095" t="s">
        <v>3057</v>
      </c>
      <c r="D21" s="2096"/>
      <c r="E21" s="2097"/>
      <c r="F21" s="2098"/>
      <c r="G21" s="2041"/>
      <c r="H21" s="2041"/>
      <c r="I21" s="2041"/>
      <c r="J21" s="2041"/>
      <c r="K21" s="303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1812</v>
      </c>
      <c r="C22" s="2095" t="s">
        <v>1813</v>
      </c>
      <c r="D22" s="2025"/>
      <c r="E22" s="2025"/>
      <c r="F22" s="2100"/>
      <c r="G22" s="2041"/>
      <c r="H22" s="2041"/>
      <c r="I22" s="2041"/>
      <c r="J22" s="2041"/>
      <c r="K22" s="303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1814</v>
      </c>
      <c r="B23" s="182" t="s">
        <v>1815</v>
      </c>
      <c r="C23" s="2102">
        <v>42651</v>
      </c>
      <c r="D23" s="2103" t="s">
        <v>1815</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1816</v>
      </c>
      <c r="C24" s="2107"/>
      <c r="D24" s="2101" t="s">
        <v>1816</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1817</v>
      </c>
      <c r="C25" s="2953" t="s">
        <v>3059</v>
      </c>
      <c r="D25" s="2101" t="s">
        <v>1817</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1818</v>
      </c>
      <c r="C26" s="2111"/>
      <c r="D26" s="2112" t="s">
        <v>1819</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18" t="s">
        <v>1820</v>
      </c>
      <c r="B27" s="2059" t="s">
        <v>1821</v>
      </c>
      <c r="C27" s="2115" t="s">
        <v>3060</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18"/>
      <c r="B28" s="2034" t="s">
        <v>1822</v>
      </c>
      <c r="C28" s="2117" t="s">
        <v>3062</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18"/>
      <c r="B29" s="2034" t="s">
        <v>1823</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19"/>
      <c r="B30" s="2034" t="s">
        <v>1824</v>
      </c>
      <c r="C30" s="3020"/>
      <c r="D30" s="3021"/>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22" t="s">
        <v>1825</v>
      </c>
      <c r="B31" s="2122" t="s">
        <v>3061</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23"/>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23"/>
      <c r="B33" s="2126"/>
      <c r="C33" s="2065"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9" t="s">
        <v>3063</v>
      </c>
      <c r="C34" s="2129" t="s">
        <v>3064</v>
      </c>
      <c r="D34" s="2129" t="s">
        <v>3065</v>
      </c>
      <c r="E34" s="2129" t="s">
        <v>3066</v>
      </c>
      <c r="F34" s="2129" t="s">
        <v>3067</v>
      </c>
      <c r="G34" s="2129" t="s">
        <v>3068</v>
      </c>
      <c r="H34" s="2129"/>
      <c r="I34" s="2041"/>
      <c r="J34" s="2041"/>
      <c r="K34" s="1794">
        <f>COUNTIF(B34:H34,"——")</f>
        <v>0</v>
      </c>
      <c r="L34" s="2070" t="s">
        <v>1827</v>
      </c>
      <c r="M34" s="2070" t="s">
        <v>1828</v>
      </c>
      <c r="N34" s="2070" t="s">
        <v>1829</v>
      </c>
      <c r="O34" s="2070" t="s">
        <v>1830</v>
      </c>
      <c r="P34" s="2070" t="s">
        <v>1831</v>
      </c>
      <c r="Q34" s="2070" t="s">
        <v>1832</v>
      </c>
      <c r="R34" s="2070" t="s">
        <v>1833</v>
      </c>
      <c r="S34" s="3017" t="s">
        <v>1834</v>
      </c>
      <c r="T34" s="2130" t="str">
        <f>NUMBERSTRING(7-K34,1)&amp;"通"</f>
        <v>七通</v>
      </c>
      <c r="U34" s="2028"/>
      <c r="V34" s="2028"/>
    </row>
    <row r="35" spans="1:22" ht="18" customHeight="1">
      <c r="A35" s="2131"/>
      <c r="B35" s="3024" t="s">
        <v>1835</v>
      </c>
      <c r="C35" s="3024"/>
      <c r="D35" s="3024"/>
      <c r="E35" s="3024"/>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7"/>
      <c r="T35" s="48" t="str">
        <f>IF(T34="一通",L35,IF(T34="二通",M35,IF(T34="三通",N35,IF(T34="四通",O35,IF(T34="五通",P35,IF(T34="六通",Q35,R35))))))</f>
        <v>通路、通电、通讯、通上水、通下水、燃气、</v>
      </c>
      <c r="U35" s="2028"/>
      <c r="V35" s="2028"/>
    </row>
    <row r="36" spans="1:22" ht="18" customHeight="1">
      <c r="A36" s="2133"/>
      <c r="B36" s="2132" t="s">
        <v>1836</v>
      </c>
      <c r="C36" s="2132" t="s">
        <v>1837</v>
      </c>
      <c r="D36" s="2132" t="s">
        <v>1838</v>
      </c>
      <c r="E36" s="2132" t="s">
        <v>1839</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1840</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1841</v>
      </c>
      <c r="B38" s="2138"/>
      <c r="C38" s="2138"/>
      <c r="D38" s="2138"/>
      <c r="E38" s="2138" t="s">
        <v>319</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1843</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8"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7" sqref="H17:H18"/>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1864</v>
      </c>
      <c r="B2" s="11" t="s">
        <v>1865</v>
      </c>
      <c r="C2" s="11" t="s">
        <v>1866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1867</v>
      </c>
      <c r="AZ2" s="1269" t="s">
        <v>1868</v>
      </c>
      <c r="BA2" s="11" t="s">
        <v>1869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8001.46</v>
      </c>
      <c r="B3" s="14">
        <f>IF(C3="否",G5-AT5,G5)</f>
        <v>1106.44</v>
      </c>
      <c r="C3" s="2164" t="s">
        <v>1870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1871</v>
      </c>
      <c r="B5" s="1802"/>
      <c r="C5" s="1802"/>
      <c r="D5" s="1805"/>
      <c r="E5" s="16" t="s">
        <v>1</v>
      </c>
      <c r="F5" s="16">
        <f>SUM(F13:F587)</f>
        <v>0</v>
      </c>
      <c r="G5" s="16">
        <f>SUM(G13:G587)</f>
        <v>1106.44</v>
      </c>
      <c r="H5" s="16">
        <f t="shared" ref="H5:AT5" si="0">SUM(H13:H656)</f>
        <v>1106.44</v>
      </c>
      <c r="I5" s="16">
        <f t="shared" si="0"/>
        <v>1106.44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1106.44</v>
      </c>
      <c r="BA5" s="18">
        <f t="shared" si="1"/>
        <v>1106.44</v>
      </c>
      <c r="BB5" s="18">
        <f t="shared" si="1"/>
        <v>1106.44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1872</v>
      </c>
      <c r="B6" s="2170"/>
      <c r="C6" s="2170"/>
      <c r="D6" s="2171"/>
      <c r="E6" s="16">
        <f>H6+AC6+AT6</f>
        <v>8001.46</v>
      </c>
      <c r="F6" s="16" t="s">
        <v>1</v>
      </c>
      <c r="G6" s="16" t="s">
        <v>2</v>
      </c>
      <c r="H6" s="20">
        <f>SUMIF(I$12:AB$12,"总值",I6:AB6)</f>
        <v>8001.46</v>
      </c>
      <c r="I6" s="16">
        <f t="shared" ref="I6:AB6" si="2">ROUND($A$3*I5/$B$3,2)</f>
        <v>8001.46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1872</v>
      </c>
      <c r="AW6" s="2170"/>
      <c r="AX6" s="2170"/>
      <c r="AY6" s="21">
        <f>IF(AY3&gt;0,AY3,ROUND($A$3*AZ5/$B$3,2))</f>
        <v>8001.46</v>
      </c>
      <c r="AZ6" s="16" t="s">
        <v>3</v>
      </c>
      <c r="BA6" s="16">
        <f>ROUND($AY$6*BA5/$AZ$5,2)</f>
        <v>8001.46</v>
      </c>
      <c r="BB6" s="16">
        <f>ROUND($AY$6*BB5/$AZ$5,2)</f>
        <v>8001.46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1873</v>
      </c>
      <c r="B7" s="2105" t="s">
        <v>1874</v>
      </c>
      <c r="C7" s="2105" t="s">
        <v>1875</v>
      </c>
      <c r="D7" s="2105" t="s">
        <v>1876</v>
      </c>
      <c r="E7" s="2105" t="s">
        <v>1877</v>
      </c>
      <c r="F7" s="2105" t="s">
        <v>1878</v>
      </c>
      <c r="G7" s="2174" t="s">
        <v>1879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1880</v>
      </c>
      <c r="AV7" s="23" t="s">
        <v>1881</v>
      </c>
      <c r="AW7" s="2162" t="s">
        <v>1882</v>
      </c>
      <c r="AX7" s="23" t="s">
        <v>1875</v>
      </c>
      <c r="AY7" s="1802" t="s">
        <v>1883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1884</v>
      </c>
      <c r="H8" s="2180" t="s">
        <v>1885</v>
      </c>
      <c r="I8" s="2181"/>
      <c r="J8" s="1817"/>
      <c r="K8" s="1817"/>
      <c r="L8" s="1817"/>
      <c r="M8" s="1817"/>
      <c r="N8" s="1817"/>
      <c r="O8" s="1817"/>
      <c r="P8" s="1817"/>
      <c r="Q8" s="1817"/>
      <c r="R8" s="1817"/>
      <c r="S8" s="1817"/>
      <c r="T8" s="1817"/>
      <c r="U8" s="1817"/>
      <c r="V8" s="2182"/>
      <c r="W8" s="1817"/>
      <c r="X8" s="1817"/>
      <c r="Y8" s="1817"/>
      <c r="Z8" s="1817"/>
      <c r="AA8" s="2182"/>
      <c r="AB8" s="2183"/>
      <c r="AC8" s="980" t="s">
        <v>1886</v>
      </c>
      <c r="AD8" s="2184"/>
      <c r="AE8" s="2176"/>
      <c r="AF8" s="1817"/>
      <c r="AG8" s="1817"/>
      <c r="AH8" s="1817"/>
      <c r="AI8" s="1817"/>
      <c r="AJ8" s="1817"/>
      <c r="AK8" s="1817"/>
      <c r="AL8" s="1817"/>
      <c r="AM8" s="1817"/>
      <c r="AN8" s="1817"/>
      <c r="AO8" s="1817"/>
      <c r="AP8" s="1817"/>
      <c r="AQ8" s="1817"/>
      <c r="AR8" s="1817"/>
      <c r="AS8" s="1817"/>
      <c r="AT8" s="1291" t="s">
        <v>1887</v>
      </c>
      <c r="AU8" s="2178" t="s">
        <v>1888</v>
      </c>
      <c r="AV8" s="1291"/>
      <c r="AW8" s="2161"/>
      <c r="AX8" s="1291"/>
      <c r="AY8" s="2162"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3.2">
      <c r="A9" s="2178"/>
      <c r="B9" s="2178"/>
      <c r="C9" s="2178"/>
      <c r="D9" s="2178"/>
      <c r="E9" s="2178"/>
      <c r="F9" s="2178"/>
      <c r="G9" s="1291"/>
      <c r="H9" s="2186" t="s">
        <v>1891</v>
      </c>
      <c r="I9" s="2187" t="s">
        <v>3071</v>
      </c>
      <c r="J9" s="980"/>
      <c r="K9" s="2187"/>
      <c r="L9" s="980"/>
      <c r="M9" s="2187"/>
      <c r="N9" s="980"/>
      <c r="O9" s="2187"/>
      <c r="P9" s="980"/>
      <c r="Q9" s="2187"/>
      <c r="R9" s="980"/>
      <c r="S9" s="2187"/>
      <c r="T9" s="980"/>
      <c r="U9" s="2187"/>
      <c r="V9" s="980"/>
      <c r="W9" s="2187"/>
      <c r="X9" s="2188"/>
      <c r="Y9" s="2187"/>
      <c r="Z9" s="980"/>
      <c r="AA9" s="2187"/>
      <c r="AB9" s="980"/>
      <c r="AC9" s="2179"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89"/>
      <c r="AT9" s="2178"/>
      <c r="AU9" s="2178" t="s">
        <v>1894</v>
      </c>
      <c r="AV9" s="1291"/>
      <c r="AW9" s="2161"/>
      <c r="AX9" s="1291"/>
      <c r="AY9" s="28"/>
      <c r="AZ9" s="28" t="s">
        <v>1884</v>
      </c>
      <c r="BA9" s="2190" t="s">
        <v>1895</v>
      </c>
      <c r="BB9" s="2191"/>
      <c r="BC9" s="1337"/>
      <c r="BD9" s="1337"/>
      <c r="BE9" s="1337"/>
      <c r="BF9" s="1337"/>
      <c r="BG9" s="1337"/>
      <c r="BH9" s="1337"/>
      <c r="BI9" s="1337"/>
      <c r="BJ9" s="1337"/>
      <c r="BK9" s="2192"/>
      <c r="BL9" s="15" t="s">
        <v>1896</v>
      </c>
      <c r="BM9" s="1817"/>
      <c r="BN9" s="2181"/>
      <c r="BO9" s="1817"/>
      <c r="BP9" s="1817"/>
      <c r="BQ9" s="1817"/>
      <c r="BR9" s="1817"/>
      <c r="BS9" s="1817"/>
      <c r="BT9" s="26"/>
    </row>
    <row r="10" spans="1:72" s="2185" customFormat="1" ht="13.2">
      <c r="A10" s="2178"/>
      <c r="B10" s="2178"/>
      <c r="C10" s="2178"/>
      <c r="D10" s="2178"/>
      <c r="E10" s="2178"/>
      <c r="F10" s="2178"/>
      <c r="G10" s="1291"/>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1"/>
      <c r="AD10" s="15" t="s">
        <v>1897</v>
      </c>
      <c r="AE10" s="2194"/>
      <c r="AF10" s="15" t="s">
        <v>1897</v>
      </c>
      <c r="AG10" s="2194"/>
      <c r="AH10" s="15" t="s">
        <v>1898</v>
      </c>
      <c r="AI10" s="2194"/>
      <c r="AJ10" s="15" t="s">
        <v>1898</v>
      </c>
      <c r="AK10" s="2194"/>
      <c r="AL10" s="15" t="s">
        <v>1899</v>
      </c>
      <c r="AM10" s="1297"/>
      <c r="AN10" s="15" t="s">
        <v>1899</v>
      </c>
      <c r="AO10" s="1297"/>
      <c r="AP10" s="15" t="s">
        <v>1900</v>
      </c>
      <c r="AQ10" s="1297"/>
      <c r="AR10" s="15" t="s">
        <v>1900</v>
      </c>
      <c r="AS10" s="1297"/>
      <c r="AT10" s="2178"/>
      <c r="AU10" s="2178"/>
      <c r="AV10" s="1291"/>
      <c r="AW10" s="2161"/>
      <c r="AX10" s="1291"/>
      <c r="AY10" s="28"/>
      <c r="AZ10" s="28"/>
      <c r="BA10" s="2195" t="s">
        <v>1891</v>
      </c>
      <c r="BB10" s="2196" t="str">
        <f>I9</f>
        <v>地上</v>
      </c>
      <c r="BC10" s="29">
        <f>K9</f>
        <v>0</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3.2">
      <c r="A11" s="2178"/>
      <c r="B11" s="2178"/>
      <c r="C11" s="2178"/>
      <c r="D11" s="2178"/>
      <c r="E11" s="2178"/>
      <c r="F11" s="2178"/>
      <c r="G11" s="1291"/>
      <c r="H11" s="2195"/>
      <c r="I11" s="2198" t="s">
        <v>3072</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1901</v>
      </c>
      <c r="AE11" s="1818"/>
      <c r="AF11" s="2200" t="s">
        <v>1901</v>
      </c>
      <c r="AG11" s="1818"/>
      <c r="AH11" s="2200" t="s">
        <v>1902</v>
      </c>
      <c r="AI11" s="2201"/>
      <c r="AJ11" s="2200" t="s">
        <v>1902</v>
      </c>
      <c r="AK11" s="1818"/>
      <c r="AL11" s="1816"/>
      <c r="AM11" s="1818"/>
      <c r="AN11" s="1816"/>
      <c r="AO11" s="1818"/>
      <c r="AP11" s="1816"/>
      <c r="AQ11" s="1818"/>
      <c r="AR11" s="1816"/>
      <c r="AS11" s="1818"/>
      <c r="AT11" s="2161"/>
      <c r="AU11" s="2178"/>
      <c r="AV11" s="1291"/>
      <c r="AW11" s="2161"/>
      <c r="AX11" s="1291"/>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5"/>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3" t="s">
        <v>1904</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3.2">
      <c r="A13" s="1271"/>
      <c r="B13" s="1271"/>
      <c r="C13" s="2954" t="s">
        <v>3070</v>
      </c>
      <c r="D13" s="2209" t="s">
        <v>3056</v>
      </c>
      <c r="E13" s="16">
        <f>IF($C$3="是",ROUND($A$3*G13/$B$3,2),ROUND($A$3*(G13-AT13)/$B$3,2))</f>
        <v>8001.46</v>
      </c>
      <c r="F13" s="32"/>
      <c r="G13" s="33">
        <f>H13+AC13+AT13</f>
        <v>1106.44</v>
      </c>
      <c r="H13" s="20">
        <f>SUMIF(I$12:AB$12,"总值",I13:AB13)</f>
        <v>1106.44</v>
      </c>
      <c r="I13" s="2210">
        <v>1106.44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v>
      </c>
      <c r="AY13" s="1805">
        <f>ROUND($AY$6*AZ13/$AZ$5,2)</f>
        <v>8001.46</v>
      </c>
      <c r="AZ13" s="16">
        <f>BA13+BL13</f>
        <v>1106.44</v>
      </c>
      <c r="BA13" s="16">
        <f>SUM(BB13:BK13)</f>
        <v>1106.44</v>
      </c>
      <c r="BB13" s="16">
        <f>IF($D13="是",I13-J13,0)</f>
        <v>1106.44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1"/>
      <c r="B14" s="1271"/>
      <c r="C14" s="2954"/>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1"/>
      <c r="B15" s="1271"/>
      <c r="C15" s="2954"/>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1"/>
      <c r="B16" s="1271"/>
      <c r="C16" s="2954"/>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1"/>
      <c r="B17" s="1271"/>
      <c r="C17" s="2954"/>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
      <c r="A18" s="9"/>
      <c r="B18" s="34"/>
      <c r="C18" s="2955"/>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 r="A19" s="9"/>
      <c r="B19" s="34"/>
      <c r="C19" s="2955"/>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46.8">
      <c r="A3" s="3047"/>
      <c r="B3" s="3047"/>
      <c r="C3" s="3047"/>
      <c r="D3" s="3048"/>
      <c r="E3" s="304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3" sqref="G13"/>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1930</v>
      </c>
      <c r="B1" s="1391"/>
      <c r="C1" s="1391"/>
      <c r="D1" s="1391"/>
      <c r="E1" s="1391"/>
      <c r="F1" s="1391"/>
      <c r="G1" s="1391"/>
      <c r="H1" s="1391"/>
      <c r="I1" s="1391"/>
      <c r="J1" s="1391"/>
      <c r="K1" s="1391"/>
      <c r="L1" s="1391"/>
      <c r="M1" s="1391"/>
      <c r="N1" s="1391"/>
      <c r="O1" s="1391"/>
      <c r="P1" s="1391"/>
    </row>
    <row r="2" spans="1:16" ht="14.4">
      <c r="A2" s="3058" t="s">
        <v>1931</v>
      </c>
      <c r="B2" s="3058"/>
      <c r="C2" s="3058"/>
      <c r="D2" s="966" t="s">
        <v>1907</v>
      </c>
      <c r="E2" s="2223" t="s">
        <v>1908</v>
      </c>
      <c r="F2" s="1391"/>
      <c r="G2" s="2224"/>
      <c r="H2" s="2225"/>
      <c r="I2" s="2226" t="s">
        <v>1932</v>
      </c>
      <c r="J2" s="1391"/>
      <c r="K2" s="1391"/>
      <c r="L2" s="1391"/>
      <c r="M2" s="1391"/>
      <c r="N2" s="1426"/>
      <c r="O2" s="1391"/>
      <c r="P2" s="1391"/>
    </row>
    <row r="3" spans="1:16" ht="15" thickBot="1">
      <c r="A3" s="3059" t="s">
        <v>1905</v>
      </c>
      <c r="B3" s="3059"/>
      <c r="C3" s="3059"/>
      <c r="D3" s="46">
        <f>'数据-基础表'!AY6</f>
        <v>8001.46</v>
      </c>
      <c r="E3" s="46">
        <f>'数据-基础表'!AZ5</f>
        <v>1106.44</v>
      </c>
      <c r="F3" s="1391"/>
      <c r="G3" s="1398"/>
      <c r="H3" s="1246" t="s">
        <v>1906</v>
      </c>
      <c r="I3" s="55">
        <f>ROUND('数据-基础表'!B3/'数据-基础表'!A3,2)</f>
        <v>0.14000000000000001</v>
      </c>
      <c r="J3" s="1391"/>
      <c r="K3" s="1391"/>
      <c r="L3" s="1391"/>
      <c r="M3" s="1391"/>
      <c r="N3" s="1426"/>
      <c r="O3" s="1391"/>
      <c r="P3" s="1391"/>
    </row>
    <row r="4" spans="1:16" ht="14.4">
      <c r="A4" s="3060"/>
      <c r="B4" s="3061"/>
      <c r="C4" s="3062"/>
      <c r="D4" s="2227" t="s">
        <v>1907</v>
      </c>
      <c r="E4" s="2228" t="s">
        <v>1908</v>
      </c>
      <c r="F4" s="1391"/>
      <c r="G4" s="2229" t="s">
        <v>1933</v>
      </c>
      <c r="H4" s="1246" t="s">
        <v>1913</v>
      </c>
      <c r="I4" s="55">
        <f>ROUND(SUMIF('数据-基础表'!I9:AS9,"地上",'数据-基础表'!I5:AS5)/'数据-基础表'!A3,2)</f>
        <v>0.14000000000000001</v>
      </c>
      <c r="J4" s="1391"/>
      <c r="K4" s="1391"/>
      <c r="L4" s="1391"/>
      <c r="M4" s="1391"/>
      <c r="N4" s="1426"/>
      <c r="O4" s="1391"/>
      <c r="P4" s="1391"/>
    </row>
    <row r="5" spans="1:16" ht="14.4">
      <c r="A5" s="47" t="s">
        <v>1909</v>
      </c>
      <c r="B5" s="3063" t="s">
        <v>1910</v>
      </c>
      <c r="C5" s="3063"/>
      <c r="D5" s="48">
        <f>ROUND($D$3*E5/$E$3,2)</f>
        <v>0</v>
      </c>
      <c r="E5" s="49">
        <f>SUMIF('数据-基础表'!$11:$11,"住宅",'数据-基础表'!$5:$5)</f>
        <v>0</v>
      </c>
      <c r="F5" s="1391"/>
      <c r="G5" s="1398"/>
      <c r="H5" s="1246" t="s">
        <v>1906</v>
      </c>
      <c r="I5" s="55">
        <f>ROUND(E31/D31,2)</f>
        <v>0.14000000000000001</v>
      </c>
      <c r="J5" s="1391"/>
      <c r="K5" s="1391"/>
      <c r="L5" s="1391"/>
      <c r="M5" s="1391"/>
      <c r="N5" s="1391"/>
      <c r="O5" s="1391"/>
      <c r="P5" s="1391"/>
    </row>
    <row r="6" spans="1:16" ht="15" thickBot="1">
      <c r="A6" s="2230"/>
      <c r="B6" s="3063" t="s">
        <v>1911</v>
      </c>
      <c r="C6" s="3063"/>
      <c r="D6" s="48">
        <f>ROUND($D$3*E6/$E$3,2)</f>
        <v>8001.46</v>
      </c>
      <c r="E6" s="49">
        <f>E3-E5</f>
        <v>1106.44</v>
      </c>
      <c r="F6" s="1391"/>
      <c r="G6" s="2231" t="s">
        <v>1912</v>
      </c>
      <c r="H6" s="1398" t="s">
        <v>1913</v>
      </c>
      <c r="I6" s="938">
        <f>ROUND(F31/D31,2)</f>
        <v>0.14000000000000001</v>
      </c>
      <c r="J6" s="1391"/>
      <c r="K6" s="1391"/>
      <c r="L6" s="1391"/>
      <c r="M6" s="1391"/>
      <c r="N6" s="1391"/>
      <c r="O6" s="1391"/>
      <c r="P6" s="1391"/>
    </row>
    <row r="7" spans="1:16" ht="14.4">
      <c r="A7" s="3055"/>
      <c r="B7" s="3056"/>
      <c r="C7" s="3057"/>
      <c r="D7" s="2227" t="s">
        <v>1907</v>
      </c>
      <c r="E7" s="2232" t="s">
        <v>1914</v>
      </c>
      <c r="F7" s="1391"/>
      <c r="G7" s="2224" t="s">
        <v>1915</v>
      </c>
      <c r="H7" s="64"/>
      <c r="I7" s="419">
        <v>1</v>
      </c>
      <c r="J7" s="1391"/>
      <c r="K7" s="1391"/>
      <c r="L7" s="1391"/>
      <c r="M7" s="1391"/>
      <c r="N7" s="1391"/>
      <c r="O7" s="1391"/>
      <c r="P7" s="1391"/>
    </row>
    <row r="8" spans="1:16" ht="14.4">
      <c r="A8" s="47" t="s">
        <v>1916</v>
      </c>
      <c r="B8" s="50" t="s">
        <v>1917</v>
      </c>
      <c r="C8" s="48" t="s">
        <v>1918</v>
      </c>
      <c r="D8" s="48">
        <f t="shared" ref="D8:D15" si="0">ROUND($D$3*E8/$E$3,2)</f>
        <v>8001.46</v>
      </c>
      <c r="E8" s="51">
        <f>SUMIF('数据-基础表'!BB10:BK10,"地上",'数据-基础表'!BB5:BK5)</f>
        <v>1106.44</v>
      </c>
      <c r="F8" s="1391"/>
      <c r="G8" s="2233"/>
      <c r="H8" s="2233"/>
      <c r="I8" s="1391"/>
      <c r="J8" s="1391"/>
      <c r="K8" s="1391"/>
      <c r="L8" s="1391"/>
      <c r="M8" s="1391"/>
      <c r="N8" s="1391"/>
      <c r="O8" s="1391"/>
      <c r="P8" s="1391"/>
    </row>
    <row r="9" spans="1:16" ht="14.4">
      <c r="A9" s="2234"/>
      <c r="B9" s="2235"/>
      <c r="C9" s="48" t="s">
        <v>1919</v>
      </c>
      <c r="D9" s="48">
        <f t="shared" si="0"/>
        <v>0</v>
      </c>
      <c r="E9" s="52">
        <v>0</v>
      </c>
      <c r="F9" s="1391"/>
      <c r="G9" s="2233"/>
      <c r="H9" s="2233"/>
      <c r="I9" s="1391"/>
      <c r="J9" s="1391"/>
      <c r="K9" s="1391"/>
      <c r="L9" s="1391"/>
      <c r="M9" s="1391"/>
      <c r="N9" s="1391"/>
      <c r="O9" s="1391"/>
      <c r="P9" s="1391"/>
    </row>
    <row r="10" spans="1:16" ht="14.4">
      <c r="A10" s="2234"/>
      <c r="B10" s="2235"/>
      <c r="C10" s="48" t="s">
        <v>1928</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ht="14.4">
      <c r="A11" s="2234"/>
      <c r="B11" s="2235"/>
      <c r="C11" s="48" t="s">
        <v>1920</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ht="14.4">
      <c r="A12" s="2234"/>
      <c r="B12" s="2235"/>
      <c r="C12" s="48" t="s">
        <v>1921</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ht="14.4">
      <c r="A13" s="2234"/>
      <c r="B13" s="2235"/>
      <c r="C13" s="48" t="s">
        <v>1922</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ht="14.4">
      <c r="A14" s="2234"/>
      <c r="B14" s="2235"/>
      <c r="C14" s="48" t="s">
        <v>1934</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1929</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50" t="s">
        <v>1923</v>
      </c>
      <c r="D16" s="50">
        <f>SUM(D8:D15)</f>
        <v>8001.46</v>
      </c>
      <c r="E16" s="53">
        <f>SUM(E8:E15)</f>
        <v>1106.44</v>
      </c>
      <c r="F16" s="1391"/>
      <c r="G16" s="2233"/>
      <c r="H16" s="2236" t="s">
        <v>1935</v>
      </c>
      <c r="I16" s="2237"/>
      <c r="J16" s="1391"/>
      <c r="K16" s="3052" t="s">
        <v>1935</v>
      </c>
      <c r="L16" s="3053"/>
      <c r="M16" s="3053"/>
      <c r="N16" s="3053"/>
      <c r="O16" s="3053"/>
      <c r="P16" s="3054"/>
    </row>
    <row r="17" spans="1:19" ht="14.4">
      <c r="A17" s="2238" t="s">
        <v>1936</v>
      </c>
      <c r="B17" s="2239" t="s">
        <v>1937</v>
      </c>
      <c r="C17" s="2240" t="s">
        <v>1938</v>
      </c>
      <c r="D17" s="2241" t="s">
        <v>1926</v>
      </c>
      <c r="E17" s="2242" t="s">
        <v>1927</v>
      </c>
      <c r="F17" s="2243"/>
      <c r="G17" s="2244"/>
      <c r="H17" s="2245" t="s">
        <v>1939</v>
      </c>
      <c r="I17" s="2246" t="s">
        <v>1924</v>
      </c>
      <c r="J17" s="1391"/>
      <c r="K17" s="3049" t="s">
        <v>1940</v>
      </c>
      <c r="L17" s="3050"/>
      <c r="M17" s="3051"/>
      <c r="N17" s="3049" t="s">
        <v>1941</v>
      </c>
      <c r="O17" s="3050"/>
      <c r="P17" s="3051"/>
      <c r="R17" s="2224" t="s">
        <v>1942</v>
      </c>
      <c r="S17" s="64"/>
    </row>
    <row r="18" spans="1:19" ht="14.4">
      <c r="A18" s="2234"/>
      <c r="B18" s="2247"/>
      <c r="C18" s="2248"/>
      <c r="D18" s="2249"/>
      <c r="E18" s="2250" t="s">
        <v>1943</v>
      </c>
      <c r="F18" s="2251" t="s">
        <v>1944</v>
      </c>
      <c r="G18" s="2252" t="s">
        <v>1945</v>
      </c>
      <c r="H18" s="1261" t="s">
        <v>1946</v>
      </c>
      <c r="I18" s="2253" t="s">
        <v>1947</v>
      </c>
      <c r="J18" s="1391"/>
      <c r="K18" s="1261" t="s">
        <v>1948</v>
      </c>
      <c r="L18" s="2254" t="s">
        <v>1949</v>
      </c>
      <c r="M18" s="1045" t="s">
        <v>1950</v>
      </c>
      <c r="N18" s="1261" t="s">
        <v>1948</v>
      </c>
      <c r="O18" s="2254" t="s">
        <v>1949</v>
      </c>
      <c r="P18" s="1045" t="s">
        <v>1950</v>
      </c>
      <c r="R18" s="1246" t="s">
        <v>1951</v>
      </c>
      <c r="S18" s="1246" t="s">
        <v>1952</v>
      </c>
    </row>
    <row r="19" spans="1:19" ht="14.4">
      <c r="A19" s="2255"/>
      <c r="B19" s="50" t="s">
        <v>1925</v>
      </c>
      <c r="C19" s="2956" t="s">
        <v>3073</v>
      </c>
      <c r="D19" s="48">
        <f>ROUND($D$3*E19/$E$3,2)</f>
        <v>8001.46</v>
      </c>
      <c r="E19" s="56">
        <f t="shared" ref="E19:E26" si="1">SUM(F19:G19)</f>
        <v>1106.44</v>
      </c>
      <c r="F19" s="57">
        <v>1106.44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8001.46</v>
      </c>
      <c r="S19" s="1247">
        <f t="shared" si="5"/>
        <v>1106.44</v>
      </c>
    </row>
    <row r="20" spans="1:19" ht="14.4">
      <c r="A20" s="2259"/>
      <c r="B20" s="50" t="s">
        <v>1953</v>
      </c>
      <c r="C20" s="225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ht="14.4">
      <c r="A21" s="2259"/>
      <c r="B21" s="50" t="s">
        <v>1953</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ht="14.4">
      <c r="A22" s="2259"/>
      <c r="B22" s="50" t="s">
        <v>1953</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ht="14.4">
      <c r="A23" s="2259"/>
      <c r="B23" s="50" t="s">
        <v>1953</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ht="14.4">
      <c r="A24" s="2259"/>
      <c r="B24" s="50" t="s">
        <v>1953</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ht="14.4">
      <c r="A25" s="2259"/>
      <c r="B25" s="50" t="s">
        <v>1953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ht="14.4">
      <c r="A26" s="2259"/>
      <c r="B26" s="50" t="s">
        <v>1953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 thickBot="1">
      <c r="A27" s="2259"/>
      <c r="B27" s="48"/>
      <c r="C27" s="2262" t="s">
        <v>1954</v>
      </c>
      <c r="D27" s="1392">
        <f>SUM(D19:D26)</f>
        <v>8001.46</v>
      </c>
      <c r="E27" s="1393">
        <f>IF(SUM(E19:E26)='数据-基础表'!BA5,SUM(E19:E26),IF(F27="地上面积有误","面积有误","地下面积有误"))</f>
        <v>1106.44</v>
      </c>
      <c r="F27" s="1392">
        <f>IF(SUM(F19:F26)=E8,SUM(F19:F26),"地上面积有误")</f>
        <v>1106.44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8001.46</v>
      </c>
      <c r="S27" s="1246">
        <f>IF(SUM(S19:S26)=$E$3,SUM(S19:S26),SUM(S19:S26)&amp;"误差"&amp;ROUND(SUM(S19:S26)-E3,2))</f>
        <v>1106.44</v>
      </c>
    </row>
    <row r="28" spans="1:19" ht="14.4">
      <c r="A28" s="2259"/>
      <c r="B28" s="50" t="s">
        <v>1955</v>
      </c>
      <c r="C28" s="1258" t="s">
        <v>1956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9"/>
      <c r="B29" s="50" t="s">
        <v>1955</v>
      </c>
      <c r="C29" s="2263" t="s">
        <v>1957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9"/>
      <c r="B30" s="50"/>
      <c r="C30" s="2264" t="s">
        <v>1954</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5"/>
      <c r="B31" s="2266"/>
      <c r="C31" s="1006" t="s">
        <v>1958</v>
      </c>
      <c r="D31" s="728">
        <f>D27+D30</f>
        <v>8001.46</v>
      </c>
      <c r="E31" s="728">
        <f>E27+E30</f>
        <v>1106.44</v>
      </c>
      <c r="F31" s="729">
        <f>F27+F30</f>
        <v>1106.44</v>
      </c>
      <c r="G31" s="730">
        <f>G27+G30</f>
        <v>0</v>
      </c>
      <c r="H31" s="1391"/>
      <c r="I31" s="1391"/>
      <c r="J31" s="1391"/>
      <c r="K31" s="1391"/>
      <c r="L31" s="1391"/>
      <c r="M31" s="1391"/>
      <c r="N31" s="1391"/>
      <c r="O31" s="1391"/>
      <c r="P31" s="1391"/>
    </row>
    <row r="32" spans="1:19" ht="14.4">
      <c r="A32" s="2229"/>
      <c r="B32" s="2229" t="s">
        <v>1959</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H6" activePane="bottomRight" state="frozen"/>
      <selection activeCell="C50" sqref="C50"/>
      <selection pane="topRight" activeCell="C50" sqref="C50"/>
      <selection pane="bottomLeft" activeCell="C50" sqref="C50"/>
      <selection pane="bottomRight" activeCell="T23" sqref="T23"/>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1960</v>
      </c>
      <c r="B1" s="731"/>
      <c r="C1" s="1580"/>
      <c r="D1" s="2269"/>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2" t="s">
        <v>1961</v>
      </c>
      <c r="B2" s="1265">
        <f>项目基本情况!D3</f>
        <v>43942</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4.4"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1962</v>
      </c>
      <c r="B4" s="2277"/>
      <c r="C4" s="2278"/>
      <c r="D4" s="2279"/>
      <c r="E4" s="2278" t="s">
        <v>1963</v>
      </c>
      <c r="F4" s="2278"/>
      <c r="G4" s="2278"/>
      <c r="H4" s="2278"/>
      <c r="I4" s="2278"/>
      <c r="J4" s="2280"/>
      <c r="K4" s="2281"/>
      <c r="L4" s="2282"/>
      <c r="M4" s="2278"/>
      <c r="N4" s="2278" t="s">
        <v>1964</v>
      </c>
      <c r="O4" s="2278"/>
      <c r="P4" s="2278"/>
      <c r="Q4" s="2278"/>
      <c r="R4" s="2278"/>
      <c r="S4" s="2280"/>
      <c r="T4" s="2283" t="str">
        <f>'数据-汇总表'!I17</f>
        <v>按面积比例</v>
      </c>
      <c r="U4" s="2277" t="s">
        <v>1965</v>
      </c>
      <c r="V4" s="2278"/>
      <c r="W4" s="2278"/>
      <c r="X4" s="2278"/>
      <c r="Y4" s="2280"/>
      <c r="Z4" s="2240" t="s">
        <v>1966</v>
      </c>
      <c r="AA4" s="2240"/>
      <c r="AB4" s="2240"/>
      <c r="AC4" s="2240"/>
      <c r="AD4" s="2240"/>
      <c r="AE4" s="2238" t="s">
        <v>1967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57.6">
      <c r="A5" s="2285" t="s">
        <v>1968</v>
      </c>
      <c r="B5" s="2286" t="s">
        <v>1969</v>
      </c>
      <c r="C5" s="2287" t="s">
        <v>1970</v>
      </c>
      <c r="D5" s="2288" t="s">
        <v>1971</v>
      </c>
      <c r="E5" s="1267" t="s">
        <v>1972</v>
      </c>
      <c r="F5" s="2289" t="s">
        <v>1973</v>
      </c>
      <c r="G5" s="1267" t="s">
        <v>1974</v>
      </c>
      <c r="H5" s="1267" t="s">
        <v>1975</v>
      </c>
      <c r="I5" s="1267" t="s">
        <v>1976</v>
      </c>
      <c r="J5" s="2290" t="s">
        <v>1977</v>
      </c>
      <c r="K5" s="2291" t="s">
        <v>1978</v>
      </c>
      <c r="L5" s="2292" t="s">
        <v>1979</v>
      </c>
      <c r="M5" s="2293" t="s">
        <v>1980</v>
      </c>
      <c r="N5" s="2294" t="s">
        <v>3075</v>
      </c>
      <c r="O5" s="2292" t="s">
        <v>1981</v>
      </c>
      <c r="P5" s="2295" t="s">
        <v>1982</v>
      </c>
      <c r="Q5" s="69" t="s">
        <v>1983</v>
      </c>
      <c r="R5" s="2296" t="s">
        <v>1984</v>
      </c>
      <c r="S5" s="2297" t="s">
        <v>1985</v>
      </c>
      <c r="T5" s="2298" t="s">
        <v>1986</v>
      </c>
      <c r="U5" s="1266" t="s">
        <v>1987</v>
      </c>
      <c r="V5" s="1267" t="s">
        <v>1988</v>
      </c>
      <c r="W5" s="1267" t="s">
        <v>1989</v>
      </c>
      <c r="X5" s="71"/>
      <c r="Y5" s="70" t="s">
        <v>1990</v>
      </c>
      <c r="Z5" s="2299" t="s">
        <v>1987</v>
      </c>
      <c r="AA5" s="1267" t="s">
        <v>1988</v>
      </c>
      <c r="AB5" s="1267" t="s">
        <v>1989</v>
      </c>
      <c r="AC5" s="71"/>
      <c r="AD5" s="71" t="s">
        <v>1990</v>
      </c>
      <c r="AE5" s="1266" t="s">
        <v>1991</v>
      </c>
      <c r="AF5" s="1267" t="s">
        <v>1992</v>
      </c>
      <c r="AG5" s="70" t="s">
        <v>1993</v>
      </c>
      <c r="AH5" s="1266" t="s">
        <v>1994</v>
      </c>
      <c r="AI5" s="2299" t="s">
        <v>1995</v>
      </c>
      <c r="AJ5" s="2299" t="s">
        <v>1996</v>
      </c>
      <c r="AK5" s="1267" t="s">
        <v>1997</v>
      </c>
      <c r="AL5" s="1267" t="s">
        <v>1998</v>
      </c>
      <c r="AM5" s="70" t="s">
        <v>1999</v>
      </c>
      <c r="AN5" s="2300" t="s">
        <v>2000</v>
      </c>
      <c r="AO5" s="2070" t="s">
        <v>2001</v>
      </c>
      <c r="AP5" s="1248" t="s">
        <v>2002</v>
      </c>
      <c r="AQ5" s="2301" t="s">
        <v>2003</v>
      </c>
      <c r="AR5" s="2301" t="s">
        <v>2004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4">
      <c r="A6" s="2302" t="str">
        <f>'数据-汇总表'!C19</f>
        <v>工业</v>
      </c>
      <c r="B6" s="2303" t="str">
        <f>IF(A6=0,"","经营性")</f>
        <v>经营性</v>
      </c>
      <c r="C6" s="2957" t="s">
        <v>3074</v>
      </c>
      <c r="D6" s="1050">
        <f>SUMIF(项目基本情况!D$12:I$12,C6,项目基本情况!D$14:I$14)</f>
        <v>50</v>
      </c>
      <c r="E6" s="1047">
        <f>IF(B6="","",SUMIF(项目基本情况!D$12:I$12,C6,项目基本情况!D$13:I$13))</f>
        <v>57047</v>
      </c>
      <c r="F6" s="72">
        <f>SUMIF(项目基本情况!D$12:I$12,C6,项目基本情况!D$15:I$15)</f>
        <v>35.9</v>
      </c>
      <c r="G6" s="73">
        <f>IF(ISERROR(ROUND(POWER(1+H6,D6-F6)*(POWER(1+H6,F6)-1)/(POWER(1+H6,D6)-1),3)),0,ROUND(POWER(1+H6,D6-F6)*(POWER(1+H6,F6)-1)/(POWER(1+H6,D6)-1),3))</f>
        <v>0.90100000000000002</v>
      </c>
      <c r="H6" s="2964">
        <v>4.8000000000000001E-2</v>
      </c>
      <c r="I6" s="2964">
        <v>0.05</v>
      </c>
      <c r="J6" s="74">
        <v>8.5000000000000006E-2</v>
      </c>
      <c r="K6" s="1250">
        <f>SUMIF('数据-汇总表'!C$19:C$33,A6,'数据-汇总表'!E$19:E$33)</f>
        <v>1106.44</v>
      </c>
      <c r="L6" s="2967">
        <v>2200</v>
      </c>
      <c r="M6" s="75">
        <f t="shared" ref="M6:M14" si="0">ROUND(K6*L6/10000,0)</f>
        <v>243</v>
      </c>
      <c r="N6" s="800">
        <f>N20</f>
        <v>0.76500000000000001</v>
      </c>
      <c r="O6" s="75" t="str">
        <f>IF($N$5="成新度","——",ROUND(M6*N6,0))</f>
        <v>——</v>
      </c>
      <c r="P6" s="76" t="str">
        <f>IF($N$5="成新度","——",M6-O6)</f>
        <v>——</v>
      </c>
      <c r="Q6" s="2966">
        <v>0.05</v>
      </c>
      <c r="R6" s="77">
        <f ca="1">SUMIF('数据-汇总表'!C$19:C$33,A6,'数据-汇总表'!R$19:R$27)</f>
        <v>8001.46</v>
      </c>
      <c r="S6" s="54">
        <f>IF('数据-汇总表'!$I$17="按面积比例",SUMIF('数据-汇总表'!C$19:C$33,A6,'数据-汇总表'!K$19:K$33),SUMIF('数据-汇总表'!C$19:C$33,A6,'数据-汇总表'!N$19:N$33))</f>
        <v>0</v>
      </c>
      <c r="T6" s="1442">
        <f>ROUND($L$14*S6/10000,0)</f>
        <v>0</v>
      </c>
      <c r="U6" s="2969">
        <v>1.6</v>
      </c>
      <c r="V6" s="2970">
        <v>0.03</v>
      </c>
      <c r="W6" s="79">
        <v>0.05</v>
      </c>
      <c r="X6" s="1260"/>
      <c r="Y6" s="80">
        <f>N6</f>
        <v>0.76500000000000001</v>
      </c>
      <c r="Z6" s="81"/>
      <c r="AA6" s="74"/>
      <c r="AB6" s="74"/>
      <c r="AC6" s="1260"/>
      <c r="AD6" s="82"/>
      <c r="AE6" s="1261">
        <f ca="1">IF(AN6="",0,SUMIF(INDIRECT("'"&amp;AN6&amp;"'"&amp;"!E:E"),$AE$5,INDIRECT("'"&amp;AN6&amp;"'"&amp;"!F:F")))</f>
        <v>35.9</v>
      </c>
      <c r="AF6" s="1803"/>
      <c r="AG6" s="146">
        <f>IF(AF6="",0,AE6-AF6)</f>
        <v>0</v>
      </c>
      <c r="AH6" s="83"/>
      <c r="AI6" s="85">
        <v>365</v>
      </c>
      <c r="AJ6" s="2958"/>
      <c r="AK6" s="2968">
        <v>6.0000000000000001E-3</v>
      </c>
      <c r="AL6" s="88">
        <v>1E-3</v>
      </c>
      <c r="AM6" s="89">
        <v>0.01</v>
      </c>
      <c r="AN6" s="2305" t="s">
        <v>3076</v>
      </c>
      <c r="AO6" s="55">
        <f ca="1">SUMIF(INDIRECT("'"&amp;AN6&amp;"'"&amp;"!A:A"),"总价",INDIRECT("'"&amp;AN6&amp;"'"&amp;"!B:B"))</f>
        <v>1172</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3.8">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3.8">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3.8">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3.8">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3.8">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3.8">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3.8">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4">
      <c r="A14" s="2307" t="s">
        <v>2005</v>
      </c>
      <c r="B14" s="2303" t="s">
        <v>2006</v>
      </c>
      <c r="C14" s="2308" t="s">
        <v>2005</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8.8">
      <c r="A15" s="2307" t="s">
        <v>2007</v>
      </c>
      <c r="B15" s="2303" t="s">
        <v>2006</v>
      </c>
      <c r="C15" s="2308" t="s">
        <v>2008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 thickBot="1">
      <c r="A16" s="2309" t="s">
        <v>2009</v>
      </c>
      <c r="B16" s="97"/>
      <c r="C16" s="1004"/>
      <c r="D16" s="2310"/>
      <c r="E16" s="97"/>
      <c r="F16" s="97"/>
      <c r="G16" s="98">
        <f>ROUND(SUMPRODUCT(G6:G13,K6:K13)/SUMPRODUCT((G6:G13&gt;0)*(K6:K13)),3)</f>
        <v>0.90100000000000002</v>
      </c>
      <c r="H16" s="99">
        <f>ROUND(SUMPRODUCT(H6:H13,K6:K13)/SUMPRODUCT((H6:H13&gt;0)*(K6:K13)),3)</f>
        <v>4.8000000000000001E-2</v>
      </c>
      <c r="I16" s="100"/>
      <c r="J16" s="100"/>
      <c r="K16" s="101">
        <f>SUM(K6:K15)</f>
        <v>1106.44</v>
      </c>
      <c r="L16" s="102">
        <f>ROUND(M16*10000/SUM(K6:K14),0)</f>
        <v>2196</v>
      </c>
      <c r="M16" s="102">
        <f>SUM(M6:M14)</f>
        <v>243</v>
      </c>
      <c r="N16" s="103">
        <f>ROUND(SUMPRODUCT(M6:M14,N6:N14)/M16,3)</f>
        <v>0.76500000000000001</v>
      </c>
      <c r="O16" s="102">
        <f>SUM(O6:O14)</f>
        <v>0</v>
      </c>
      <c r="P16" s="102">
        <f>SUM(P6:P14)</f>
        <v>0</v>
      </c>
      <c r="Q16" s="104">
        <f>ROUND(SUMPRODUCT(Q6:Q13,K6:K13)/SUMPRODUCT((Q6:Q13&gt;0)*(K6:K13)),2)</f>
        <v>0.05</v>
      </c>
      <c r="R16" s="1254">
        <f ca="1">SUM(R6:R13)</f>
        <v>8001.46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1"/>
      <c r="C17" s="1580"/>
      <c r="D17" s="2269"/>
      <c r="E17" s="2269"/>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76"/>
      <c r="C18" s="2273"/>
      <c r="D18" s="2274"/>
      <c r="E18" s="2273"/>
      <c r="F18" s="2273"/>
      <c r="G18" s="2273"/>
      <c r="H18" s="2273"/>
      <c r="I18" s="2273"/>
      <c r="J18" s="2273"/>
      <c r="K18" s="167"/>
      <c r="L18" s="167"/>
      <c r="M18" s="2971" t="s">
        <v>3100</v>
      </c>
      <c r="N18" s="1580">
        <f>ROUND(1-(1-2%)*(2020-2006)/50,2)</f>
        <v>0.73</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2" t="s">
        <v>2011</v>
      </c>
      <c r="B19" s="112">
        <v>0</v>
      </c>
      <c r="C19" s="2273" t="s">
        <v>2012</v>
      </c>
      <c r="D19" s="2274"/>
      <c r="E19" s="2273"/>
      <c r="F19" s="2273"/>
      <c r="G19" s="2273"/>
      <c r="H19" s="2273"/>
      <c r="I19" s="2273"/>
      <c r="J19" s="2273"/>
      <c r="K19" s="167"/>
      <c r="L19" s="167"/>
      <c r="M19" s="2971" t="s">
        <v>3101</v>
      </c>
      <c r="N19" s="1580">
        <v>0.8</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3" t="s">
        <v>2013</v>
      </c>
      <c r="B20" s="113">
        <v>0.5</v>
      </c>
      <c r="C20" s="2273" t="s">
        <v>2014</v>
      </c>
      <c r="D20" s="2274"/>
      <c r="E20" s="2273"/>
      <c r="F20" s="2273"/>
      <c r="G20" s="2273"/>
      <c r="H20" s="2273"/>
      <c r="I20" s="2273"/>
      <c r="J20" s="2273"/>
      <c r="K20" s="167"/>
      <c r="L20" s="167"/>
      <c r="M20" s="1580"/>
      <c r="N20" s="1580">
        <f>AVERAGE(N18:N19)</f>
        <v>0.76500000000000001</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4" t="s">
        <v>2015</v>
      </c>
      <c r="B21" s="113">
        <v>0.5</v>
      </c>
      <c r="C21" s="2273"/>
      <c r="D21" s="2274"/>
      <c r="E21" s="2273"/>
      <c r="F21" s="2273"/>
      <c r="G21" s="2273"/>
      <c r="H21" s="2273"/>
      <c r="I21" s="2273"/>
      <c r="J21" s="2273"/>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3" t="s">
        <v>2016</v>
      </c>
      <c r="B22" s="114">
        <f>B19+B20</f>
        <v>0.5</v>
      </c>
      <c r="C22" s="2273"/>
      <c r="D22" s="2274"/>
      <c r="E22" s="2273"/>
      <c r="F22" s="2273"/>
      <c r="G22" s="2273"/>
      <c r="H22" s="2273"/>
      <c r="I22" s="2273"/>
      <c r="J22" s="2273"/>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4" t="s">
        <v>2017</v>
      </c>
      <c r="B23" s="114">
        <f>B19+B21</f>
        <v>0.5</v>
      </c>
      <c r="C23" s="2273"/>
      <c r="D23" s="2274"/>
      <c r="E23" s="2273"/>
      <c r="F23" s="2273"/>
      <c r="G23" s="2273"/>
      <c r="H23" s="2273"/>
      <c r="I23" s="2273"/>
      <c r="J23" s="2273"/>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2018</v>
      </c>
      <c r="B24" s="115">
        <f>B20-B21</f>
        <v>0</v>
      </c>
      <c r="C24" s="2273"/>
      <c r="D24" s="2274"/>
      <c r="E24" s="2273"/>
      <c r="F24" s="2273"/>
      <c r="G24" s="2273"/>
      <c r="H24" s="2273"/>
      <c r="I24" s="2273"/>
      <c r="J24" s="2273"/>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6"/>
      <c r="C25" s="2273"/>
      <c r="D25" s="2274"/>
      <c r="E25" s="2273"/>
      <c r="F25" s="2273"/>
      <c r="G25" s="2273"/>
      <c r="H25" s="2273"/>
      <c r="I25" s="2273"/>
      <c r="J25" s="2273"/>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2019</v>
      </c>
      <c r="B26" s="2316" t="s">
        <v>2020</v>
      </c>
      <c r="C26" s="2317" t="s">
        <v>2021</v>
      </c>
      <c r="D26" s="2274"/>
      <c r="E26" s="2273"/>
      <c r="F26" s="2273"/>
      <c r="G26" s="2273"/>
      <c r="H26" s="2273"/>
      <c r="I26" s="2273"/>
      <c r="J26" s="2273"/>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8.8">
      <c r="A27" s="2318" t="s">
        <v>2022</v>
      </c>
      <c r="B27" s="116">
        <v>150</v>
      </c>
      <c r="C27" s="1763" t="s">
        <v>2023</v>
      </c>
      <c r="D27" s="2319"/>
      <c r="E27" s="1426"/>
      <c r="F27" s="1426"/>
      <c r="G27" s="2273"/>
      <c r="H27" s="2273"/>
      <c r="I27" s="2273"/>
      <c r="J27" s="2273"/>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8.8">
      <c r="A28" s="2321" t="s">
        <v>2024</v>
      </c>
      <c r="B28" s="119">
        <v>190</v>
      </c>
      <c r="C28" s="2322"/>
      <c r="D28" s="2319"/>
      <c r="E28" s="1426"/>
      <c r="F28" s="1426"/>
      <c r="G28" s="2273"/>
      <c r="H28" s="2273"/>
      <c r="I28" s="2273"/>
      <c r="J28" s="2273"/>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9.4" thickBot="1">
      <c r="A29" s="2323" t="s">
        <v>2025</v>
      </c>
      <c r="B29" s="2959">
        <f>ROUND(B28*K16/10000,0)</f>
        <v>21</v>
      </c>
      <c r="C29" s="1763" t="s">
        <v>2026</v>
      </c>
      <c r="D29" s="2319"/>
      <c r="E29" s="1426"/>
      <c r="F29" s="1426"/>
      <c r="G29" s="2273"/>
      <c r="H29" s="2273"/>
      <c r="I29" s="2273"/>
      <c r="J29" s="2273"/>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8.8">
      <c r="A30" s="2324" t="s">
        <v>2027</v>
      </c>
      <c r="B30" s="723">
        <v>200</v>
      </c>
      <c r="C30" s="2322"/>
      <c r="D30" s="2319"/>
      <c r="E30" s="1426"/>
      <c r="F30" s="1426"/>
      <c r="G30" s="2273"/>
      <c r="H30" s="2273"/>
      <c r="I30" s="2273"/>
      <c r="J30" s="2273"/>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8.8">
      <c r="A31" s="2321" t="s">
        <v>2028</v>
      </c>
      <c r="B31" s="120">
        <f>B30-B32</f>
        <v>200</v>
      </c>
      <c r="C31" s="1763"/>
      <c r="D31" s="2319"/>
      <c r="E31" s="1426"/>
      <c r="F31" s="1426"/>
      <c r="G31" s="2273"/>
      <c r="H31" s="2273"/>
      <c r="I31" s="2273"/>
      <c r="J31" s="2273"/>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9.4" thickBot="1">
      <c r="A32" s="2325" t="s">
        <v>2029</v>
      </c>
      <c r="B32" s="724">
        <v>0</v>
      </c>
      <c r="C32" s="2322"/>
      <c r="D32" s="2274"/>
      <c r="E32" s="2273"/>
      <c r="F32" s="2273"/>
      <c r="G32" s="2273"/>
      <c r="H32" s="2273"/>
      <c r="I32" s="2273"/>
      <c r="J32" s="2273"/>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4">
      <c r="A33" s="2318" t="s">
        <v>2030</v>
      </c>
      <c r="B33" s="725">
        <v>0.03</v>
      </c>
      <c r="C33" s="1762" t="s">
        <v>2031</v>
      </c>
      <c r="D33" s="2274"/>
      <c r="E33" s="2273"/>
      <c r="F33" s="2273"/>
      <c r="G33" s="2273"/>
      <c r="H33" s="2273"/>
      <c r="I33" s="2273"/>
      <c r="J33" s="2273"/>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4">
      <c r="A34" s="2321" t="s">
        <v>2032</v>
      </c>
      <c r="B34" s="121">
        <v>0</v>
      </c>
      <c r="C34" s="1762" t="s">
        <v>2033</v>
      </c>
      <c r="D34" s="2274" t="s">
        <v>2034</v>
      </c>
      <c r="E34" s="731"/>
      <c r="F34" s="2273"/>
      <c r="G34" s="2273"/>
      <c r="H34" s="2273"/>
      <c r="I34" s="2273"/>
      <c r="J34" s="2273"/>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4">
      <c r="A35" s="2321" t="s">
        <v>2035</v>
      </c>
      <c r="B35" s="119">
        <v>200</v>
      </c>
      <c r="C35" s="1762" t="s">
        <v>2036</v>
      </c>
      <c r="D35" s="2319"/>
      <c r="E35" s="1426"/>
      <c r="F35" s="1426"/>
      <c r="G35" s="2273"/>
      <c r="H35" s="2273"/>
      <c r="I35" s="2273"/>
      <c r="J35" s="2273"/>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2037</v>
      </c>
      <c r="B36" s="122">
        <v>1.4999999999999999E-2</v>
      </c>
      <c r="C36" s="1762" t="s">
        <v>2038</v>
      </c>
      <c r="D36" s="2274"/>
      <c r="E36" s="2273"/>
      <c r="F36" s="2273"/>
      <c r="G36" s="2273"/>
      <c r="H36" s="2273"/>
      <c r="I36" s="2273"/>
      <c r="J36" s="2273"/>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4" t="s">
        <v>2039</v>
      </c>
      <c r="B37" s="123">
        <v>0.02</v>
      </c>
      <c r="C37" s="1762" t="s">
        <v>2040</v>
      </c>
      <c r="D37" s="2274"/>
      <c r="E37" s="2273"/>
      <c r="F37" s="2273"/>
      <c r="G37" s="2273"/>
      <c r="H37" s="2273"/>
      <c r="I37" s="2273"/>
      <c r="J37" s="2273"/>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1" t="s">
        <v>2041</v>
      </c>
      <c r="B38" s="2972">
        <v>0.01</v>
      </c>
      <c r="C38" s="1762" t="s">
        <v>2040</v>
      </c>
      <c r="D38" s="2274"/>
      <c r="E38" s="2273"/>
      <c r="F38" s="2273"/>
      <c r="G38" s="2273"/>
      <c r="H38" s="2273"/>
      <c r="I38" s="2273"/>
      <c r="J38" s="2273"/>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5" t="s">
        <v>2042</v>
      </c>
      <c r="B39" s="361">
        <f ca="1">存贷款利率!I1</f>
        <v>1.4999999999999999E-2</v>
      </c>
      <c r="C39" s="1762"/>
      <c r="D39" s="2274"/>
      <c r="E39" s="2273"/>
      <c r="F39" s="2273"/>
      <c r="G39" s="2273"/>
      <c r="H39" s="2273"/>
      <c r="I39" s="2273"/>
      <c r="J39" s="2273"/>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2043</v>
      </c>
      <c r="B40" s="1299">
        <f ca="1">存贷款利率!G1</f>
        <v>4.3499999999999997E-2</v>
      </c>
      <c r="C40" s="1762" t="s">
        <v>2044</v>
      </c>
      <c r="D40" s="1580"/>
      <c r="E40" s="2274"/>
      <c r="F40" s="2273"/>
      <c r="G40" s="2273"/>
      <c r="H40" s="2273"/>
      <c r="I40" s="2273"/>
      <c r="J40" s="2273"/>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8" t="s">
        <v>2045</v>
      </c>
      <c r="B41" s="124">
        <f>B42+B43</f>
        <v>5.5000000000000007E-2</v>
      </c>
      <c r="C41" s="1763"/>
      <c r="D41" s="1580"/>
      <c r="E41" s="2274"/>
      <c r="F41" s="2273"/>
      <c r="G41" s="2273"/>
      <c r="H41" s="2273"/>
      <c r="I41" s="2273"/>
      <c r="J41" s="2273"/>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6" t="s">
        <v>2046</v>
      </c>
      <c r="B42" s="125">
        <v>0.05</v>
      </c>
      <c r="C42" s="2327">
        <f>IF(B2&lt;DATE(2016,5,1),0,B42)</f>
        <v>0.05</v>
      </c>
      <c r="D42" s="2274"/>
      <c r="E42" s="2273"/>
      <c r="F42" s="2273"/>
      <c r="G42" s="2273"/>
      <c r="H42" s="2273"/>
      <c r="I42" s="2273"/>
      <c r="J42" s="2273"/>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6" t="s">
        <v>2047</v>
      </c>
      <c r="B43" s="126">
        <f>B42*(B44+B45+B46)+B47</f>
        <v>5.000000000000001E-3</v>
      </c>
      <c r="C43" s="1763"/>
      <c r="D43" s="2274"/>
      <c r="E43" s="2273"/>
      <c r="F43" s="2273"/>
      <c r="G43" s="2273"/>
      <c r="H43" s="2273"/>
      <c r="I43" s="2273"/>
      <c r="J43" s="2273"/>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8" t="s">
        <v>2048</v>
      </c>
      <c r="B44" s="127">
        <v>0.05</v>
      </c>
      <c r="C44" s="1762" t="s">
        <v>2049</v>
      </c>
      <c r="D44" s="2274"/>
      <c r="E44" s="2273"/>
      <c r="F44" s="2273"/>
      <c r="G44" s="2273"/>
      <c r="H44" s="2273"/>
      <c r="I44" s="2273"/>
      <c r="J44" s="2273"/>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8" t="s">
        <v>2050</v>
      </c>
      <c r="B45" s="125">
        <v>0.03</v>
      </c>
      <c r="C45" s="1763" t="s">
        <v>2051</v>
      </c>
      <c r="D45" s="2274"/>
      <c r="E45" s="2273"/>
      <c r="F45" s="2273"/>
      <c r="G45" s="2273"/>
      <c r="H45" s="2273"/>
      <c r="I45" s="2273"/>
      <c r="J45" s="2273"/>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8" t="s">
        <v>2052</v>
      </c>
      <c r="B46" s="125">
        <v>0.02</v>
      </c>
      <c r="C46" s="1763" t="s">
        <v>2053</v>
      </c>
      <c r="D46" s="2274"/>
      <c r="E46" s="2273"/>
      <c r="F46" s="2273"/>
      <c r="G46" s="2273"/>
      <c r="H46" s="2273"/>
      <c r="I46" s="2273"/>
      <c r="J46" s="2273"/>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2054</v>
      </c>
      <c r="B47" s="128"/>
      <c r="C47" s="1763" t="s">
        <v>2055</v>
      </c>
      <c r="D47" s="2274"/>
      <c r="E47" s="2273"/>
      <c r="F47" s="2273"/>
      <c r="G47" s="2273"/>
      <c r="H47" s="2273"/>
      <c r="I47" s="2273"/>
      <c r="J47" s="2273"/>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0" t="s">
        <v>2056</v>
      </c>
      <c r="B48" s="129">
        <v>0.03</v>
      </c>
      <c r="C48" s="1770" t="s">
        <v>2057</v>
      </c>
      <c r="D48" s="2274"/>
      <c r="E48" s="2273"/>
      <c r="F48" s="2273"/>
      <c r="G48" s="2273"/>
      <c r="H48" s="2273"/>
      <c r="I48" s="2273"/>
      <c r="J48" s="2273"/>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2058</v>
      </c>
      <c r="B49" s="125">
        <v>5.0000000000000001E-4</v>
      </c>
      <c r="C49" s="1770" t="s">
        <v>2059</v>
      </c>
      <c r="D49" s="2274"/>
      <c r="E49" s="2273"/>
      <c r="F49" s="2273"/>
      <c r="G49" s="2273"/>
      <c r="H49" s="2273"/>
      <c r="I49" s="2273"/>
      <c r="J49" s="2273"/>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1" t="s">
        <v>2060</v>
      </c>
      <c r="B50" s="130">
        <v>1.2E-2</v>
      </c>
      <c r="C50" s="1426"/>
      <c r="D50" s="2274"/>
      <c r="E50" s="2273"/>
      <c r="F50" s="2273"/>
      <c r="G50" s="2273"/>
      <c r="H50" s="2273"/>
      <c r="I50" s="2273"/>
      <c r="J50" s="2273"/>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2061</v>
      </c>
      <c r="B51" s="131">
        <v>0.12</v>
      </c>
      <c r="C51" s="1426"/>
      <c r="D51" s="2274"/>
      <c r="E51" s="2273"/>
      <c r="F51" s="2273"/>
      <c r="G51" s="2273"/>
      <c r="H51" s="2273"/>
      <c r="I51" s="2273"/>
      <c r="J51" s="2273"/>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1" t="s">
        <v>2062</v>
      </c>
      <c r="B52" s="132">
        <f>SUMIF(A54:A63,B53,B54:B63)</f>
        <v>1.5</v>
      </c>
      <c r="C52" s="1426"/>
      <c r="D52" s="2274"/>
      <c r="E52" s="2273"/>
      <c r="F52" s="2273"/>
      <c r="G52" s="2273"/>
      <c r="H52" s="2273"/>
      <c r="I52" s="2273"/>
      <c r="J52" s="2273"/>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1" t="s">
        <v>2063</v>
      </c>
      <c r="B53" s="2332" t="s">
        <v>56</v>
      </c>
      <c r="C53" s="1426" t="s">
        <v>2064</v>
      </c>
      <c r="D53" s="2333" t="s">
        <v>2065</v>
      </c>
      <c r="E53" s="2273"/>
      <c r="F53" s="2273"/>
      <c r="G53" s="2273"/>
      <c r="H53" s="2273"/>
      <c r="I53" s="2273"/>
      <c r="J53" s="2273"/>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4" t="s">
        <v>2066</v>
      </c>
      <c r="B54" s="84"/>
      <c r="C54" s="1426">
        <v>30</v>
      </c>
      <c r="D54" s="2274"/>
      <c r="E54" s="2273"/>
      <c r="F54" s="2273"/>
      <c r="G54" s="2273"/>
      <c r="H54" s="2273"/>
      <c r="I54" s="2273"/>
      <c r="J54" s="2273"/>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4" t="s">
        <v>2067</v>
      </c>
      <c r="B55" s="84"/>
      <c r="C55" s="1426">
        <v>24</v>
      </c>
      <c r="D55" s="2274"/>
      <c r="E55" s="2273"/>
      <c r="F55" s="2273"/>
      <c r="G55" s="2273"/>
      <c r="H55" s="2273"/>
      <c r="I55" s="2335"/>
      <c r="J55" s="2273"/>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4" t="s">
        <v>2068</v>
      </c>
      <c r="B56" s="84"/>
      <c r="C56" s="1426">
        <v>18</v>
      </c>
      <c r="D56" s="2274"/>
      <c r="E56" s="2273"/>
      <c r="F56" s="2273"/>
      <c r="G56" s="2273"/>
      <c r="H56" s="2273"/>
      <c r="I56" s="2273"/>
      <c r="J56" s="2273"/>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4" t="s">
        <v>2069</v>
      </c>
      <c r="B57" s="84"/>
      <c r="C57" s="1426">
        <v>12</v>
      </c>
      <c r="D57" s="2274"/>
      <c r="E57" s="2273"/>
      <c r="F57" s="2273"/>
      <c r="G57" s="2273"/>
      <c r="H57" s="2273"/>
      <c r="I57" s="2273"/>
      <c r="J57" s="2273"/>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4" t="s">
        <v>2070</v>
      </c>
      <c r="B58" s="84"/>
      <c r="C58" s="1426">
        <v>3</v>
      </c>
      <c r="D58" s="2274"/>
      <c r="E58" s="2273"/>
      <c r="F58" s="2273"/>
      <c r="G58" s="2273"/>
      <c r="H58" s="2273"/>
      <c r="I58" s="2273"/>
      <c r="J58" s="2273"/>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4" t="s">
        <v>2071</v>
      </c>
      <c r="B59" s="84">
        <v>1.5</v>
      </c>
      <c r="C59" s="1426">
        <v>1.5</v>
      </c>
      <c r="D59" s="2274"/>
      <c r="E59" s="2273"/>
      <c r="F59" s="2273"/>
      <c r="G59" s="2273"/>
      <c r="H59" s="2273"/>
      <c r="I59" s="2273"/>
      <c r="J59" s="2273"/>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4" t="s">
        <v>2072</v>
      </c>
      <c r="B60" s="84"/>
      <c r="C60" s="2273"/>
      <c r="D60" s="2274"/>
      <c r="E60" s="2273"/>
      <c r="F60" s="2273"/>
      <c r="G60" s="2273"/>
      <c r="H60" s="2273"/>
      <c r="I60" s="2273"/>
      <c r="J60" s="2273"/>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4" t="s">
        <v>2073</v>
      </c>
      <c r="B61" s="84"/>
      <c r="C61" s="2273"/>
      <c r="D61" s="2274"/>
      <c r="E61" s="2273"/>
      <c r="F61" s="2273"/>
      <c r="G61" s="2273"/>
      <c r="H61" s="2273"/>
      <c r="I61" s="2273"/>
      <c r="J61" s="2273"/>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4" t="s">
        <v>2074</v>
      </c>
      <c r="B62" s="84"/>
      <c r="C62" s="2273"/>
      <c r="D62" s="2274"/>
      <c r="E62" s="2273"/>
      <c r="F62" s="2273"/>
      <c r="G62" s="2273"/>
      <c r="H62" s="2273"/>
      <c r="I62" s="2273"/>
      <c r="J62" s="2273"/>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2075</v>
      </c>
      <c r="B63" s="133"/>
      <c r="C63" s="2273"/>
      <c r="D63" s="2274"/>
      <c r="E63" s="2273"/>
      <c r="F63" s="2273"/>
      <c r="G63" s="2273"/>
      <c r="H63" s="2273"/>
      <c r="I63" s="2273"/>
      <c r="J63" s="2273"/>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5"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4"/>
    <col min="30" max="16384" width="9" style="2365"/>
  </cols>
  <sheetData>
    <row r="1" spans="1:29" s="2358" customFormat="1" ht="18" thickBot="1">
      <c r="A1" s="3064" t="s">
        <v>2076</v>
      </c>
      <c r="B1" s="3065"/>
      <c r="C1" s="3065"/>
      <c r="D1" s="3065"/>
      <c r="E1" s="3065"/>
      <c r="F1" s="3065"/>
      <c r="G1" s="306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2077</v>
      </c>
      <c r="D2" s="2362"/>
      <c r="E2" s="2363"/>
      <c r="F2" s="2282"/>
      <c r="G2" s="2361" t="s">
        <v>2078</v>
      </c>
      <c r="H2" s="2364"/>
      <c r="I2" s="2364"/>
      <c r="J2" s="2364"/>
      <c r="K2" s="2364"/>
      <c r="L2" s="2364"/>
      <c r="M2" s="2364"/>
      <c r="N2" s="2364"/>
      <c r="O2" s="2364"/>
      <c r="P2" s="2364"/>
      <c r="Q2" s="2364"/>
      <c r="R2" s="2364"/>
    </row>
    <row r="3" spans="1:29" ht="57.6">
      <c r="A3" s="414" t="s">
        <v>2079</v>
      </c>
      <c r="B3" s="1267" t="s">
        <v>2080</v>
      </c>
      <c r="C3" s="2366" t="s">
        <v>2081</v>
      </c>
      <c r="D3" s="2367"/>
      <c r="E3" s="430" t="s">
        <v>2079</v>
      </c>
      <c r="F3" s="2368" t="s">
        <v>2082</v>
      </c>
      <c r="G3" s="2369" t="s">
        <v>2083</v>
      </c>
      <c r="H3" s="2364"/>
      <c r="I3" s="2364"/>
      <c r="J3" s="2364"/>
      <c r="K3" s="2364"/>
      <c r="L3" s="2364"/>
      <c r="M3" s="2364"/>
      <c r="N3" s="2364"/>
      <c r="O3" s="2364"/>
      <c r="P3" s="2364"/>
      <c r="Q3" s="2364"/>
      <c r="R3" s="2364"/>
    </row>
    <row r="4" spans="1:29" ht="43.2">
      <c r="A4" s="430"/>
      <c r="B4" s="1794" t="s">
        <v>2084</v>
      </c>
      <c r="C4" s="2370" t="s">
        <v>2085</v>
      </c>
      <c r="D4" s="2367"/>
      <c r="E4" s="2371"/>
      <c r="F4" s="42" t="s">
        <v>2086</v>
      </c>
      <c r="G4" s="2372" t="s">
        <v>2087</v>
      </c>
      <c r="H4" s="2364"/>
      <c r="I4" s="2364"/>
      <c r="J4" s="2364"/>
      <c r="K4" s="2364"/>
      <c r="L4" s="2364"/>
      <c r="M4" s="2364"/>
      <c r="N4" s="2364"/>
      <c r="O4" s="2364"/>
      <c r="P4" s="2364"/>
      <c r="Q4" s="2364"/>
      <c r="R4" s="2364"/>
    </row>
    <row r="5" spans="1:29" ht="43.2">
      <c r="A5" s="430"/>
      <c r="B5" s="1794" t="s">
        <v>2088</v>
      </c>
      <c r="C5" s="2370" t="s">
        <v>2089</v>
      </c>
      <c r="D5" s="2367"/>
      <c r="E5" s="2371"/>
      <c r="F5" s="1794" t="s">
        <v>2090</v>
      </c>
      <c r="G5" s="2372" t="s">
        <v>2091</v>
      </c>
      <c r="H5" s="2364"/>
      <c r="I5" s="2364"/>
      <c r="J5" s="2364"/>
      <c r="K5" s="2364"/>
      <c r="L5" s="2364"/>
      <c r="M5" s="2364"/>
      <c r="N5" s="2364"/>
      <c r="O5" s="2364"/>
      <c r="P5" s="2364"/>
      <c r="Q5" s="2364"/>
      <c r="R5" s="2364"/>
    </row>
    <row r="6" spans="1:29" ht="57.6">
      <c r="A6" s="430"/>
      <c r="B6" s="1794" t="s">
        <v>2092</v>
      </c>
      <c r="C6" s="2372" t="s">
        <v>2087</v>
      </c>
      <c r="D6" s="2367"/>
      <c r="E6" s="2371"/>
      <c r="F6" s="1794" t="s">
        <v>2093</v>
      </c>
      <c r="G6" s="2372" t="s">
        <v>2094</v>
      </c>
      <c r="H6" s="2364"/>
      <c r="I6" s="2364"/>
      <c r="J6" s="2364"/>
      <c r="K6" s="2364"/>
      <c r="L6" s="2364"/>
      <c r="M6" s="2364"/>
      <c r="N6" s="2364"/>
      <c r="O6" s="2364"/>
      <c r="P6" s="2364"/>
      <c r="Q6" s="2364"/>
      <c r="R6" s="2364"/>
    </row>
    <row r="7" spans="1:29" ht="43.8" thickBot="1">
      <c r="A7" s="430"/>
      <c r="B7" s="1794" t="s">
        <v>2090</v>
      </c>
      <c r="C7" s="2372" t="s">
        <v>2091</v>
      </c>
      <c r="D7" s="2373"/>
      <c r="E7" s="2374"/>
      <c r="F7" s="2375" t="s">
        <v>2095</v>
      </c>
      <c r="G7" s="2376" t="s">
        <v>2096</v>
      </c>
      <c r="H7" s="2364"/>
      <c r="I7" s="2364"/>
      <c r="J7" s="2364"/>
      <c r="K7" s="2364"/>
      <c r="L7" s="2364"/>
      <c r="M7" s="2364"/>
      <c r="N7" s="2364"/>
      <c r="O7" s="2364"/>
      <c r="P7" s="2364"/>
      <c r="Q7" s="2364"/>
      <c r="R7" s="2364"/>
    </row>
    <row r="8" spans="1:29" ht="28.8">
      <c r="A8" s="430"/>
      <c r="B8" s="1794" t="s">
        <v>2093</v>
      </c>
      <c r="C8" s="2372" t="s">
        <v>2094</v>
      </c>
      <c r="D8" s="2373"/>
      <c r="E8" s="2373"/>
      <c r="F8" s="1132"/>
      <c r="G8" s="1132"/>
      <c r="H8" s="2364"/>
      <c r="I8" s="2364"/>
      <c r="J8" s="2364"/>
      <c r="K8" s="2364"/>
      <c r="L8" s="2364"/>
      <c r="M8" s="2364"/>
      <c r="N8" s="2364"/>
      <c r="O8" s="2364"/>
      <c r="P8" s="2364"/>
      <c r="Q8" s="2364"/>
      <c r="R8" s="2364"/>
    </row>
    <row r="9" spans="1:29" ht="43.2">
      <c r="A9" s="430"/>
      <c r="B9" s="1794" t="s">
        <v>2097</v>
      </c>
      <c r="C9" s="2370" t="s">
        <v>2098</v>
      </c>
      <c r="D9" s="2367"/>
      <c r="E9" s="2373"/>
      <c r="F9" s="1132"/>
      <c r="G9" s="1132"/>
      <c r="H9" s="2364"/>
      <c r="I9" s="2364"/>
      <c r="J9" s="2364"/>
      <c r="K9" s="2364"/>
      <c r="L9" s="2364"/>
      <c r="M9" s="2364"/>
      <c r="N9" s="2364"/>
      <c r="O9" s="2364"/>
      <c r="P9" s="2364"/>
      <c r="Q9" s="2364"/>
      <c r="R9" s="2364"/>
    </row>
    <row r="10" spans="1:29" s="117" customFormat="1" ht="15" thickBot="1">
      <c r="A10" s="2377"/>
      <c r="B10" s="2378" t="s">
        <v>2099</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7.399999999999999">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8" thickBot="1">
      <c r="A13" s="2390" t="s">
        <v>2100</v>
      </c>
      <c r="B13" s="2384"/>
      <c r="C13" s="2384"/>
      <c r="D13" s="2391"/>
      <c r="E13" s="2384"/>
      <c r="F13" s="2384"/>
      <c r="G13" s="2384"/>
    </row>
    <row r="14" spans="1:29" ht="15" thickBot="1">
      <c r="A14" s="2395"/>
      <c r="B14" s="2396"/>
      <c r="C14" s="2397" t="s">
        <v>2101</v>
      </c>
      <c r="D14" s="2367"/>
      <c r="E14" s="2398"/>
      <c r="F14" s="2398"/>
      <c r="G14" s="2361" t="s">
        <v>2102</v>
      </c>
    </row>
    <row r="15" spans="1:29" ht="55.2">
      <c r="A15" s="68" t="s">
        <v>2103</v>
      </c>
      <c r="B15" s="1266" t="s">
        <v>2080</v>
      </c>
      <c r="C15" s="2399" t="str">
        <f>C3</f>
        <v>估价对象周边居住用地比例、居住小区规模和社区发展完善程度，综合评价居住社区成熟度一般</v>
      </c>
      <c r="D15" s="2367"/>
      <c r="E15" s="2400" t="s">
        <v>2104</v>
      </c>
      <c r="F15" s="1266" t="s">
        <v>2105</v>
      </c>
      <c r="G15" s="134" t="str">
        <f>G3</f>
        <v>估价对象位于XX开发区，园区建设成熟度XX，产业集聚程度XX</v>
      </c>
    </row>
    <row r="16" spans="1:29" ht="41.4">
      <c r="A16" s="644"/>
      <c r="B16" s="2401" t="s">
        <v>2084</v>
      </c>
      <c r="C16" s="2402" t="str">
        <f>C4</f>
        <v>估价对象位于XX商圈，周边商业氛围成熟，人流量大，商业繁华度好</v>
      </c>
      <c r="D16" s="2367"/>
      <c r="E16" s="2403"/>
      <c r="F16" s="2404" t="s">
        <v>2086</v>
      </c>
      <c r="G16" s="135" t="str">
        <f>G4</f>
        <v>估价对象周边道路状况、公共交通通达情况、停车便捷程度，综合评价交通便捷度较好</v>
      </c>
    </row>
    <row r="17" spans="1:18" ht="41.4">
      <c r="A17" s="644"/>
      <c r="B17" s="2401" t="s">
        <v>2088</v>
      </c>
      <c r="C17" s="2402" t="str">
        <f>C5</f>
        <v>估价对象位于XX商圈，周边办公楼项目较多，入驻率高，办公集聚程度较好</v>
      </c>
      <c r="D17" s="2373"/>
      <c r="E17" s="2403"/>
      <c r="F17" s="2404" t="s">
        <v>2106</v>
      </c>
      <c r="G17" s="1568"/>
    </row>
    <row r="18" spans="1:18" ht="55.2">
      <c r="A18" s="644"/>
      <c r="B18" s="2404" t="s">
        <v>2092</v>
      </c>
      <c r="C18" s="135" t="str">
        <f>C6</f>
        <v>估价对象周边道路状况、公共交通通达情况、停车便捷程度，综合评价交通便捷度较好</v>
      </c>
      <c r="D18" s="2373"/>
      <c r="E18" s="2403"/>
      <c r="F18" s="2404" t="s">
        <v>2095</v>
      </c>
      <c r="G18" s="135" t="str">
        <f>G7</f>
        <v>该园区内是否有污染型企业，绿化情况，卫生条件，整体环境状况判断</v>
      </c>
    </row>
    <row r="19" spans="1:18" ht="27.6">
      <c r="A19" s="644"/>
      <c r="B19" s="2404" t="s">
        <v>2107</v>
      </c>
      <c r="C19" s="1568"/>
      <c r="D19" s="2367"/>
      <c r="E19" s="2403"/>
      <c r="F19" s="1794" t="s">
        <v>2090</v>
      </c>
      <c r="G19" s="135" t="str">
        <f>G5</f>
        <v>估价对象所在区域公共配套设施齐备情况</v>
      </c>
    </row>
    <row r="20" spans="1:18" ht="41.4">
      <c r="A20" s="644"/>
      <c r="B20" s="2404" t="s">
        <v>2108</v>
      </c>
      <c r="C20" s="2402" t="str">
        <f>C9</f>
        <v>区域自然环境：；人文环境；综合评价环境状况一般</v>
      </c>
      <c r="D20" s="2373"/>
      <c r="E20" s="2403"/>
      <c r="F20" s="1794" t="s">
        <v>2109</v>
      </c>
      <c r="G20" s="135" t="str">
        <f>G6</f>
        <v>估价对象所在区域基础设施水平</v>
      </c>
    </row>
    <row r="21" spans="1:18" ht="27.6">
      <c r="A21" s="644"/>
      <c r="B21" s="1794" t="s">
        <v>2090</v>
      </c>
      <c r="C21" s="135" t="str">
        <f>C7</f>
        <v>估价对象所在区域公共配套设施齐备情况</v>
      </c>
      <c r="D21" s="2367"/>
      <c r="E21" s="2403"/>
      <c r="F21" s="2404" t="s">
        <v>2110</v>
      </c>
      <c r="G21" s="2405"/>
    </row>
    <row r="22" spans="1:18" ht="13.5" customHeight="1">
      <c r="A22" s="644"/>
      <c r="B22" s="1794" t="s">
        <v>2093</v>
      </c>
      <c r="C22" s="135" t="str">
        <f>C8</f>
        <v>估价对象所在区域基础设施水平</v>
      </c>
      <c r="D22" s="2367"/>
      <c r="E22" s="2403"/>
      <c r="F22" s="2404" t="s">
        <v>2099</v>
      </c>
      <c r="G22" s="1568"/>
    </row>
    <row r="23" spans="1:18" s="2364" customFormat="1" ht="15" thickBot="1">
      <c r="A23" s="644"/>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 thickBot="1">
      <c r="A24" s="2409"/>
      <c r="B24" s="2407" t="s">
        <v>2112</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1106.44</v>
      </c>
      <c r="C1" s="1741"/>
      <c r="D1" s="1741"/>
      <c r="E1" s="1741"/>
      <c r="F1" s="1741"/>
      <c r="G1" s="1739"/>
    </row>
    <row r="2" spans="1:10" ht="16.2">
      <c r="A2" s="1742" t="s">
        <v>1349</v>
      </c>
      <c r="B2" s="1742">
        <f>SUM(C14:C23)</f>
        <v>8001.46</v>
      </c>
      <c r="C2" s="1741"/>
      <c r="D2" s="1741"/>
      <c r="E2" s="1741"/>
      <c r="F2" s="1741"/>
      <c r="G2" s="1739"/>
    </row>
    <row r="3" spans="1:10" ht="15.6">
      <c r="A3" s="1742" t="s">
        <v>1358</v>
      </c>
      <c r="B3" s="1743">
        <f>项目基本情况!D3</f>
        <v>43942</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1088</v>
      </c>
      <c r="C5" s="1742">
        <f ca="1">ROUND(B5*10000/$B$1,0)</f>
        <v>9833</v>
      </c>
      <c r="D5" s="1742">
        <f ca="1">ROUND(B5*10000/$B$2,0)</f>
        <v>1360</v>
      </c>
      <c r="E5" s="1741"/>
      <c r="F5" s="1739"/>
      <c r="G5" s="1739"/>
    </row>
    <row r="6" spans="1:10" ht="15.6">
      <c r="A6" s="1742" t="s">
        <v>1352</v>
      </c>
      <c r="B6" s="1742">
        <f ca="1">SUM(G14:G23)</f>
        <v>1088</v>
      </c>
      <c r="C6" s="1742">
        <f ca="1">ROUND(B6*10000/$B$1,0)</f>
        <v>9833</v>
      </c>
      <c r="D6" s="1742">
        <f ca="1">ROUND(B6*10000/$B$2,0)</f>
        <v>1360</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 ca="1">SUM(I14:I23)</f>
        <v>1017</v>
      </c>
      <c r="C8" s="1742">
        <f ca="1">ROUND(B8*10000/$B$1,0)</f>
        <v>9192</v>
      </c>
      <c r="D8" s="1742">
        <f ca="1">ROUND(B8*10000/$B$2,0)</f>
        <v>1271</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1106.44</v>
      </c>
      <c r="C14" s="1740">
        <f>结果表!C118</f>
        <v>8001.46</v>
      </c>
      <c r="D14" s="1740">
        <f ca="1">结果表!H118</f>
        <v>1088</v>
      </c>
      <c r="E14" s="1740">
        <f ca="1">ROUND(D14*10000/B14,0)</f>
        <v>9833</v>
      </c>
      <c r="F14" s="1740">
        <f ca="1">ROUND(D14*10000/C14,0)</f>
        <v>1360</v>
      </c>
      <c r="G14" s="1740">
        <f ca="1">结果表!D122</f>
        <v>1088</v>
      </c>
      <c r="H14" s="1740" t="str">
        <f>结果表!D124</f>
        <v>——</v>
      </c>
      <c r="I14" s="1740">
        <f ca="1">结果表!D126</f>
        <v>1017</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640625" defaultRowHeight="21.75" customHeight="1"/>
  <cols>
    <col min="1" max="2" width="12.6640625" style="2421"/>
    <col min="3" max="4" width="12.6640625" style="2421" customWidth="1"/>
    <col min="5" max="9" width="12.6640625" style="2421"/>
    <col min="10" max="11" width="12.6640625" style="794" customWidth="1"/>
    <col min="12" max="12" width="12.6640625" style="794"/>
    <col min="13" max="13" width="14.109375" style="794" bestFit="1" customWidth="1"/>
    <col min="14" max="26" width="12.6640625" style="794"/>
    <col min="27" max="35" width="12.6640625" style="2420"/>
    <col min="36" max="16384" width="12.6640625" style="2421"/>
  </cols>
  <sheetData>
    <row r="1" spans="1:12" ht="21.75" customHeight="1" thickBot="1">
      <c r="A1" s="2221" t="s">
        <v>2113</v>
      </c>
      <c r="B1" s="2415"/>
      <c r="C1" s="2416" t="s">
        <v>6</v>
      </c>
      <c r="D1" s="2415"/>
      <c r="E1" s="2415"/>
      <c r="F1" s="2417" t="s">
        <v>2114</v>
      </c>
      <c r="G1" s="2066" t="s">
        <v>3061</v>
      </c>
      <c r="H1" s="2418" t="str">
        <f>IF(G1="现房","——","估价对象范围")</f>
        <v>——</v>
      </c>
      <c r="I1" s="2419"/>
    </row>
    <row r="2" spans="1:12" ht="21.75" customHeight="1" thickBot="1">
      <c r="A2" s="3099" t="str">
        <f>项目基本情况!S2</f>
        <v>北京市昌平区南口镇前洼村南液化气站工业用房房地产房地产</v>
      </c>
      <c r="B2" s="3100"/>
      <c r="C2" s="3100"/>
      <c r="D2" s="3100"/>
      <c r="E2" s="3100"/>
      <c r="F2" s="3100"/>
      <c r="G2" s="3100"/>
      <c r="H2" s="3100"/>
      <c r="I2" s="3101"/>
    </row>
    <row r="3" spans="1:12" ht="13.2">
      <c r="A3" s="3103" t="s">
        <v>2115</v>
      </c>
      <c r="B3" s="3104"/>
      <c r="C3" s="3104"/>
      <c r="D3" s="3104"/>
      <c r="E3" s="3104"/>
      <c r="F3" s="3104"/>
      <c r="G3" s="3104"/>
      <c r="H3" s="3104"/>
      <c r="I3" s="3104"/>
    </row>
    <row r="4" spans="1:12" ht="14.4">
      <c r="A4" s="2422" t="s">
        <v>2116</v>
      </c>
      <c r="B4" s="2423" t="s">
        <v>2117</v>
      </c>
      <c r="C4" s="2424" t="s">
        <v>3091</v>
      </c>
      <c r="D4" s="2424" t="s">
        <v>3076</v>
      </c>
      <c r="E4" s="3096" t="s">
        <v>2118</v>
      </c>
      <c r="F4" s="3097"/>
      <c r="G4" s="3097"/>
      <c r="H4" s="3097"/>
      <c r="I4" s="310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3.2">
      <c r="A5" s="3079" t="s">
        <v>2119</v>
      </c>
      <c r="B5" s="3017">
        <v>25</v>
      </c>
      <c r="C5" s="3082"/>
      <c r="D5" s="3102"/>
      <c r="E5" s="139" t="s">
        <v>2120</v>
      </c>
      <c r="F5" s="2426"/>
      <c r="G5" s="2426"/>
      <c r="H5" s="2426"/>
      <c r="I5" s="1830"/>
    </row>
    <row r="6" spans="1:12" ht="13.2">
      <c r="A6" s="3079"/>
      <c r="B6" s="3017"/>
      <c r="C6" s="3083"/>
      <c r="D6" s="3102"/>
      <c r="E6" s="139" t="s">
        <v>2121</v>
      </c>
      <c r="F6" s="2426"/>
      <c r="G6" s="2426"/>
      <c r="H6" s="2426"/>
      <c r="I6" s="1830"/>
    </row>
    <row r="7" spans="1:12" ht="13.2">
      <c r="A7" s="3079"/>
      <c r="B7" s="3017"/>
      <c r="C7" s="3084"/>
      <c r="D7" s="3102"/>
      <c r="E7" s="139" t="s">
        <v>2122</v>
      </c>
      <c r="F7" s="2426"/>
      <c r="G7" s="2426"/>
      <c r="H7" s="2426"/>
      <c r="I7" s="1830"/>
    </row>
    <row r="8" spans="1:12" ht="13.2">
      <c r="A8" s="3079" t="s">
        <v>2123</v>
      </c>
      <c r="B8" s="3017">
        <v>15</v>
      </c>
      <c r="C8" s="3082"/>
      <c r="D8" s="3102"/>
      <c r="E8" s="139" t="s">
        <v>2124</v>
      </c>
      <c r="F8" s="2426"/>
      <c r="G8" s="2426"/>
      <c r="H8" s="2426"/>
      <c r="I8" s="1830"/>
    </row>
    <row r="9" spans="1:12" ht="13.2">
      <c r="A9" s="3079"/>
      <c r="B9" s="3017"/>
      <c r="C9" s="3084"/>
      <c r="D9" s="3102"/>
      <c r="E9" s="139" t="s">
        <v>2125</v>
      </c>
      <c r="F9" s="2426"/>
      <c r="G9" s="2426"/>
      <c r="H9" s="2426"/>
      <c r="I9" s="1830"/>
    </row>
    <row r="10" spans="1:12" ht="13.2">
      <c r="A10" s="3079" t="s">
        <v>2126</v>
      </c>
      <c r="B10" s="3017">
        <v>15</v>
      </c>
      <c r="C10" s="3082"/>
      <c r="D10" s="3102"/>
      <c r="E10" s="139" t="s">
        <v>2127</v>
      </c>
      <c r="F10" s="2426"/>
      <c r="G10" s="2426"/>
      <c r="H10" s="2426"/>
      <c r="I10" s="1830"/>
    </row>
    <row r="11" spans="1:12" ht="13.2">
      <c r="A11" s="3079"/>
      <c r="B11" s="3017"/>
      <c r="C11" s="3084"/>
      <c r="D11" s="3102"/>
      <c r="E11" s="139" t="s">
        <v>2128</v>
      </c>
      <c r="F11" s="2426"/>
      <c r="G11" s="2426"/>
      <c r="H11" s="2426"/>
      <c r="I11" s="1830"/>
    </row>
    <row r="12" spans="1:12" ht="13.2">
      <c r="A12" s="3079" t="s">
        <v>2129</v>
      </c>
      <c r="B12" s="3017">
        <v>15</v>
      </c>
      <c r="C12" s="3082"/>
      <c r="D12" s="3102"/>
      <c r="E12" s="139" t="s">
        <v>2130</v>
      </c>
      <c r="F12" s="2426"/>
      <c r="G12" s="2426"/>
      <c r="H12" s="2426"/>
      <c r="I12" s="1830"/>
    </row>
    <row r="13" spans="1:12" ht="13.2">
      <c r="A13" s="3079"/>
      <c r="B13" s="3017"/>
      <c r="C13" s="3084"/>
      <c r="D13" s="3102"/>
      <c r="E13" s="139" t="s">
        <v>2131</v>
      </c>
      <c r="F13" s="2426"/>
      <c r="G13" s="2426"/>
      <c r="H13" s="2426"/>
      <c r="I13" s="1830"/>
    </row>
    <row r="14" spans="1:12" ht="13.2">
      <c r="A14" s="3079" t="s">
        <v>2132</v>
      </c>
      <c r="B14" s="3017">
        <v>30</v>
      </c>
      <c r="C14" s="3082">
        <v>5</v>
      </c>
      <c r="D14" s="3102">
        <v>5</v>
      </c>
      <c r="E14" s="139" t="s">
        <v>2133</v>
      </c>
      <c r="F14" s="2426"/>
      <c r="G14" s="2426"/>
      <c r="H14" s="2426"/>
      <c r="I14" s="1830"/>
    </row>
    <row r="15" spans="1:12" ht="13.2">
      <c r="A15" s="3079"/>
      <c r="B15" s="3017"/>
      <c r="C15" s="3083"/>
      <c r="D15" s="3102"/>
      <c r="E15" s="139" t="s">
        <v>2134</v>
      </c>
      <c r="F15" s="2426"/>
      <c r="G15" s="2426"/>
      <c r="H15" s="2426"/>
      <c r="I15" s="1830"/>
    </row>
    <row r="16" spans="1:12" ht="13.2">
      <c r="A16" s="3079"/>
      <c r="B16" s="3017"/>
      <c r="C16" s="3084"/>
      <c r="D16" s="3102"/>
      <c r="E16" s="139" t="s">
        <v>2135</v>
      </c>
      <c r="F16" s="2426"/>
      <c r="G16" s="2426"/>
      <c r="H16" s="2426"/>
      <c r="I16" s="1830"/>
    </row>
    <row r="17" spans="1:35" ht="14.4">
      <c r="A17" s="2427" t="s">
        <v>2136</v>
      </c>
      <c r="B17" s="64"/>
      <c r="C17" s="140">
        <f>SUM(C5:C16)</f>
        <v>5</v>
      </c>
      <c r="D17" s="140">
        <f>SUM(D5:D16)</f>
        <v>5</v>
      </c>
      <c r="E17" s="137"/>
      <c r="F17" s="137"/>
      <c r="G17" s="137"/>
      <c r="H17" s="137"/>
      <c r="I17" s="137"/>
      <c r="K17" s="2425"/>
      <c r="L17" s="2428" t="s">
        <v>2137</v>
      </c>
      <c r="M17" s="2428" t="s">
        <v>2138</v>
      </c>
    </row>
    <row r="18" spans="1:35" ht="15" thickBot="1">
      <c r="A18" s="2429" t="s">
        <v>2139</v>
      </c>
      <c r="B18" s="2430"/>
      <c r="C18" s="141">
        <f>ROUND(C17/SUM(C17:D17),2)</f>
        <v>0.5</v>
      </c>
      <c r="D18" s="141">
        <f>1-C18</f>
        <v>0.5</v>
      </c>
      <c r="E18" s="137"/>
      <c r="F18" s="137"/>
      <c r="G18" s="137"/>
      <c r="H18" s="137"/>
      <c r="I18" s="137"/>
      <c r="K18" s="2425" t="s">
        <v>2140</v>
      </c>
      <c r="L18" s="2425">
        <f>IF(C1="",'数据-汇总表'!E3,SUMIF(项目类型,C1,'数据-汇总表'!E17:E26)+SUMIF(项目类型,C1,'数据-汇总表'!I17:I26))</f>
        <v>1106.44</v>
      </c>
      <c r="M18" s="2425">
        <f>IF(C1="",'数据-汇总表'!E3,SUMIF(项目类型,C1,'数据-汇总表'!E17:E26))</f>
        <v>1106.44</v>
      </c>
    </row>
    <row r="19" spans="1:35" ht="14.4">
      <c r="A19" s="2431" t="s">
        <v>2141</v>
      </c>
      <c r="B19" s="2432" t="s">
        <v>2142</v>
      </c>
      <c r="C19" s="142">
        <f ca="1">SUMIF(INDIRECT("'"&amp;C4&amp;"'"&amp;"!A:A"),结果表!B19,INDIRECT("'"&amp;C4&amp;"'"&amp;"!B:B"))</f>
        <v>1004</v>
      </c>
      <c r="D19" s="143">
        <f ca="1">SUMIF(INDIRECT("'"&amp;D4&amp;"'"&amp;"!A:A"),结果表!B19,INDIRECT("'"&amp;D4&amp;"'"&amp;"!B:B"))</f>
        <v>1172</v>
      </c>
      <c r="E19" s="2431" t="s">
        <v>2143</v>
      </c>
      <c r="F19" s="2432" t="s">
        <v>2142</v>
      </c>
      <c r="G19" s="144">
        <f ca="1">ROUND(C19*$C$18+D19*$D$18,0)</f>
        <v>1088</v>
      </c>
      <c r="H19" s="2433" t="s">
        <v>2144</v>
      </c>
      <c r="I19" s="137"/>
      <c r="J19" s="794">
        <v>1085</v>
      </c>
      <c r="K19" s="2425" t="s">
        <v>2145</v>
      </c>
      <c r="L19" s="2425">
        <f>IF(C1="",'数据-汇总表'!D3,SUMIF(项目类型,C1,'数据-汇总表'!D17:D26)+SUMIF(项目类型,C1,'数据-汇总表'!H17:H27))</f>
        <v>8001.46</v>
      </c>
      <c r="M19" s="2425">
        <f>IF(C1="",'数据-汇总表'!D3,SUMIF(项目类型,C1,'数据-汇总表'!D17:D26))</f>
        <v>8001.46</v>
      </c>
    </row>
    <row r="20" spans="1:35" ht="14.4">
      <c r="A20" s="2434"/>
      <c r="B20" s="1246" t="s">
        <v>2146</v>
      </c>
      <c r="C20" s="145">
        <f ca="1">SUMIF(INDIRECT("'"&amp;C4&amp;"'"&amp;"!A:A"),结果表!B20,INDIRECT("'"&amp;C4&amp;"'"&amp;"!B:B"))</f>
        <v>9074</v>
      </c>
      <c r="D20" s="146">
        <f ca="1">SUMIF(INDIRECT("'"&amp;D4&amp;"'"&amp;"!A:A"),结果表!B20,INDIRECT("'"&amp;D4&amp;"'"&amp;"!B:B"))</f>
        <v>10593</v>
      </c>
      <c r="E20" s="2434"/>
      <c r="F20" s="1246" t="s">
        <v>2146</v>
      </c>
      <c r="G20" s="147">
        <f ca="1">ROUND(C20*$C$18+D20*$D$18,0)</f>
        <v>9834</v>
      </c>
      <c r="H20" s="979" t="s">
        <v>2147</v>
      </c>
      <c r="I20" s="137"/>
    </row>
    <row r="21" spans="1:35" ht="15" customHeight="1" thickBot="1">
      <c r="A21" s="999"/>
      <c r="B21" s="2435" t="s">
        <v>2148</v>
      </c>
      <c r="C21" s="788">
        <f ca="1">ROUND(C19*10000/L19,0)</f>
        <v>1255</v>
      </c>
      <c r="D21" s="789">
        <f ca="1">ROUND(D19*10000/L19,0)</f>
        <v>1465</v>
      </c>
      <c r="E21" s="999"/>
      <c r="F21" s="2435" t="s">
        <v>2148</v>
      </c>
      <c r="G21" s="148">
        <f ca="1">ROUND(G19*10000/L19,0)</f>
        <v>1360</v>
      </c>
      <c r="H21" s="2436" t="s">
        <v>2147</v>
      </c>
      <c r="I21" s="137"/>
    </row>
    <row r="22" spans="1:35" ht="15" thickBot="1">
      <c r="A22" s="2277" t="s">
        <v>2149</v>
      </c>
      <c r="B22" s="2437"/>
      <c r="C22" s="2438"/>
      <c r="D22" s="790">
        <f ca="1">IF(C19&lt;D19,D19/C19-1,C19/D19-1)</f>
        <v>0.16733067729083673</v>
      </c>
      <c r="E22" s="137"/>
      <c r="F22" s="137"/>
      <c r="G22" s="137"/>
      <c r="H22" s="137"/>
      <c r="I22" s="137"/>
    </row>
    <row r="23" spans="1:35" ht="13.8" thickBot="1">
      <c r="A23" s="2415"/>
      <c r="B23" s="2415"/>
      <c r="C23" s="2415"/>
      <c r="D23" s="2415"/>
      <c r="E23" s="137"/>
      <c r="F23" s="137"/>
      <c r="G23" s="137"/>
      <c r="H23" s="137"/>
      <c r="I23" s="137"/>
    </row>
    <row r="24" spans="1:35" ht="14.4">
      <c r="A24" s="3073" t="s">
        <v>2150</v>
      </c>
      <c r="B24" s="2432" t="s">
        <v>2142</v>
      </c>
      <c r="C24" s="144">
        <f>IF(B30=0,0,D30)</f>
        <v>0</v>
      </c>
      <c r="D24" s="2439"/>
      <c r="E24" s="137"/>
      <c r="F24" s="137"/>
      <c r="G24" s="137"/>
      <c r="H24" s="137"/>
      <c r="I24" s="137"/>
    </row>
    <row r="25" spans="1:35" ht="14.4">
      <c r="A25" s="3074"/>
      <c r="B25" s="1246" t="s">
        <v>2146</v>
      </c>
      <c r="C25" s="149">
        <f>IF(B30=0,0,C30)</f>
        <v>0</v>
      </c>
      <c r="D25" s="2440"/>
      <c r="E25" s="137"/>
      <c r="F25" s="137"/>
      <c r="G25" s="137"/>
      <c r="H25" s="137"/>
      <c r="I25" s="137"/>
    </row>
    <row r="26" spans="1:35" ht="13.5" customHeight="1">
      <c r="A26" s="2441" t="s">
        <v>2151</v>
      </c>
      <c r="B26" s="150" t="s">
        <v>2152</v>
      </c>
      <c r="C26" s="150" t="s">
        <v>2153</v>
      </c>
      <c r="D26" s="151" t="s">
        <v>2154</v>
      </c>
      <c r="E26" s="137"/>
      <c r="F26" s="137"/>
      <c r="G26" s="137"/>
      <c r="H26" s="137"/>
      <c r="I26" s="137"/>
    </row>
    <row r="27" spans="1:35" ht="13.8">
      <c r="A27" s="2441"/>
      <c r="B27" s="150">
        <v>0</v>
      </c>
      <c r="C27" s="150">
        <v>0</v>
      </c>
      <c r="D27" s="151">
        <v>1082</v>
      </c>
      <c r="E27" s="137"/>
      <c r="F27" s="137"/>
      <c r="G27" s="137"/>
      <c r="H27" s="137"/>
      <c r="I27" s="137"/>
    </row>
    <row r="28" spans="1:35" ht="13.8">
      <c r="A28" s="2441"/>
      <c r="B28" s="150"/>
      <c r="C28" s="150"/>
      <c r="D28" s="151"/>
      <c r="E28" s="137"/>
      <c r="F28" s="137"/>
      <c r="G28" s="137"/>
      <c r="H28" s="137"/>
      <c r="I28" s="137"/>
    </row>
    <row r="29" spans="1:35" ht="13.8">
      <c r="A29" s="2441"/>
      <c r="B29" s="150"/>
      <c r="C29" s="150"/>
      <c r="D29" s="151"/>
      <c r="E29" s="137"/>
      <c r="F29" s="137"/>
      <c r="G29" s="137"/>
      <c r="H29" s="137"/>
      <c r="I29" s="137"/>
    </row>
    <row r="30" spans="1:35" ht="14.4">
      <c r="A30" s="150" t="s">
        <v>2155</v>
      </c>
      <c r="B30" s="150"/>
      <c r="C30" s="150"/>
      <c r="D30" s="150"/>
      <c r="E30" s="2914" t="s">
        <v>3027</v>
      </c>
      <c r="F30" s="137"/>
      <c r="G30" s="137"/>
      <c r="H30" s="137"/>
      <c r="I30" s="137"/>
    </row>
    <row r="31" spans="1:35" s="2443" customFormat="1" ht="14.4"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 thickBot="1">
      <c r="A32" s="2444" t="s">
        <v>2156</v>
      </c>
      <c r="B32" s="2445"/>
      <c r="C32" s="152">
        <f ca="1">IF(D32="总价",G19-C24,G20-C25)</f>
        <v>1088</v>
      </c>
      <c r="D32" s="2446" t="s">
        <v>2157</v>
      </c>
      <c r="E32" s="137"/>
      <c r="F32" s="137"/>
      <c r="G32" s="137"/>
      <c r="H32" s="137"/>
      <c r="I32" s="137"/>
    </row>
    <row r="33" spans="1:15" ht="14.4">
      <c r="A33" s="956" t="s">
        <v>2158</v>
      </c>
      <c r="B33" s="2447"/>
      <c r="C33" s="2448" t="s">
        <v>3098</v>
      </c>
      <c r="D33" s="2449" t="s">
        <v>3091</v>
      </c>
      <c r="E33" s="2450" t="s">
        <v>2159</v>
      </c>
      <c r="F33" s="2451" t="str">
        <f>IF(D32="楼面单价","取值（单价）","取值（总价）")</f>
        <v>取值（总价）</v>
      </c>
      <c r="G33" s="137"/>
      <c r="H33" s="137"/>
      <c r="I33" s="137"/>
    </row>
    <row r="34" spans="1:15" ht="14.4">
      <c r="A34" s="2452"/>
      <c r="B34" s="2453" t="s">
        <v>2160</v>
      </c>
      <c r="C34" s="156">
        <f ca="1">IF(C33="自定义",F34,C32-C35)</f>
        <v>844</v>
      </c>
      <c r="D34" s="1054">
        <f ca="1">IF(C33="自定义",ROUND(C34/C32,3),IF(C33="收益比率",SUMIF(INDIRECT("'"&amp;D33&amp;"'"&amp;"!b:b"),"土地收益比率",INDIRECT("'"&amp;D33&amp;"'"&amp;"!c:c")),SUMIF(INDIRECT("'"&amp;D33&amp;"'"&amp;"!b:b"),"土地成本比率",INDIRECT("'"&amp;D33&amp;"'"&amp;"!c:c"))))</f>
        <v>0.77600000000000002</v>
      </c>
      <c r="E34" s="2454" t="s">
        <v>2161</v>
      </c>
      <c r="F34" s="1735">
        <f ca="1">G19-F35</f>
        <v>844</v>
      </c>
      <c r="G34" s="137"/>
      <c r="H34" s="137"/>
      <c r="I34" s="137"/>
    </row>
    <row r="35" spans="1:15" ht="15" thickBot="1">
      <c r="A35" s="2455"/>
      <c r="B35" s="2456" t="s">
        <v>2162</v>
      </c>
      <c r="C35" s="1440">
        <f ca="1">IF(C33="自定义",F35,ROUND(C32*D35,0))</f>
        <v>244</v>
      </c>
      <c r="D35" s="1441">
        <f ca="1">IF(C33="自定义",ROUND(C35/C32,3),IF(C33="收益比率",SUMIF(INDIRECT("'"&amp;D33&amp;"'"&amp;"!b:b"),"建筑物收益比率",INDIRECT("'"&amp;D33&amp;"'"&amp;"!c:c")),SUMIF(INDIRECT("'"&amp;D33&amp;"'"&amp;"!b:b"),"建筑物成本比率",INDIRECT("'"&amp;D33&amp;"'"&amp;"!c:c"))))</f>
        <v>0.224</v>
      </c>
      <c r="E35" s="2457" t="s">
        <v>2163</v>
      </c>
      <c r="F35" s="162">
        <f ca="1">成本法!C51</f>
        <v>244</v>
      </c>
      <c r="G35" s="137"/>
      <c r="H35" s="137"/>
      <c r="I35" s="137"/>
    </row>
    <row r="36" spans="1:15" ht="15" thickBot="1">
      <c r="A36" s="3091" t="s">
        <v>2164</v>
      </c>
      <c r="B36" s="2458" t="s">
        <v>2165</v>
      </c>
      <c r="C36" s="153"/>
      <c r="D36" s="2459"/>
      <c r="E36" s="2460"/>
      <c r="F36" s="2461"/>
      <c r="G36" s="137"/>
      <c r="H36" s="137"/>
      <c r="I36" s="137"/>
    </row>
    <row r="37" spans="1:15" ht="15" thickBot="1">
      <c r="A37" s="3092"/>
      <c r="B37" s="2263" t="s">
        <v>2166</v>
      </c>
      <c r="C37" s="155"/>
      <c r="D37" s="1391"/>
      <c r="E37" s="1391"/>
      <c r="F37" s="2461"/>
      <c r="G37" s="137"/>
      <c r="H37" s="137"/>
      <c r="I37" s="137"/>
    </row>
    <row r="38" spans="1:15" ht="15" thickBot="1">
      <c r="A38" s="3093"/>
      <c r="B38" s="2462" t="s">
        <v>2167</v>
      </c>
      <c r="C38" s="726"/>
      <c r="D38" s="2463" t="s">
        <v>2168</v>
      </c>
      <c r="E38" s="1391"/>
      <c r="F38" s="2461"/>
      <c r="G38" s="137"/>
      <c r="H38" s="137"/>
      <c r="I38" s="137"/>
    </row>
    <row r="39" spans="1:15" ht="14.4">
      <c r="A39" s="2434" t="s">
        <v>2169</v>
      </c>
      <c r="B39" s="2464" t="s">
        <v>2170</v>
      </c>
      <c r="C39" s="2465" t="s">
        <v>2171</v>
      </c>
      <c r="D39" s="2465" t="s">
        <v>2172</v>
      </c>
      <c r="E39" s="2466" t="s">
        <v>2173</v>
      </c>
      <c r="F39" s="2461"/>
      <c r="G39" s="137"/>
      <c r="H39" s="137"/>
      <c r="I39" s="137"/>
    </row>
    <row r="40" spans="1:15" ht="13.8">
      <c r="A40" s="2467" t="s">
        <v>2174</v>
      </c>
      <c r="B40" s="157"/>
      <c r="C40" s="158"/>
      <c r="D40" s="158"/>
      <c r="E40" s="159"/>
      <c r="F40" s="2461"/>
      <c r="G40" s="137"/>
      <c r="H40" s="137"/>
      <c r="I40" s="137"/>
    </row>
    <row r="41" spans="1:15" ht="13.8">
      <c r="A41" s="2467" t="s">
        <v>2175</v>
      </c>
      <c r="B41" s="157"/>
      <c r="C41" s="158"/>
      <c r="D41" s="158"/>
      <c r="E41" s="159"/>
      <c r="F41" s="2461"/>
      <c r="G41" s="137"/>
      <c r="H41" s="137"/>
      <c r="I41" s="137"/>
    </row>
    <row r="42" spans="1:15" ht="14.4" thickBot="1">
      <c r="A42" s="2468"/>
      <c r="B42" s="160"/>
      <c r="C42" s="161"/>
      <c r="D42" s="161"/>
      <c r="E42" s="162"/>
      <c r="F42" s="2461"/>
      <c r="G42" s="137"/>
      <c r="H42" s="137"/>
      <c r="I42" s="137"/>
    </row>
    <row r="43" spans="1:15" ht="13.2">
      <c r="A43" s="2161"/>
      <c r="B43" s="2161"/>
      <c r="C43" s="2161"/>
      <c r="D43" s="2161"/>
      <c r="E43" s="2161"/>
      <c r="F43" s="2469"/>
      <c r="G43" s="2469"/>
      <c r="H43" s="2469"/>
      <c r="I43" s="2470"/>
    </row>
    <row r="44" spans="1:15" ht="17.399999999999999">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070" t="s">
        <v>2178</v>
      </c>
      <c r="B45" s="3071"/>
      <c r="C45" s="3072"/>
      <c r="D45" s="163">
        <f ca="1">ROUND(H101*F45,0)</f>
        <v>1088</v>
      </c>
      <c r="E45" s="164" t="s">
        <v>2179</v>
      </c>
      <c r="F45" s="165">
        <v>1</v>
      </c>
      <c r="G45" s="166" t="s">
        <v>2180</v>
      </c>
      <c r="H45" s="137"/>
      <c r="I45" s="137"/>
      <c r="J45" s="3130" t="s">
        <v>2181</v>
      </c>
      <c r="K45" s="3130"/>
      <c r="L45" s="3130"/>
      <c r="M45" s="3130"/>
      <c r="N45" s="3130"/>
      <c r="O45" s="3130"/>
    </row>
    <row r="46" spans="1:15" ht="14.25" customHeight="1">
      <c r="A46" s="3067" t="s">
        <v>2182</v>
      </c>
      <c r="B46" s="3068"/>
      <c r="C46" s="3068"/>
      <c r="D46" s="3068"/>
      <c r="E46" s="3068"/>
      <c r="F46" s="3068"/>
      <c r="G46" s="3069"/>
      <c r="H46" s="2477"/>
      <c r="I46" s="167"/>
      <c r="J46" s="1808">
        <v>1</v>
      </c>
      <c r="K46" s="3130" t="s">
        <v>2183</v>
      </c>
      <c r="L46" s="3130"/>
      <c r="M46" s="3150"/>
      <c r="N46" s="3150"/>
      <c r="O46" s="3150"/>
    </row>
    <row r="47" spans="1:15" ht="12" customHeight="1">
      <c r="A47" s="168" t="s">
        <v>2184</v>
      </c>
      <c r="B47" s="169"/>
      <c r="C47" s="170"/>
      <c r="D47" s="171" t="s">
        <v>2185</v>
      </c>
      <c r="E47" s="24" t="s">
        <v>2186</v>
      </c>
      <c r="F47" s="172" t="s">
        <v>2187</v>
      </c>
      <c r="G47" s="173" t="s">
        <v>2188</v>
      </c>
      <c r="H47" s="2477"/>
      <c r="I47" s="167"/>
      <c r="J47" s="1808">
        <v>2</v>
      </c>
      <c r="K47" s="3130" t="s">
        <v>2189</v>
      </c>
      <c r="L47" s="3130"/>
      <c r="M47" s="3151">
        <f>'数据-取费表'!B2</f>
        <v>43942</v>
      </c>
      <c r="N47" s="3151"/>
      <c r="O47" s="3151"/>
    </row>
    <row r="48" spans="1:15" ht="26.4">
      <c r="A48" s="3098" t="s">
        <v>2190</v>
      </c>
      <c r="B48" s="3081"/>
      <c r="C48" s="3081"/>
      <c r="D48" s="139">
        <f ca="1">IF(H48="情况1",0,IF(H48="情况2",D52,IF(H48="情况3",D53,IF(H48="情况4",D54))))</f>
        <v>57</v>
      </c>
      <c r="E48" s="1797" t="str">
        <f>IF(H48="情况4","(销售额-原购置价)×税（费）率","销售额×税（费）率")</f>
        <v>销售额×税（费）率</v>
      </c>
      <c r="F48" s="174">
        <f>IF(H48="情况1","免征",'数据-取费表'!B41)</f>
        <v>5.5000000000000007E-2</v>
      </c>
      <c r="G48" s="2478" t="s">
        <v>2191</v>
      </c>
      <c r="H48" s="2479" t="s">
        <v>3094</v>
      </c>
      <c r="I48" s="2477"/>
      <c r="J48" s="1808">
        <v>3</v>
      </c>
      <c r="K48" s="3130" t="s">
        <v>2192</v>
      </c>
      <c r="L48" s="3130"/>
      <c r="M48" s="3152">
        <f ca="1">H101</f>
        <v>1088</v>
      </c>
      <c r="N48" s="3152"/>
      <c r="O48" s="3152"/>
    </row>
    <row r="49" spans="1:35" ht="25.5" customHeight="1">
      <c r="A49" s="175" t="s">
        <v>2193</v>
      </c>
      <c r="B49" s="3066" t="s">
        <v>2194</v>
      </c>
      <c r="C49" s="3066"/>
      <c r="D49" s="176">
        <v>0</v>
      </c>
      <c r="E49" s="23" t="s">
        <v>2195</v>
      </c>
      <c r="F49" s="28" t="s">
        <v>34</v>
      </c>
      <c r="G49" s="3136"/>
      <c r="H49" s="137"/>
      <c r="I49" s="2480"/>
      <c r="J49" s="1808">
        <v>4</v>
      </c>
      <c r="K49" s="3130" t="str">
        <f>IF(项目基本情况!E8="房地产抵押价值","房地产抵押价值","抵押担保权已注销时的房地产抵押价值")</f>
        <v>房地产抵押价值</v>
      </c>
      <c r="L49" s="3130"/>
      <c r="M49" s="3152">
        <f ca="1">IF(项目基本情况!E8="房地产抵押价值",H107,H109)</f>
        <v>1088</v>
      </c>
      <c r="N49" s="3152"/>
      <c r="O49" s="3152"/>
    </row>
    <row r="50" spans="1:35" ht="25.5" customHeight="1">
      <c r="A50" s="177"/>
      <c r="B50" s="3066" t="s">
        <v>2196</v>
      </c>
      <c r="C50" s="3066"/>
      <c r="D50" s="178"/>
      <c r="E50" s="31"/>
      <c r="F50" s="179"/>
      <c r="G50" s="3137"/>
      <c r="H50" s="137"/>
      <c r="I50" s="2480"/>
      <c r="J50" s="3130" t="s">
        <v>2197</v>
      </c>
      <c r="K50" s="3130"/>
      <c r="L50" s="3130"/>
      <c r="M50" s="3130"/>
      <c r="N50" s="3130"/>
      <c r="O50" s="3130"/>
    </row>
    <row r="51" spans="1:35" ht="12" customHeight="1">
      <c r="A51" s="180"/>
      <c r="B51" s="3066" t="s">
        <v>2198</v>
      </c>
      <c r="C51" s="3066"/>
      <c r="D51" s="181"/>
      <c r="E51" s="30"/>
      <c r="F51" s="179"/>
      <c r="G51" s="3138"/>
      <c r="H51" s="137"/>
      <c r="I51" s="2480"/>
      <c r="J51" s="2481" t="s">
        <v>2199</v>
      </c>
      <c r="K51" s="3130" t="s">
        <v>2200</v>
      </c>
      <c r="L51" s="3130"/>
      <c r="M51" s="2481" t="s">
        <v>2201</v>
      </c>
      <c r="N51" s="2481" t="s">
        <v>2202</v>
      </c>
      <c r="O51" s="2481" t="s">
        <v>2203</v>
      </c>
    </row>
    <row r="52" spans="1:35" ht="24" customHeight="1">
      <c r="A52" s="182" t="s">
        <v>2204</v>
      </c>
      <c r="B52" s="3066" t="s">
        <v>2205</v>
      </c>
      <c r="C52" s="3066"/>
      <c r="D52" s="181">
        <f ca="1">ROUND(D45*'数据-取费表'!B41/(1+'数据-取费表'!C42),0)</f>
        <v>57</v>
      </c>
      <c r="E52" s="11" t="s">
        <v>2206</v>
      </c>
      <c r="F52" s="183">
        <f>'数据-取费表'!B41</f>
        <v>5.5000000000000007E-2</v>
      </c>
      <c r="G52" s="2482"/>
      <c r="H52" s="137"/>
      <c r="I52" s="2480"/>
      <c r="J52" s="1808">
        <v>1</v>
      </c>
      <c r="K52" s="3131" t="s">
        <v>2207</v>
      </c>
      <c r="L52" s="3131"/>
      <c r="M52" s="1750">
        <f ca="1">D48</f>
        <v>57</v>
      </c>
      <c r="N52" s="1808" t="str">
        <f>E48</f>
        <v>销售额×税（费）率</v>
      </c>
      <c r="O52" s="1751">
        <f>F48</f>
        <v>5.5000000000000007E-2</v>
      </c>
    </row>
    <row r="53" spans="1:35" ht="12" customHeight="1">
      <c r="A53" s="182" t="s">
        <v>2208</v>
      </c>
      <c r="B53" s="3089" t="s">
        <v>2209</v>
      </c>
      <c r="C53" s="3090"/>
      <c r="D53" s="181">
        <f ca="1">ROUND(D45*'数据-取费表'!B41/(1+'数据-取费表'!C42),0)</f>
        <v>57</v>
      </c>
      <c r="E53" s="11" t="s">
        <v>2206</v>
      </c>
      <c r="F53" s="183">
        <f>'数据-取费表'!B41</f>
        <v>5.5000000000000007E-2</v>
      </c>
      <c r="G53" s="2482"/>
      <c r="H53" s="137"/>
      <c r="I53" s="2480"/>
      <c r="J53" s="1808">
        <v>2</v>
      </c>
      <c r="K53" s="3131" t="s">
        <v>2210</v>
      </c>
      <c r="L53" s="3131"/>
      <c r="M53" s="1750">
        <f t="shared" ref="M53:O54" ca="1" si="0">D55</f>
        <v>1</v>
      </c>
      <c r="N53" s="1808" t="str">
        <f t="shared" si="0"/>
        <v>销售额×税（费）率</v>
      </c>
      <c r="O53" s="1751">
        <f t="shared" si="0"/>
        <v>5.0000000000000001E-4</v>
      </c>
    </row>
    <row r="54" spans="1:35" ht="12" customHeight="1">
      <c r="A54" s="182" t="s">
        <v>2211</v>
      </c>
      <c r="B54" s="3089" t="s">
        <v>2212</v>
      </c>
      <c r="C54" s="3090"/>
      <c r="D54" s="181">
        <f ca="1">C68</f>
        <v>57</v>
      </c>
      <c r="E54" s="30" t="s">
        <v>2213</v>
      </c>
      <c r="F54" s="183">
        <f>'数据-取费表'!B41</f>
        <v>5.5000000000000007E-2</v>
      </c>
      <c r="G54" s="2482"/>
      <c r="H54" s="2483"/>
      <c r="I54" s="2480"/>
      <c r="J54" s="1808">
        <v>3</v>
      </c>
      <c r="K54" s="3131" t="s">
        <v>2214</v>
      </c>
      <c r="L54" s="3131"/>
      <c r="M54" s="1750">
        <f t="shared" ca="1" si="0"/>
        <v>13</v>
      </c>
      <c r="N54" s="1808" t="str">
        <f t="shared" si="0"/>
        <v>增值额×税（费）率</v>
      </c>
      <c r="O54" s="1752" t="str">
        <f t="shared" si="0"/>
        <v>——</v>
      </c>
    </row>
    <row r="55" spans="1:35" ht="24" customHeight="1">
      <c r="A55" s="3080" t="s">
        <v>2215</v>
      </c>
      <c r="B55" s="3081"/>
      <c r="C55" s="3081"/>
      <c r="D55" s="184">
        <f ca="1">IF(H55="个人住宅",0,ROUND(D45*I55,0))</f>
        <v>1</v>
      </c>
      <c r="E55" s="11" t="s">
        <v>2216</v>
      </c>
      <c r="F55" s="183">
        <f>IF(H55="正常",I55,"免征")</f>
        <v>5.0000000000000001E-4</v>
      </c>
      <c r="G55" s="2482"/>
      <c r="H55" s="2479" t="s">
        <v>2217</v>
      </c>
      <c r="I55" s="185">
        <f>'数据-取费表'!B49</f>
        <v>5.0000000000000001E-4</v>
      </c>
      <c r="J55" s="1808" t="str">
        <f>IF(H59="非个人房产","",4)</f>
        <v/>
      </c>
      <c r="K55" s="3131" t="str">
        <f>IF(H59="非个人房产","——","个人所得税")</f>
        <v>——</v>
      </c>
      <c r="L55" s="3131"/>
      <c r="M55" s="1753" t="str">
        <f>D59</f>
        <v>——</v>
      </c>
      <c r="N55" s="1806" t="str">
        <f>E59</f>
        <v>——</v>
      </c>
      <c r="O55" s="1754" t="str">
        <f>F59</f>
        <v>——</v>
      </c>
    </row>
    <row r="56" spans="1:35" ht="25.2">
      <c r="A56" s="3080" t="s">
        <v>2218</v>
      </c>
      <c r="B56" s="3081"/>
      <c r="C56" s="3081"/>
      <c r="D56" s="184">
        <f ca="1">IF(H56="个人住宅",D57,D58)</f>
        <v>13</v>
      </c>
      <c r="E56" s="11" t="s">
        <v>2219</v>
      </c>
      <c r="F56" s="183" t="str">
        <f>IF(H56="正常",F58,"免征")</f>
        <v>——</v>
      </c>
      <c r="G56" s="2484" t="s">
        <v>2220</v>
      </c>
      <c r="H56" s="2485" t="s">
        <v>2217</v>
      </c>
      <c r="I56" s="2486"/>
      <c r="J56" s="1808" t="str">
        <f>IF(项目基本情况!K6="上海银行",IF(J55="",4,J55+1),"")</f>
        <v/>
      </c>
      <c r="K56" s="3154" t="str">
        <f>IF(项目基本情况!K6="上海银行","其他处置费用","")</f>
        <v/>
      </c>
      <c r="L56" s="3155"/>
      <c r="M56" s="1750" t="str">
        <f>IF(项目基本情况!K6="上海银行",M69,"")</f>
        <v/>
      </c>
      <c r="N56" s="3157" t="str">
        <f>IF(项目基本情况!K6="上海银行","包含处置中涉及的律师、诉讼、拍卖、评估等费用","")</f>
        <v/>
      </c>
      <c r="O56" s="3158"/>
    </row>
    <row r="57" spans="1:35" ht="13.2">
      <c r="A57" s="182" t="s">
        <v>2193</v>
      </c>
      <c r="B57" s="3096" t="s">
        <v>2221</v>
      </c>
      <c r="C57" s="3105"/>
      <c r="D57" s="186">
        <v>0</v>
      </c>
      <c r="E57" s="23" t="s">
        <v>2195</v>
      </c>
      <c r="F57" s="154"/>
      <c r="G57" s="2482"/>
      <c r="H57" s="2486"/>
      <c r="I57" s="2486"/>
      <c r="J57" s="3131">
        <f>IF(AND(J55="",J56=""),4,IF(项目基本情况!K6="上海银行",结果表!J56+1,结果表!J55+1))</f>
        <v>4</v>
      </c>
      <c r="K57" s="3131" t="s">
        <v>2222</v>
      </c>
      <c r="L57" s="2487" t="s">
        <v>2223</v>
      </c>
      <c r="M57" s="1755"/>
      <c r="N57" s="1756">
        <f ca="1">SUMIF(M52:M56,"&lt;9e307")</f>
        <v>71</v>
      </c>
      <c r="O57" s="2488"/>
      <c r="P57" s="1749">
        <f ca="1">N57/M49</f>
        <v>6.5257352941176475E-2</v>
      </c>
    </row>
    <row r="58" spans="1:35" ht="25.2">
      <c r="A58" s="182" t="s">
        <v>2204</v>
      </c>
      <c r="B58" s="3096" t="s">
        <v>2224</v>
      </c>
      <c r="C58" s="3097"/>
      <c r="D58" s="184">
        <f ca="1">IF(H58="转让取得",C81,C97)</f>
        <v>13</v>
      </c>
      <c r="E58" s="11" t="s">
        <v>2219</v>
      </c>
      <c r="F58" s="24" t="s">
        <v>34</v>
      </c>
      <c r="G58" s="2482"/>
      <c r="H58" s="2485" t="s">
        <v>2225</v>
      </c>
      <c r="I58" s="2486"/>
      <c r="J58" s="3131"/>
      <c r="K58" s="3131"/>
      <c r="L58" s="2487" t="s">
        <v>2226</v>
      </c>
      <c r="M58" s="1757"/>
      <c r="N58" s="2489" t="str">
        <f ca="1">NUMBERSTRING(INT(N57*10000),2)&amp;"元整"</f>
        <v>柒拾壹万元整</v>
      </c>
      <c r="O58" s="2490"/>
    </row>
    <row r="59" spans="1:35" ht="24.6" thickBot="1">
      <c r="A59" s="3134" t="s">
        <v>2227</v>
      </c>
      <c r="B59" s="3135"/>
      <c r="C59" s="3135"/>
      <c r="D59" s="187" t="str">
        <f>IF(H59="非个人房产","——",IF(H59="个人住宅",0,ROUND(D45*I59,0)))</f>
        <v>——</v>
      </c>
      <c r="E59" s="188" t="str">
        <f>IF(H59="非个人房产","——","销售额×税（费）率")</f>
        <v>——</v>
      </c>
      <c r="F59" s="189" t="str">
        <f>IF(H59="非个人房产","——",IF(H59="个人住宅","免征",I59))</f>
        <v>——</v>
      </c>
      <c r="G59" s="2491" t="s">
        <v>2220</v>
      </c>
      <c r="H59" s="2485" t="s">
        <v>2228</v>
      </c>
      <c r="I59" s="190">
        <v>0.01</v>
      </c>
      <c r="J59" s="3132">
        <f>J57+1</f>
        <v>5</v>
      </c>
      <c r="K59" s="3131" t="s">
        <v>2229</v>
      </c>
      <c r="L59" s="1808" t="s">
        <v>2223</v>
      </c>
      <c r="M59" s="1758"/>
      <c r="N59" s="1759">
        <f ca="1">M49-N57</f>
        <v>1017</v>
      </c>
      <c r="O59" s="2492"/>
    </row>
    <row r="60" spans="1:35" ht="12" customHeight="1">
      <c r="A60" s="2493"/>
      <c r="B60" s="2415"/>
      <c r="C60" s="2415"/>
      <c r="D60" s="2415"/>
      <c r="E60" s="2162"/>
      <c r="F60" s="2486"/>
      <c r="G60" s="2486"/>
      <c r="H60" s="2494"/>
      <c r="I60" s="137"/>
      <c r="J60" s="3133"/>
      <c r="K60" s="3131"/>
      <c r="L60" s="2487" t="s">
        <v>2226</v>
      </c>
      <c r="M60" s="1757"/>
      <c r="N60" s="2489" t="str">
        <f ca="1">NUMBERSTRING(INT(N59*10000),2)&amp;"元整"</f>
        <v>壹仟零壹拾柒万元整</v>
      </c>
      <c r="O60" s="2490"/>
    </row>
    <row r="61" spans="1:35" ht="13.8" thickBot="1">
      <c r="A61" s="3078" t="s">
        <v>2230</v>
      </c>
      <c r="B61" s="3078"/>
      <c r="C61" s="3078"/>
      <c r="D61" s="3078"/>
      <c r="E61" s="3078"/>
      <c r="F61" s="2486"/>
      <c r="G61" s="2486"/>
      <c r="H61" s="2494"/>
      <c r="I61" s="137"/>
      <c r="J61" s="1808">
        <f>J59+1</f>
        <v>6</v>
      </c>
      <c r="K61" s="3131" t="s">
        <v>2231</v>
      </c>
      <c r="L61" s="3131"/>
      <c r="M61" s="1760"/>
      <c r="N61" s="1761">
        <f ca="1">ROUND(N59*10000/'数据-汇总表'!E3,0)</f>
        <v>9192</v>
      </c>
      <c r="O61" s="2495"/>
    </row>
    <row r="62" spans="1:35" ht="13.2">
      <c r="A62" s="3094" t="s">
        <v>2232</v>
      </c>
      <c r="B62" s="3095"/>
      <c r="C62" s="1800"/>
      <c r="D62" s="1800" t="s">
        <v>2233</v>
      </c>
      <c r="E62" s="191" t="s">
        <v>2234</v>
      </c>
      <c r="F62" s="2486"/>
      <c r="G62" s="2486"/>
      <c r="H62" s="2494"/>
      <c r="I62" s="137"/>
    </row>
    <row r="63" spans="1:35" ht="13.2">
      <c r="A63" s="202" t="s">
        <v>775</v>
      </c>
      <c r="B63" s="192" t="s">
        <v>2235</v>
      </c>
      <c r="C63" s="193">
        <f ca="1">ROUND((C64+C65)/(1+'数据-取费表'!C42),0)</f>
        <v>1036</v>
      </c>
      <c r="D63" s="194"/>
      <c r="E63" s="195"/>
      <c r="F63" s="2486"/>
      <c r="G63" s="2486"/>
      <c r="H63" s="2494"/>
      <c r="I63" s="137"/>
      <c r="J63" s="3156" t="s">
        <v>2236</v>
      </c>
      <c r="K63" s="2496" t="s">
        <v>2237</v>
      </c>
      <c r="L63" s="1748">
        <f ca="1">IF(M49&gt;10000,M49*0.5%,IF(AND(M49&gt;1000,M49&lt;=10000),M49*1%,IF(AND(M49&gt;100,M49&lt;=1000),M49*3%,IF(AND(M49&gt;10,M49&lt;=100),M49*5%,M49*8%))))</f>
        <v>10.88</v>
      </c>
      <c r="M63" s="24">
        <f ca="1">ROUND(L63,1)</f>
        <v>10.9</v>
      </c>
      <c r="Z63" s="2420"/>
      <c r="AI63" s="2421"/>
    </row>
    <row r="64" spans="1:35" ht="14.25" customHeight="1">
      <c r="A64" s="196" t="s">
        <v>770</v>
      </c>
      <c r="B64" s="197" t="s">
        <v>2238</v>
      </c>
      <c r="C64" s="198">
        <f ca="1">D45</f>
        <v>1088</v>
      </c>
      <c r="D64" s="199" t="s">
        <v>32</v>
      </c>
      <c r="E64" s="200"/>
      <c r="F64" s="2486"/>
      <c r="G64" s="2486"/>
      <c r="H64" s="2494"/>
      <c r="I64" s="137"/>
      <c r="J64" s="3156"/>
      <c r="K64" s="2496" t="s">
        <v>2239</v>
      </c>
      <c r="L64" s="1748">
        <f ca="1">IF(M49&gt;2000,M49*0.5%,IF(AND(M49&gt;1000,M49&lt;=2000),M49*0.6%,IF(AND(M49&gt;500,M49&lt;=1000),M49*0.7%,IF(AND(M49&gt;200,M49&lt;=500),M49*0.8%,IF(AND(M49&gt;100,M49&lt;=200),M49*0.9%,IF(AND(M49&gt;50,M49&lt;=100),M49*1%,IF(AND(M49&gt;20,M49&lt;=50),M49*1.5%,IF(AND(M49&gt;10,M49&lt;=20),M49*2%,IF(AND(M49&gt;1,M49&lt;=10),M49*2.5%)))))))))</f>
        <v>6.5280000000000005</v>
      </c>
      <c r="M64" s="24">
        <f t="shared" ref="M64:M65" ca="1" si="1">ROUND(L64,1)</f>
        <v>6.5</v>
      </c>
      <c r="N64" s="137" t="s">
        <v>2240</v>
      </c>
      <c r="Z64" s="2420"/>
      <c r="AI64" s="2421"/>
    </row>
    <row r="65" spans="1:35" ht="14.25" customHeight="1">
      <c r="A65" s="196" t="s">
        <v>771</v>
      </c>
      <c r="B65" s="197" t="s">
        <v>2241</v>
      </c>
      <c r="C65" s="201"/>
      <c r="D65" s="199"/>
      <c r="E65" s="200"/>
      <c r="F65" s="2486"/>
      <c r="G65" s="2486"/>
      <c r="H65" s="2494"/>
      <c r="I65" s="137"/>
      <c r="J65" s="3156"/>
      <c r="K65" s="2496" t="s">
        <v>2242</v>
      </c>
      <c r="L65" s="1748">
        <f ca="1">IF(M49&gt;1000,M49*0.1%,IF(AND(M49&gt;500,M49&lt;=1000),M49*0.5%,IF(AND(M49&gt;50,M49&lt;=500),M49*1%,IF(AND(M49&gt;1,M49&lt;=50),M49*1.5%))))</f>
        <v>1.0880000000000001</v>
      </c>
      <c r="M65" s="24">
        <f t="shared" ca="1" si="1"/>
        <v>1.1000000000000001</v>
      </c>
      <c r="N65" s="137" t="s">
        <v>2240</v>
      </c>
      <c r="Z65" s="2420"/>
      <c r="AI65" s="2421"/>
    </row>
    <row r="66" spans="1:35" ht="14.25" customHeight="1">
      <c r="A66" s="202" t="s">
        <v>772</v>
      </c>
      <c r="B66" s="203" t="s">
        <v>2243</v>
      </c>
      <c r="C66" s="204"/>
      <c r="D66" s="205" t="s">
        <v>32</v>
      </c>
      <c r="E66" s="1772" t="s">
        <v>1367</v>
      </c>
      <c r="F66" s="2486"/>
      <c r="G66" s="2486"/>
      <c r="H66" s="2494"/>
      <c r="I66" s="137"/>
      <c r="J66" s="3156"/>
      <c r="K66" s="2496" t="s">
        <v>2244</v>
      </c>
      <c r="L66" s="1748">
        <f ca="1">M49*0.5%</f>
        <v>5.44</v>
      </c>
      <c r="M66" s="24">
        <f ca="1">IF(L66&gt;0.5,0.5,ROUND(L66,0))</f>
        <v>0.5</v>
      </c>
      <c r="N66" s="137" t="s">
        <v>2245</v>
      </c>
      <c r="Z66" s="2420"/>
      <c r="AI66" s="2421"/>
    </row>
    <row r="67" spans="1:35" ht="14.25" customHeight="1">
      <c r="A67" s="202" t="s">
        <v>773</v>
      </c>
      <c r="B67" s="203" t="s">
        <v>2246</v>
      </c>
      <c r="C67" s="206">
        <f ca="1">C63-C66</f>
        <v>1036</v>
      </c>
      <c r="D67" s="199" t="s">
        <v>32</v>
      </c>
      <c r="E67" s="200"/>
      <c r="F67" s="2486"/>
      <c r="G67" s="2486"/>
      <c r="H67" s="2494"/>
      <c r="I67" s="137"/>
      <c r="J67" s="3156"/>
      <c r="K67" s="2496" t="s">
        <v>2247</v>
      </c>
      <c r="L67" s="1748">
        <f ca="1">IF(M49&gt;=10000,(8.25+(M49-10000)*0.01%),IF(AND(M49&gt;=8000,M49&lt;10000),(7.85+(M49-8000)*0.02%),IF(AND(M49&gt;=5000,M49&lt;8000),(6.65+(M49-5000)*0.04%),IF(AND(M49&gt;=2000,M49&lt;5000),(4.25+(PM49-2000)*0.08%),IF(AND(M49&gt;=1000,M49&lt;2000),(2.75+(M49-1000)*0.15%),IF(AND(M49&gt;=100,M49&lt;1000),(0.5+(M49-100)*0.25%),IF(AND(M49&gt;0,M49&lt;100),M49*0.5%)))))))</f>
        <v>2.8820000000000001</v>
      </c>
      <c r="M67" s="24">
        <f ca="1">ROUND(L67*0.9,1)</f>
        <v>2.6</v>
      </c>
      <c r="Z67" s="2420"/>
      <c r="AI67" s="2421"/>
    </row>
    <row r="68" spans="1:35" ht="14.25" customHeight="1" thickBot="1">
      <c r="A68" s="207" t="s">
        <v>774</v>
      </c>
      <c r="B68" s="208" t="s">
        <v>2248</v>
      </c>
      <c r="C68" s="209">
        <f ca="1">IF(C67&lt;=0,0,ROUND(C67*D68,0))</f>
        <v>57</v>
      </c>
      <c r="D68" s="210">
        <f>'数据-取费表'!B41</f>
        <v>5.5000000000000007E-2</v>
      </c>
      <c r="E68" s="211"/>
      <c r="F68" s="2486"/>
      <c r="G68" s="2486"/>
      <c r="H68" s="2494"/>
      <c r="I68" s="137"/>
      <c r="J68" s="3156"/>
      <c r="K68" s="2496" t="s">
        <v>2249</v>
      </c>
      <c r="L68" s="1748">
        <f ca="1">IF(M49&gt;10000,M49*0.5%,IF(AND(M49&gt;5000,M49&lt;=10000),M49*1%,IF(AND(M49&gt;1000,M49&lt;=5000),M49*2%,IF(AND(M49&gt;200,M49&lt;=1000),M49*3%,M49*5%))))</f>
        <v>21.76</v>
      </c>
      <c r="M68" s="24">
        <f ca="1">ROUND(L68,1)</f>
        <v>21.8</v>
      </c>
      <c r="Z68" s="2420"/>
      <c r="AI68" s="2421"/>
    </row>
    <row r="69" spans="1:35" s="2443" customFormat="1" ht="16.5" customHeight="1">
      <c r="A69" s="2497"/>
      <c r="B69" s="2498"/>
      <c r="C69" s="2499"/>
      <c r="D69" s="2500"/>
      <c r="E69" s="2501"/>
      <c r="F69" s="2162"/>
      <c r="G69" s="2162"/>
      <c r="H69" s="2161"/>
      <c r="I69" s="2415"/>
      <c r="J69" s="3156"/>
      <c r="K69" s="2496" t="s">
        <v>2250</v>
      </c>
      <c r="L69" s="2502"/>
      <c r="M69" s="24">
        <f ca="1">ROUND(SUM(M63:M68),0)</f>
        <v>43</v>
      </c>
      <c r="N69" s="1749">
        <f ca="1">M69/M49</f>
        <v>3.952205882352941E-2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4.4" thickBot="1">
      <c r="A70" s="3115" t="s">
        <v>2251</v>
      </c>
      <c r="B70" s="3116"/>
      <c r="C70" s="3116"/>
      <c r="D70" s="3116"/>
      <c r="E70" s="3116"/>
      <c r="F70" s="3116"/>
      <c r="G70" s="3116"/>
      <c r="H70" s="311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094" t="s">
        <v>2232</v>
      </c>
      <c r="B71" s="3095"/>
      <c r="C71" s="1800"/>
      <c r="D71" s="1800" t="s">
        <v>2233</v>
      </c>
      <c r="E71" s="212" t="s">
        <v>2234</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2" t="s">
        <v>775</v>
      </c>
      <c r="B72" s="203" t="s">
        <v>2252</v>
      </c>
      <c r="C72" s="206">
        <f ca="1">ROUND(D45/(1+'数据-取费表'!C42),0)</f>
        <v>1036</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2" t="s">
        <v>772</v>
      </c>
      <c r="B73" s="172" t="s">
        <v>2253</v>
      </c>
      <c r="C73" s="206">
        <f ca="1">C74+C78</f>
        <v>5</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2254</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6" t="s">
        <v>776</v>
      </c>
      <c r="B75" s="197" t="s">
        <v>2255</v>
      </c>
      <c r="C75" s="217"/>
      <c r="D75" s="199" t="s">
        <v>32</v>
      </c>
      <c r="E75" s="218" t="s">
        <v>2256</v>
      </c>
      <c r="F75" s="2508" t="s">
        <v>2257</v>
      </c>
      <c r="G75" s="218" t="s">
        <v>2258</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2259</v>
      </c>
      <c r="C76" s="199">
        <f>IF(F75="购房发票",ROUND(C75*H75*D76,0),0)</f>
        <v>0</v>
      </c>
      <c r="D76" s="221">
        <v>0.05</v>
      </c>
      <c r="E76" s="3089" t="s">
        <v>2260</v>
      </c>
      <c r="F76" s="3066"/>
      <c r="G76" s="3066"/>
      <c r="H76" s="311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10" t="s">
        <v>2263</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2264</v>
      </c>
      <c r="C78" s="224">
        <f ca="1">ROUND(D45*D78/(1+'数据-取费表'!C42),0)</f>
        <v>5</v>
      </c>
      <c r="D78" s="225">
        <f>'数据-取费表'!B43</f>
        <v>5.000000000000001E-3</v>
      </c>
      <c r="E78" s="3075" t="s">
        <v>2265</v>
      </c>
      <c r="F78" s="3076"/>
      <c r="G78" s="3076"/>
      <c r="H78" s="308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3" t="s">
        <v>2266</v>
      </c>
      <c r="C79" s="206">
        <f ca="1">C72-C73</f>
        <v>1031</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2267</v>
      </c>
      <c r="C80" s="226">
        <f ca="1">IF(C79&lt;=0,0,C79/C73)</f>
        <v>206.2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8" t="s">
        <v>2268</v>
      </c>
      <c r="C81" s="227">
        <f ca="1">ROUND(IF(C79&lt;=0,0,IF(C80&gt;=200%,C79*60%-C73*35%,IF(C80&gt;=100%,C79*50%-C73*15%,IF(C80&gt;=50%,C79*40%-C73*5%,IF(C80&lt;50%,C79*30%,0))))),0)</f>
        <v>617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15" t="s">
        <v>2269</v>
      </c>
      <c r="B83" s="3116"/>
      <c r="C83" s="3116"/>
      <c r="D83" s="3116"/>
      <c r="E83" s="3116"/>
      <c r="F83" s="3116"/>
      <c r="G83" s="3116"/>
      <c r="H83" s="311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094" t="s">
        <v>2232</v>
      </c>
      <c r="B84" s="3095"/>
      <c r="C84" s="1800"/>
      <c r="D84" s="1800" t="s">
        <v>2233</v>
      </c>
      <c r="E84" s="212" t="s">
        <v>2234</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2" t="s">
        <v>775</v>
      </c>
      <c r="B85" s="203" t="s">
        <v>2252</v>
      </c>
      <c r="C85" s="206">
        <f ca="1">ROUND(D45/(1+'数据-取费表'!C42),0)</f>
        <v>1036</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2" t="s">
        <v>772</v>
      </c>
      <c r="B86" s="172" t="s">
        <v>2253</v>
      </c>
      <c r="C86" s="206">
        <f ca="1">IF(H88="仅含出让金",C87+C90+C91+C92+C93+C94,C87+C91+C92+C93+C94)</f>
        <v>994</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6" t="s">
        <v>770</v>
      </c>
      <c r="B87" s="197" t="s">
        <v>2270</v>
      </c>
      <c r="C87" s="224">
        <f>C88+C89</f>
        <v>111</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26.4">
      <c r="A88" s="216" t="s">
        <v>776</v>
      </c>
      <c r="B88" s="197" t="s">
        <v>2271</v>
      </c>
      <c r="C88" s="235">
        <v>108</v>
      </c>
      <c r="D88" s="225"/>
      <c r="E88" s="236" t="s">
        <v>2272</v>
      </c>
      <c r="F88" s="1796"/>
      <c r="G88" s="237" t="s">
        <v>2273</v>
      </c>
      <c r="H88" s="2514" t="s">
        <v>3092</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6" t="s">
        <v>777</v>
      </c>
      <c r="B89" s="197" t="s">
        <v>2261</v>
      </c>
      <c r="C89" s="224">
        <f>ROUND(C88*D89,0)</f>
        <v>3</v>
      </c>
      <c r="D89" s="225">
        <f>'数据-取费表'!B48+'数据-取费表'!B49</f>
        <v>3.0499999999999999E-2</v>
      </c>
      <c r="E89" s="236" t="s">
        <v>2274</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6" t="s">
        <v>771</v>
      </c>
      <c r="B90" s="197" t="s">
        <v>2275</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2276</v>
      </c>
      <c r="B91" s="197" t="s">
        <v>2277</v>
      </c>
      <c r="C91" s="224">
        <f>IF(H91="——",成本法!C33,I91)</f>
        <v>650</v>
      </c>
      <c r="D91" s="225"/>
      <c r="E91" s="3075" t="s">
        <v>2278</v>
      </c>
      <c r="F91" s="3076"/>
      <c r="G91" s="3076"/>
      <c r="H91" s="2515" t="s">
        <v>3093</v>
      </c>
      <c r="I91" s="2516">
        <v>650</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2279</v>
      </c>
      <c r="B92" s="197" t="s">
        <v>2280</v>
      </c>
      <c r="C92" s="224">
        <f>ROUND((C87+C90+C91)*D92,0)</f>
        <v>76</v>
      </c>
      <c r="D92" s="225">
        <v>0.1</v>
      </c>
      <c r="E92" s="3075" t="s">
        <v>2281</v>
      </c>
      <c r="F92" s="3076"/>
      <c r="G92" s="3076"/>
      <c r="H92" s="308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2282</v>
      </c>
      <c r="B93" s="197" t="s">
        <v>2264</v>
      </c>
      <c r="C93" s="224">
        <f ca="1">ROUND(D45*D93/(1+'数据-取费表'!C42),0)</f>
        <v>5</v>
      </c>
      <c r="D93" s="225">
        <f>'数据-取费表'!B43</f>
        <v>5.000000000000001E-3</v>
      </c>
      <c r="E93" s="3075" t="s">
        <v>2265</v>
      </c>
      <c r="F93" s="3076"/>
      <c r="G93" s="3076"/>
      <c r="H93" s="308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2283</v>
      </c>
      <c r="B94" s="197" t="s">
        <v>2284</v>
      </c>
      <c r="C94" s="235">
        <f>ROUND((C87+C90+C91)*D94,0)</f>
        <v>152</v>
      </c>
      <c r="D94" s="225">
        <v>0.2</v>
      </c>
      <c r="E94" s="3086" t="s">
        <v>2285</v>
      </c>
      <c r="F94" s="3087"/>
      <c r="G94" s="3087"/>
      <c r="H94" s="308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3" t="s">
        <v>2266</v>
      </c>
      <c r="C95" s="206">
        <f ca="1">ROUND(C85-C86,0)</f>
        <v>42</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2267</v>
      </c>
      <c r="C96" s="226">
        <f ca="1">IF(C95&lt;=0,0,C95/C86)</f>
        <v>4.2253521126760563E-2</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8" t="s">
        <v>2268</v>
      </c>
      <c r="C97" s="227">
        <f ca="1">ROUND(IF(C95&lt;=0,0,IF(C96&gt;=200%,C95*60%-C86*35%,IF(C96&gt;=100%,C95*50%-C86*15%,IF(C96&gt;=50%,C95*40%-C86*5%,IF(C96&lt;50%,C95*30%,0))))),0)</f>
        <v>13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2286</v>
      </c>
      <c r="B99" s="2415"/>
      <c r="C99" s="2415"/>
      <c r="D99" s="2415"/>
      <c r="E99" s="2162"/>
      <c r="F99" s="2162"/>
      <c r="G99" s="2162"/>
      <c r="H99" s="2161"/>
      <c r="I99" s="137"/>
    </row>
    <row r="100" spans="1:35" ht="18.75" customHeight="1">
      <c r="A100" s="3060" t="s">
        <v>2287</v>
      </c>
      <c r="B100" s="3061"/>
      <c r="C100" s="3061"/>
      <c r="D100" s="3077"/>
      <c r="E100" s="3061" t="s">
        <v>2288</v>
      </c>
      <c r="F100" s="3061"/>
      <c r="G100" s="3061"/>
      <c r="H100" s="3077"/>
      <c r="I100" s="137"/>
    </row>
    <row r="101" spans="1:35" ht="18.75" customHeight="1">
      <c r="A101" s="3139" t="s">
        <v>2289</v>
      </c>
      <c r="B101" s="3140"/>
      <c r="C101" s="735" t="str">
        <f>C4</f>
        <v>成本法</v>
      </c>
      <c r="D101" s="736" t="str">
        <f>D4</f>
        <v>收益法</v>
      </c>
      <c r="E101" s="3153" t="s">
        <v>2290</v>
      </c>
      <c r="F101" s="3107"/>
      <c r="G101" s="2517" t="s">
        <v>2291</v>
      </c>
      <c r="H101" s="1044">
        <f ca="1">H118</f>
        <v>1088</v>
      </c>
      <c r="I101" s="137"/>
    </row>
    <row r="102" spans="1:35" ht="18.75" customHeight="1">
      <c r="A102" s="3109" t="s">
        <v>2292</v>
      </c>
      <c r="B102" s="2517" t="s">
        <v>2291</v>
      </c>
      <c r="C102" s="735">
        <f ca="1">C19</f>
        <v>1004</v>
      </c>
      <c r="D102" s="736">
        <f ca="1">D19</f>
        <v>1172</v>
      </c>
      <c r="E102" s="3153"/>
      <c r="F102" s="3107"/>
      <c r="G102" s="2517" t="s">
        <v>2293</v>
      </c>
      <c r="H102" s="370">
        <f ca="1">I118</f>
        <v>9833</v>
      </c>
      <c r="I102" s="137"/>
    </row>
    <row r="103" spans="1:35" ht="42.75" customHeight="1">
      <c r="A103" s="3109"/>
      <c r="B103" s="2517" t="s">
        <v>2293</v>
      </c>
      <c r="C103" s="737">
        <f ca="1">C20</f>
        <v>9074</v>
      </c>
      <c r="D103" s="738">
        <f ca="1">D20</f>
        <v>10593</v>
      </c>
      <c r="E103" s="3148" t="s">
        <v>2294</v>
      </c>
      <c r="F103" s="3149"/>
      <c r="G103" s="2518" t="s">
        <v>2295</v>
      </c>
      <c r="H103" s="1044">
        <f>IF(D36="正常操作",H104+H105+H106,H105+H106)</f>
        <v>0</v>
      </c>
      <c r="I103" s="137"/>
    </row>
    <row r="104" spans="1:35" ht="18.75" customHeight="1">
      <c r="A104" s="3109" t="s">
        <v>2296</v>
      </c>
      <c r="B104" s="2519" t="s">
        <v>2291</v>
      </c>
      <c r="C104" s="739">
        <f ca="1">H118</f>
        <v>1088</v>
      </c>
      <c r="D104" s="740"/>
      <c r="E104" s="2263" t="s">
        <v>2297</v>
      </c>
      <c r="F104" s="2254"/>
      <c r="G104" s="2518" t="s">
        <v>2295</v>
      </c>
      <c r="H104" s="1045">
        <f>IF(D36="同一抵押权人同一抵押物续贷",C36&amp;"（未扣减，详见特别提示）",C36)</f>
        <v>0</v>
      </c>
      <c r="I104" s="137"/>
    </row>
    <row r="105" spans="1:35" ht="18.75" customHeight="1" thickBot="1">
      <c r="A105" s="3110"/>
      <c r="B105" s="2520" t="s">
        <v>2293</v>
      </c>
      <c r="C105" s="741">
        <f ca="1">I118</f>
        <v>9833</v>
      </c>
      <c r="D105" s="742"/>
      <c r="E105" s="2263" t="s">
        <v>2298</v>
      </c>
      <c r="F105" s="2254"/>
      <c r="G105" s="2518" t="s">
        <v>2295</v>
      </c>
      <c r="H105" s="1045">
        <f>C37</f>
        <v>0</v>
      </c>
      <c r="I105" s="137"/>
    </row>
    <row r="106" spans="1:35" ht="18.75" customHeight="1">
      <c r="A106" s="2415" t="s">
        <v>2299</v>
      </c>
      <c r="B106" s="2415"/>
      <c r="C106" s="2415"/>
      <c r="D106" s="2415"/>
      <c r="E106" s="2521" t="s">
        <v>2300</v>
      </c>
      <c r="F106" s="2254"/>
      <c r="G106" s="2518" t="s">
        <v>2295</v>
      </c>
      <c r="H106" s="1045">
        <f>C38</f>
        <v>0</v>
      </c>
      <c r="I106" s="137"/>
    </row>
    <row r="107" spans="1:35" ht="18.75" customHeight="1">
      <c r="A107" s="137"/>
      <c r="B107" s="137"/>
      <c r="C107" s="137"/>
      <c r="D107" s="137"/>
      <c r="E107" s="3106" t="str">
        <f>IF(项目基本情况!E8="已注销","——","3.房地产抵押价值")</f>
        <v>3.房地产抵押价值</v>
      </c>
      <c r="F107" s="3107"/>
      <c r="G107" s="2517" t="s">
        <v>2291</v>
      </c>
      <c r="H107" s="1044">
        <f ca="1">IF(E107="——","——",H101-H103)</f>
        <v>1088</v>
      </c>
      <c r="I107" s="137"/>
    </row>
    <row r="108" spans="1:35" ht="18.75" customHeight="1">
      <c r="A108" s="137"/>
      <c r="B108" s="137"/>
      <c r="C108" s="137"/>
      <c r="D108" s="137"/>
      <c r="E108" s="3106"/>
      <c r="F108" s="3107"/>
      <c r="G108" s="2517" t="s">
        <v>2293</v>
      </c>
      <c r="H108" s="370">
        <f ca="1">ROUND(H107*10000/'数据-汇总表'!E3,0)</f>
        <v>9833</v>
      </c>
      <c r="I108" s="137"/>
    </row>
    <row r="109" spans="1:35" ht="18.75" customHeight="1">
      <c r="A109" s="137"/>
      <c r="B109" s="137"/>
      <c r="C109" s="137"/>
      <c r="D109" s="137"/>
      <c r="E109" s="3106" t="str">
        <f>IF(项目基本情况!E8="已注销及未注销","4.抵押担保权已注销时的房地产抵押价值",IF(项目基本情况!E8="已注销","3.抵押担保权已注销时的房地产抵押价值","——"))</f>
        <v>——</v>
      </c>
      <c r="F109" s="3107"/>
      <c r="G109" s="2517" t="s">
        <v>2291</v>
      </c>
      <c r="H109" s="347" t="str">
        <f>IF(E109="——","——",H101-H105-H106)</f>
        <v>——</v>
      </c>
      <c r="I109" s="137"/>
    </row>
    <row r="110" spans="1:35" ht="18.75" customHeight="1">
      <c r="A110" s="137"/>
      <c r="B110" s="137"/>
      <c r="C110" s="137"/>
      <c r="D110" s="137"/>
      <c r="E110" s="3106"/>
      <c r="F110" s="3107"/>
      <c r="G110" s="2517" t="s">
        <v>2293</v>
      </c>
      <c r="H110" s="370" t="str">
        <f>IF(H109="——","——",ROUND(H109*10000/'数据-汇总表'!E3,0))</f>
        <v>——</v>
      </c>
      <c r="I110" s="137"/>
    </row>
    <row r="111" spans="1:35" ht="18.75" customHeight="1">
      <c r="A111" s="137"/>
      <c r="B111" s="137"/>
      <c r="C111" s="137"/>
      <c r="D111" s="137"/>
      <c r="E111" s="3141" t="str">
        <f>IF(项目基本情况!E9="抵押净值",IF(OR(项目基本情况!E8="已注销",项目基本情况!E8="房地产抵押价值"),"4.抵押净值","5.抵押净值"),"——")</f>
        <v>4.抵押净值</v>
      </c>
      <c r="F111" s="3142"/>
      <c r="G111" s="2517" t="s">
        <v>2291</v>
      </c>
      <c r="H111" s="1044">
        <f ca="1">IF(E111="——","——",N59)</f>
        <v>1017</v>
      </c>
      <c r="I111" s="137"/>
    </row>
    <row r="112" spans="1:35" ht="18.75" customHeight="1" thickBot="1">
      <c r="A112" s="137"/>
      <c r="B112" s="137"/>
      <c r="C112" s="137"/>
      <c r="D112" s="137"/>
      <c r="E112" s="3143"/>
      <c r="F112" s="3144"/>
      <c r="G112" s="2522" t="s">
        <v>2293</v>
      </c>
      <c r="H112" s="789">
        <f ca="1">IF(E111="——","——",N61)</f>
        <v>9192</v>
      </c>
      <c r="I112" s="137"/>
    </row>
    <row r="113" spans="1:11" ht="18.75" customHeight="1">
      <c r="A113" s="137"/>
      <c r="B113" s="137"/>
      <c r="C113" s="137"/>
      <c r="D113" s="137"/>
      <c r="E113" s="3111" t="s">
        <v>2299</v>
      </c>
      <c r="F113" s="3111"/>
      <c r="G113" s="3111"/>
      <c r="H113" s="3111"/>
      <c r="I113" s="137"/>
    </row>
    <row r="114" spans="1:11" ht="3.75" customHeight="1">
      <c r="A114" s="2415"/>
      <c r="B114" s="2415"/>
      <c r="C114" s="2415"/>
      <c r="D114" s="2415"/>
      <c r="E114" s="2493"/>
      <c r="F114" s="2493"/>
      <c r="G114" s="2493"/>
      <c r="H114" s="2493"/>
      <c r="I114" s="2415"/>
    </row>
    <row r="115" spans="1:11" ht="18.75" customHeight="1">
      <c r="A115" s="3124" t="s">
        <v>2301</v>
      </c>
      <c r="B115" s="3125"/>
      <c r="C115" s="3125"/>
      <c r="D115" s="3125"/>
      <c r="E115" s="3125"/>
      <c r="F115" s="3125"/>
      <c r="G115" s="3125"/>
      <c r="H115" s="3125"/>
      <c r="I115" s="3126"/>
    </row>
    <row r="116" spans="1:11" ht="27" customHeight="1">
      <c r="A116" s="3017" t="s">
        <v>2302</v>
      </c>
      <c r="B116" s="3112" t="s">
        <v>2303</v>
      </c>
      <c r="C116" s="3112" t="s">
        <v>2304</v>
      </c>
      <c r="D116" s="3128" t="s">
        <v>2305</v>
      </c>
      <c r="E116" s="3129"/>
      <c r="F116" s="3120" t="s">
        <v>3099</v>
      </c>
      <c r="G116" s="3120"/>
      <c r="H116" s="3017" t="s">
        <v>2306</v>
      </c>
      <c r="I116" s="3017"/>
    </row>
    <row r="117" spans="1:11" ht="18.75" customHeight="1">
      <c r="A117" s="3017"/>
      <c r="B117" s="3113"/>
      <c r="C117" s="3113"/>
      <c r="D117" s="1794" t="s">
        <v>2307</v>
      </c>
      <c r="E117" s="1794" t="s">
        <v>2308</v>
      </c>
      <c r="F117" s="1794" t="s">
        <v>2307</v>
      </c>
      <c r="G117" s="1794" t="s">
        <v>2309</v>
      </c>
      <c r="H117" s="1794" t="s">
        <v>2307</v>
      </c>
      <c r="I117" s="1794" t="s">
        <v>2309</v>
      </c>
    </row>
    <row r="118" spans="1:11" ht="24.75" customHeight="1">
      <c r="A118" s="2523" t="str">
        <f>项目基本情况!S2</f>
        <v>北京市昌平区南口镇前洼村南液化气站工业用房房地产房地产</v>
      </c>
      <c r="B118" s="1794">
        <f>M18</f>
        <v>1106.44</v>
      </c>
      <c r="C118" s="1794">
        <f>M19</f>
        <v>8001.46</v>
      </c>
      <c r="D118" s="1794">
        <f ca="1">ROUND(IF(D32="总价",C34,E118*B118/10000),0)</f>
        <v>844</v>
      </c>
      <c r="E118" s="1794">
        <f ca="1">ROUND(IF(C33="自定义",IF(D32="楼面单价",C34,D118*10000/B118),I118-G118),0)</f>
        <v>7628</v>
      </c>
      <c r="F118" s="1794">
        <f ca="1">ROUND(IF(D32="总价",C35,G118*B118/10000),0)</f>
        <v>244</v>
      </c>
      <c r="G118" s="1794">
        <f ca="1">ROUND(IF(D32="楼面单价",C35,F118*10000/B118),0)</f>
        <v>2205</v>
      </c>
      <c r="H118" s="1794">
        <f ca="1">ROUND(IF(D32="总价",C32,I118*B118/10000),0)</f>
        <v>1088</v>
      </c>
      <c r="I118" s="1794">
        <f ca="1">ROUND(IF(D32="楼面单价",C32,H118*10000/B118),0)</f>
        <v>9833</v>
      </c>
    </row>
    <row r="119" spans="1:11" ht="18.75" customHeight="1">
      <c r="A119" s="3017" t="s">
        <v>2310</v>
      </c>
      <c r="B119" s="3017"/>
      <c r="C119" s="3017"/>
      <c r="D119" s="3117" t="str">
        <f ca="1">NUMBERSTRING(INT(D118*10000),2)&amp;"元整"</f>
        <v>捌佰肆拾肆万元整</v>
      </c>
      <c r="E119" s="3119"/>
      <c r="F119" s="3117" t="str">
        <f ca="1">NUMBERSTRING(INT(F118*10000),2)&amp;"元整"</f>
        <v>贰佰肆拾肆万元整</v>
      </c>
      <c r="G119" s="3119"/>
      <c r="H119" s="3117" t="str">
        <f ca="1">NUMBERSTRING(INT(H118*10000),2)&amp;"元整"</f>
        <v>壹仟零捌拾捌万元整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20" t="str">
        <f>IF(D120=0,"故，本次评估不存在"&amp;A120,"故，本次评估"&amp;A120&amp;"为人民币"&amp;D120&amp;"万元整。")</f>
        <v>故，本次评估不存在估价师知悉的法定优先受偿款</v>
      </c>
    </row>
    <row r="121" spans="1:11" ht="18.75" customHeight="1">
      <c r="A121" s="3121" t="s">
        <v>2310</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1088</v>
      </c>
      <c r="E122" s="3146"/>
      <c r="F122" s="3146"/>
      <c r="G122" s="3146"/>
      <c r="H122" s="3146"/>
      <c r="I122" s="3147"/>
    </row>
    <row r="123" spans="1:11" ht="18.75" customHeight="1">
      <c r="A123" s="3017" t="s">
        <v>2310</v>
      </c>
      <c r="B123" s="3017"/>
      <c r="C123" s="3017"/>
      <c r="D123" s="3117" t="str">
        <f ca="1">NUMBERSTRING(INT(D122*10000),2)&amp;"元整"</f>
        <v>壹仟零捌拾捌万元整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2310</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抵押净值</v>
      </c>
      <c r="B126" s="3108"/>
      <c r="C126" s="3108"/>
      <c r="D126" s="3145">
        <f ca="1">H111</f>
        <v>1017</v>
      </c>
      <c r="E126" s="3146"/>
      <c r="F126" s="3146"/>
      <c r="G126" s="3146"/>
      <c r="H126" s="3146"/>
      <c r="I126" s="3147"/>
    </row>
    <row r="127" spans="1:11" ht="18.75" customHeight="1">
      <c r="A127" s="3017" t="s">
        <v>2310</v>
      </c>
      <c r="B127" s="3017"/>
      <c r="C127" s="3017"/>
      <c r="D127" s="3117" t="str">
        <f ca="1">NUMBERSTRING(INT(D126*10000),2)&amp;"元整"</f>
        <v>壹仟零壹拾柒万元整</v>
      </c>
      <c r="E127" s="3118"/>
      <c r="F127" s="3118"/>
      <c r="G127" s="3118"/>
      <c r="H127" s="3118"/>
      <c r="I127" s="3119"/>
    </row>
    <row r="128" spans="1:11" ht="21.75" customHeight="1">
      <c r="A128" s="3127" t="s">
        <v>2311</v>
      </c>
      <c r="B128" s="3127"/>
      <c r="C128" s="3127"/>
      <c r="D128" s="3127"/>
      <c r="E128" s="3127"/>
      <c r="F128" s="3127"/>
      <c r="G128" s="3127"/>
      <c r="H128" s="3127"/>
      <c r="I128" s="3127"/>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2314</v>
      </c>
      <c r="G135" s="2541"/>
      <c r="H135" s="2541"/>
      <c r="I135" s="2542" t="s">
        <v>2315</v>
      </c>
    </row>
    <row r="136" spans="1:35" ht="21.75" customHeight="1">
      <c r="A136" s="794"/>
      <c r="B136" s="2543"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2317</v>
      </c>
    </row>
    <row r="139" spans="1:35" ht="21.75" customHeight="1">
      <c r="A139" s="794"/>
      <c r="B139" s="2543" t="s">
        <v>2318</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2317</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1" sqref="C51"/>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2319</v>
      </c>
      <c r="B1" s="1936"/>
      <c r="C1" s="241"/>
      <c r="D1" s="241"/>
      <c r="E1" s="241"/>
      <c r="F1" s="241"/>
      <c r="G1" s="1378">
        <f>MATCH(B1,'数据-取费表'!A6:A16,0)+5</f>
        <v>7</v>
      </c>
    </row>
    <row r="2" spans="1:9" s="243" customFormat="1" ht="18" customHeight="1">
      <c r="A2" s="244" t="s">
        <v>2320</v>
      </c>
      <c r="B2" s="245">
        <f ca="1">IF(D2="——",C52,C52-E2)</f>
        <v>1004</v>
      </c>
      <c r="C2" s="242" t="s">
        <v>2321</v>
      </c>
      <c r="D2" s="2546" t="s">
        <v>70</v>
      </c>
      <c r="E2" s="1439" t="e">
        <f ca="1">SUMIF(INDIRECT("'"&amp;G2&amp;"'"&amp;"!A:A"),"承租人权益价值",INDIRECT("'"&amp;G2&amp;"'"&amp;"!c:c"))</f>
        <v>#REF!</v>
      </c>
      <c r="F2" s="2547" t="s">
        <v>2321</v>
      </c>
      <c r="G2" s="2548"/>
    </row>
    <row r="3" spans="1:9" s="243" customFormat="1" ht="18" customHeight="1" thickBot="1">
      <c r="A3" s="246" t="s">
        <v>2322</v>
      </c>
      <c r="B3" s="247">
        <f ca="1">ROUND(B2*10000/(IF(B1="",'数据-汇总表'!E3,INDIRECT("'数据-取费表'!k"&amp;$G$1))),0)</f>
        <v>9074</v>
      </c>
      <c r="C3" s="242" t="s">
        <v>2323</v>
      </c>
      <c r="D3" s="242"/>
      <c r="E3" s="242"/>
      <c r="F3" s="242"/>
      <c r="G3" s="242"/>
    </row>
    <row r="4" spans="1:9" s="251" customFormat="1" ht="16.2">
      <c r="A4" s="248" t="s">
        <v>2324</v>
      </c>
      <c r="B4" s="249"/>
      <c r="C4" s="249"/>
      <c r="D4" s="249"/>
      <c r="E4" s="249"/>
      <c r="F4" s="249"/>
      <c r="G4" s="250"/>
    </row>
    <row r="5" spans="1:9" s="257" customFormat="1" ht="13.5" customHeight="1">
      <c r="A5" s="298" t="s">
        <v>2325</v>
      </c>
      <c r="B5" s="253" t="s">
        <v>2326</v>
      </c>
      <c r="C5" s="254">
        <f ca="1">C6+C7+C8</f>
        <v>652</v>
      </c>
      <c r="D5" s="254" t="s">
        <v>2327</v>
      </c>
      <c r="E5" s="255" t="s">
        <v>2328</v>
      </c>
      <c r="F5" s="255" t="s">
        <v>2329</v>
      </c>
      <c r="G5" s="256"/>
    </row>
    <row r="6" spans="1:9" s="257" customFormat="1" ht="13.5" customHeight="1">
      <c r="A6" s="948" t="s">
        <v>2330</v>
      </c>
      <c r="B6" s="258" t="s">
        <v>2331</v>
      </c>
      <c r="C6" s="259">
        <f ca="1">基准地价修正!B2</f>
        <v>612</v>
      </c>
      <c r="D6" s="260"/>
      <c r="E6" s="261"/>
      <c r="F6" s="261"/>
      <c r="G6" s="262"/>
    </row>
    <row r="7" spans="1:9" s="257" customFormat="1" ht="13.5" customHeight="1">
      <c r="A7" s="948" t="s">
        <v>2332</v>
      </c>
      <c r="B7" s="258" t="s">
        <v>2333</v>
      </c>
      <c r="C7" s="263">
        <f ca="1">ROUND(C6*F7,0)</f>
        <v>19</v>
      </c>
      <c r="D7" s="263"/>
      <c r="E7" s="261"/>
      <c r="F7" s="264">
        <f>IF(项目基本情况!B8="出让",0,'数据-取费表'!B48+'数据-取费表'!B49)</f>
        <v>3.0499999999999999E-2</v>
      </c>
      <c r="G7" s="262"/>
    </row>
    <row r="8" spans="1:9" s="266" customFormat="1">
      <c r="A8" s="948" t="s">
        <v>2334</v>
      </c>
      <c r="B8" s="258" t="s">
        <v>2335</v>
      </c>
      <c r="C8" s="2960">
        <f>IF(G8="已包含在土地购买价格中","0",IF(B1="",'数据-取费表'!B29,IF(G9="全部缴纳",C9+C10,H9)))</f>
        <v>21</v>
      </c>
      <c r="D8" s="265"/>
      <c r="E8" s="263"/>
      <c r="F8" s="264"/>
      <c r="G8" s="2549" t="s">
        <v>3089</v>
      </c>
    </row>
    <row r="9" spans="1:9" s="257" customFormat="1" ht="13.5" customHeight="1">
      <c r="A9" s="949" t="s">
        <v>800</v>
      </c>
      <c r="B9" s="267" t="s">
        <v>2336</v>
      </c>
      <c r="C9" s="268">
        <f ca="1">ROUND(D9*E9/10000,0)</f>
        <v>0</v>
      </c>
      <c r="D9" s="1031">
        <f ca="1">IF(B1="",'数据-汇总表'!E5,IF(INDIRECT("'数据-取费表'!c"&amp;$G$1)="住宅",INDIRECT("'数据-取费表'!k"&amp;$G$1),0))</f>
        <v>0</v>
      </c>
      <c r="E9" s="268">
        <f>'数据-取费表'!B27</f>
        <v>150</v>
      </c>
      <c r="F9" s="264"/>
      <c r="G9" s="2550"/>
      <c r="H9" s="1389"/>
      <c r="I9" s="2551" t="s">
        <v>2337</v>
      </c>
    </row>
    <row r="10" spans="1:9" s="257" customFormat="1" ht="13.5" customHeight="1">
      <c r="A10" s="949" t="s">
        <v>801</v>
      </c>
      <c r="B10" s="267" t="s">
        <v>2338</v>
      </c>
      <c r="C10" s="268">
        <f ca="1">ROUND(D10*E10/10000,0)</f>
        <v>21</v>
      </c>
      <c r="D10" s="1031">
        <f ca="1">IF(B1="",'数据-汇总表'!E6,IF(INDIRECT("'数据-取费表'!c"&amp;$G$1)="住宅",INDIRECT("'数据-取费表'!s"&amp;$G$1),INDIRECT("'数据-取费表'!k"&amp;$G$1)+INDIRECT("'数据-取费表'!s"&amp;$G$1)))</f>
        <v>1106.44</v>
      </c>
      <c r="E10" s="268">
        <f>'数据-取费表'!B28</f>
        <v>190</v>
      </c>
      <c r="F10" s="264"/>
      <c r="G10" s="269"/>
    </row>
    <row r="11" spans="1:9" s="257" customFormat="1" ht="13.5" hidden="1" customHeight="1">
      <c r="A11" s="270" t="s">
        <v>7</v>
      </c>
      <c r="B11" s="258" t="s">
        <v>2339</v>
      </c>
      <c r="C11" s="254"/>
      <c r="D11" s="1033"/>
      <c r="E11" s="261"/>
      <c r="F11" s="261"/>
      <c r="G11" s="262"/>
    </row>
    <row r="12" spans="1:9" s="257" customFormat="1" ht="13.5" hidden="1" customHeight="1">
      <c r="A12" s="270" t="s">
        <v>8</v>
      </c>
      <c r="B12" s="258" t="s">
        <v>2340</v>
      </c>
      <c r="C12" s="254">
        <v>0</v>
      </c>
      <c r="D12" s="1033"/>
      <c r="E12" s="271"/>
      <c r="F12" s="264">
        <v>3.0499999999999999E-2</v>
      </c>
      <c r="G12" s="262"/>
    </row>
    <row r="13" spans="1:9" s="257" customFormat="1" ht="13.5" hidden="1" customHeight="1">
      <c r="A13" s="270" t="s">
        <v>9</v>
      </c>
      <c r="B13" s="258" t="s">
        <v>2341</v>
      </c>
      <c r="C13" s="254"/>
      <c r="D13" s="1033"/>
      <c r="E13" s="261"/>
      <c r="F13" s="261"/>
      <c r="G13" s="262"/>
    </row>
    <row r="14" spans="1:9" s="257" customFormat="1" ht="13.5" hidden="1" customHeight="1">
      <c r="A14" s="270" t="s">
        <v>10</v>
      </c>
      <c r="B14" s="258" t="s">
        <v>2342</v>
      </c>
      <c r="C14" s="254"/>
      <c r="D14" s="1033"/>
      <c r="E14" s="261"/>
      <c r="F14" s="261"/>
      <c r="G14" s="262" t="s">
        <v>2343</v>
      </c>
    </row>
    <row r="15" spans="1:9" s="257" customFormat="1" ht="13.5" hidden="1" customHeight="1">
      <c r="A15" s="270" t="s">
        <v>11</v>
      </c>
      <c r="B15" s="258" t="s">
        <v>2344</v>
      </c>
      <c r="C15" s="263"/>
      <c r="D15" s="1033"/>
      <c r="E15" s="261"/>
      <c r="F15" s="261"/>
      <c r="G15" s="262" t="s">
        <v>2345</v>
      </c>
    </row>
    <row r="16" spans="1:9" s="257" customFormat="1" ht="13.5" hidden="1" customHeight="1">
      <c r="A16" s="270" t="s">
        <v>12</v>
      </c>
      <c r="B16" s="258" t="s">
        <v>2342</v>
      </c>
      <c r="C16" s="263"/>
      <c r="D16" s="1033"/>
      <c r="E16" s="261"/>
      <c r="F16" s="261"/>
      <c r="G16" s="262"/>
    </row>
    <row r="17" spans="1:7" s="257" customFormat="1" ht="13.5" hidden="1" customHeight="1">
      <c r="A17" s="270" t="s">
        <v>13</v>
      </c>
      <c r="B17" s="258" t="s">
        <v>2346</v>
      </c>
      <c r="C17" s="272"/>
      <c r="D17" s="1034"/>
      <c r="E17" s="272"/>
      <c r="F17" s="272"/>
      <c r="G17" s="262" t="s">
        <v>2345</v>
      </c>
    </row>
    <row r="18" spans="1:7" s="257" customFormat="1" ht="13.5" hidden="1" customHeight="1">
      <c r="A18" s="270" t="s">
        <v>14</v>
      </c>
      <c r="B18" s="258" t="s">
        <v>2347</v>
      </c>
      <c r="C18" s="263">
        <v>0</v>
      </c>
      <c r="D18" s="1033"/>
      <c r="E18" s="261"/>
      <c r="F18" s="264">
        <v>3.0499999999999999E-2</v>
      </c>
      <c r="G18" s="262" t="s">
        <v>2348</v>
      </c>
    </row>
    <row r="19" spans="1:7" s="266" customFormat="1" ht="13.5" customHeight="1">
      <c r="A19" s="298" t="s">
        <v>2349</v>
      </c>
      <c r="B19" s="253" t="s">
        <v>2350</v>
      </c>
      <c r="C19" s="254" t="str">
        <f>IF(G19="已包含在土地取得成本中","0",ROUND(D19*E19/10000,0))</f>
        <v>0</v>
      </c>
      <c r="D19" s="1035">
        <f ca="1">D9+D10</f>
        <v>1106.44</v>
      </c>
      <c r="E19" s="254">
        <f>'数据-取费表'!B31</f>
        <v>200</v>
      </c>
      <c r="F19" s="274"/>
      <c r="G19" s="2549" t="s">
        <v>3090</v>
      </c>
    </row>
    <row r="20" spans="1:7" s="257" customFormat="1" ht="13.5" customHeight="1">
      <c r="A20" s="298" t="s">
        <v>2351</v>
      </c>
      <c r="B20" s="253" t="s">
        <v>2352</v>
      </c>
      <c r="C20" s="275">
        <f ca="1">ROUND((C5+C19)*F20,0)</f>
        <v>13</v>
      </c>
      <c r="D20" s="275"/>
      <c r="E20" s="275"/>
      <c r="F20" s="276">
        <f>'数据-取费表'!B37</f>
        <v>0.02</v>
      </c>
      <c r="G20" s="277" t="s">
        <v>2353</v>
      </c>
    </row>
    <row r="21" spans="1:7" s="257" customFormat="1" ht="13.5" customHeight="1">
      <c r="A21" s="298" t="s">
        <v>2354</v>
      </c>
      <c r="B21" s="253" t="s">
        <v>2355</v>
      </c>
      <c r="C21" s="278">
        <f>F21</f>
        <v>0.01</v>
      </c>
      <c r="D21" s="279" t="s">
        <v>2356</v>
      </c>
      <c r="E21" s="275"/>
      <c r="F21" s="276">
        <f>'数据-取费表'!B38</f>
        <v>0.01</v>
      </c>
      <c r="G21" s="277" t="s">
        <v>2357</v>
      </c>
    </row>
    <row r="22" spans="1:7" s="257" customFormat="1" ht="13.5" customHeight="1">
      <c r="A22" s="298" t="s">
        <v>2358</v>
      </c>
      <c r="B22" s="253" t="s">
        <v>2359</v>
      </c>
      <c r="C22" s="1353">
        <f ca="1">ROUND(SUM(C23:C25),0)</f>
        <v>14</v>
      </c>
      <c r="D22" s="278">
        <f ca="1">C26</f>
        <v>1E-4</v>
      </c>
      <c r="E22" s="279" t="s">
        <v>2356</v>
      </c>
      <c r="F22" s="280">
        <f ca="1">'数据-取费表'!B40</f>
        <v>4.3499999999999997E-2</v>
      </c>
      <c r="G22" s="277" t="str">
        <f>IF('数据-取费表'!B22&lt;=1,"单利计息","复利计息")</f>
        <v>单利计息</v>
      </c>
    </row>
    <row r="23" spans="1:7" s="257" customFormat="1" ht="13.5" customHeight="1">
      <c r="A23" s="950" t="s">
        <v>2360</v>
      </c>
      <c r="B23" s="258" t="s">
        <v>2361</v>
      </c>
      <c r="C23" s="1354">
        <f ca="1">ROUND(IF('数据-取费表'!B22&lt;=1,C5*F22*'数据-取费表'!B23,C5*(POWER((1+F22),'数据-取费表'!B23)-1)),0)</f>
        <v>14</v>
      </c>
      <c r="D23" s="281"/>
      <c r="E23" s="281"/>
      <c r="F23" s="282"/>
      <c r="G23" s="283" t="s">
        <v>2362</v>
      </c>
    </row>
    <row r="24" spans="1:7" s="257" customFormat="1" ht="13.5" customHeight="1">
      <c r="A24" s="950" t="s">
        <v>2363</v>
      </c>
      <c r="B24" s="258" t="s">
        <v>2364</v>
      </c>
      <c r="C24" s="1354">
        <f ca="1">ROUND(IF('数据-取费表'!B22&lt;=1,C19*F22*('数据-取费表'!B19/2+'数据-取费表'!B21),C19*(POWER((1+F22),('数据-取费表'!B19/2+'数据-取费表'!B21))-1)),0)</f>
        <v>0</v>
      </c>
      <c r="D24" s="281"/>
      <c r="E24" s="281"/>
      <c r="F24" s="282"/>
      <c r="G24" s="283" t="s">
        <v>2365</v>
      </c>
    </row>
    <row r="25" spans="1:7" s="257" customFormat="1" ht="24">
      <c r="A25" s="950" t="s">
        <v>2366</v>
      </c>
      <c r="B25" s="258" t="s">
        <v>2367</v>
      </c>
      <c r="C25" s="1354">
        <f ca="1">ROUND(IF('数据-取费表'!B22&lt;=1,C20*F22*'数据-取费表'!B23/2,C20*(POWER((1+F22),'数据-取费表'!B23/2)-1)),0)</f>
        <v>0</v>
      </c>
      <c r="D25" s="281"/>
      <c r="E25" s="284"/>
      <c r="F25" s="282"/>
      <c r="G25" s="285" t="s">
        <v>2368</v>
      </c>
    </row>
    <row r="26" spans="1:7" s="257" customFormat="1">
      <c r="A26" s="950" t="s">
        <v>795</v>
      </c>
      <c r="B26" s="258" t="s">
        <v>2369</v>
      </c>
      <c r="C26" s="281">
        <f ca="1">ROUND(IF('数据-取费表'!B22&lt;=1,F21*F22*'数据-取费表'!B23/2,F21*(POWER((1+F22),'数据-取费表'!B23/2)-1)),4)</f>
        <v>1E-4</v>
      </c>
      <c r="D26" s="281"/>
      <c r="E26" s="284"/>
      <c r="F26" s="282"/>
      <c r="G26" s="286"/>
    </row>
    <row r="27" spans="1:7" s="257" customFormat="1" ht="26.4">
      <c r="A27" s="298" t="s">
        <v>2370</v>
      </c>
      <c r="B27" s="287" t="s">
        <v>2371</v>
      </c>
      <c r="C27" s="288">
        <f ca="1">C28</f>
        <v>33</v>
      </c>
      <c r="D27" s="278">
        <f ca="1">C29</f>
        <v>5.0000000000000001E-4</v>
      </c>
      <c r="E27" s="279" t="s">
        <v>2372</v>
      </c>
      <c r="F27" s="289">
        <f ca="1">IF(B1="",'数据-取费表'!Q16,INDIRECT("'数据-取费表'!q"&amp;$G$1))</f>
        <v>0.05</v>
      </c>
      <c r="G27" s="290" t="s">
        <v>2373</v>
      </c>
    </row>
    <row r="28" spans="1:7" s="257" customFormat="1" ht="13.5" customHeight="1">
      <c r="A28" s="950" t="s">
        <v>791</v>
      </c>
      <c r="B28" s="291" t="s">
        <v>2374</v>
      </c>
      <c r="C28" s="292">
        <f ca="1">ROUND((C5+C19+C20)*F27*'数据-取费表'!B21/'数据-取费表'!B20,0)</f>
        <v>33</v>
      </c>
      <c r="D28" s="278"/>
      <c r="E28" s="279"/>
      <c r="F28" s="289"/>
      <c r="G28" s="290"/>
    </row>
    <row r="29" spans="1:7" s="257" customFormat="1" ht="13.5" customHeight="1">
      <c r="A29" s="950" t="s">
        <v>792</v>
      </c>
      <c r="B29" s="291" t="s">
        <v>2375</v>
      </c>
      <c r="C29" s="281">
        <f ca="1">ROUND(C21*F27*'数据-取费表'!B21/'数据-取费表'!B20,4)</f>
        <v>5.0000000000000001E-4</v>
      </c>
      <c r="D29" s="278"/>
      <c r="E29" s="279"/>
      <c r="F29" s="289"/>
      <c r="G29" s="290"/>
    </row>
    <row r="30" spans="1:7" s="257" customFormat="1" ht="13.5" customHeight="1">
      <c r="A30" s="298" t="s">
        <v>2376</v>
      </c>
      <c r="B30" s="253" t="s">
        <v>2377</v>
      </c>
      <c r="C30" s="278">
        <f>ROUND(F30/(1+'数据-取费表'!C42),4)</f>
        <v>5.2400000000000002E-2</v>
      </c>
      <c r="D30" s="279" t="s">
        <v>2372</v>
      </c>
      <c r="E30" s="284"/>
      <c r="F30" s="280">
        <f>'数据-取费表'!B41</f>
        <v>5.5000000000000007E-2</v>
      </c>
      <c r="G30" s="277" t="s">
        <v>2378</v>
      </c>
    </row>
    <row r="31" spans="1:7" ht="16.5" customHeight="1">
      <c r="A31" s="252">
        <v>1</v>
      </c>
      <c r="B31" s="253" t="s">
        <v>2379</v>
      </c>
      <c r="C31" s="254">
        <f ca="1">ROUND((C5+C19+C20+C22+C27)/(1-C21-D22-D27-C30),0)</f>
        <v>760</v>
      </c>
      <c r="D31" s="273"/>
      <c r="E31" s="254"/>
      <c r="F31" s="293"/>
      <c r="G31" s="277" t="s">
        <v>2380</v>
      </c>
    </row>
    <row r="32" spans="1:7" s="251" customFormat="1" ht="16.2">
      <c r="A32" s="295" t="s">
        <v>2381</v>
      </c>
      <c r="B32" s="296"/>
      <c r="C32" s="296"/>
      <c r="D32" s="296"/>
      <c r="E32" s="296"/>
      <c r="F32" s="296"/>
      <c r="G32" s="297"/>
    </row>
    <row r="33" spans="1:7" s="257" customFormat="1" ht="13.5" customHeight="1">
      <c r="A33" s="298" t="s">
        <v>782</v>
      </c>
      <c r="B33" s="253" t="s">
        <v>2382</v>
      </c>
      <c r="C33" s="299">
        <f ca="1">SUM(C34:C38)</f>
        <v>276</v>
      </c>
      <c r="D33" s="275"/>
      <c r="E33" s="255"/>
      <c r="F33" s="284"/>
      <c r="G33" s="277"/>
    </row>
    <row r="34" spans="1:7" s="301" customFormat="1" ht="13.5" customHeight="1">
      <c r="A34" s="950" t="s">
        <v>791</v>
      </c>
      <c r="B34" s="258" t="s">
        <v>2383</v>
      </c>
      <c r="C34" s="263">
        <f ca="1">IF(B1="",IF(F34=100%,'数据-取费表'!M16,'数据-取费表'!O16),IF(F34=100%,INDIRECT("'数据-取费表'!m"&amp;$G$1)+INDIRECT("'数据-取费表'!t"&amp;$G$1),INDIRECT("'数据-取费表'!o"&amp;$G$1)+INDIRECT("'数据-取费表'!aq"&amp;$G$1)))</f>
        <v>243</v>
      </c>
      <c r="D34" s="260"/>
      <c r="E34" s="263"/>
      <c r="F34" s="300">
        <f ca="1">IF('数据-取费表'!B24=0,1,IF(B1="",'数据-取费表'!N16,INDIRECT("'数据-取费表'!n"&amp;$G$1)))</f>
        <v>1</v>
      </c>
      <c r="G34" s="262" t="s">
        <v>2384</v>
      </c>
    </row>
    <row r="35" spans="1:7" ht="13.5" customHeight="1">
      <c r="A35" s="950" t="s">
        <v>796</v>
      </c>
      <c r="B35" s="258" t="s">
        <v>2385</v>
      </c>
      <c r="C35" s="263">
        <f ca="1">ROUND(C34*F35,0)</f>
        <v>7</v>
      </c>
      <c r="D35" s="263"/>
      <c r="E35" s="263"/>
      <c r="F35" s="302">
        <f>'数据-取费表'!B33</f>
        <v>0.03</v>
      </c>
      <c r="G35" s="262" t="s">
        <v>2386</v>
      </c>
    </row>
    <row r="36" spans="1:7" ht="24">
      <c r="A36" s="950"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50" t="s">
        <v>798</v>
      </c>
      <c r="B37" s="258" t="s">
        <v>2389</v>
      </c>
      <c r="C37" s="292">
        <f ca="1">ROUND(E37*D37*F34/10000,0)</f>
        <v>22</v>
      </c>
      <c r="D37" s="260">
        <f ca="1">D19</f>
        <v>1106.44</v>
      </c>
      <c r="E37" s="292">
        <f>'数据-取费表'!B35</f>
        <v>200</v>
      </c>
      <c r="F37" s="302"/>
      <c r="G37" s="304" t="s">
        <v>2390</v>
      </c>
    </row>
    <row r="38" spans="1:7" ht="13.5" customHeight="1">
      <c r="A38" s="950" t="s">
        <v>799</v>
      </c>
      <c r="B38" s="258" t="s">
        <v>2391</v>
      </c>
      <c r="C38" s="263">
        <f ca="1">ROUND(C34*F38,0)</f>
        <v>4</v>
      </c>
      <c r="D38" s="263"/>
      <c r="E38" s="263"/>
      <c r="F38" s="302">
        <f>'数据-取费表'!B36</f>
        <v>1.4999999999999999E-2</v>
      </c>
      <c r="G38" s="262" t="s">
        <v>2386</v>
      </c>
    </row>
    <row r="39" spans="1:7" s="257" customFormat="1" ht="13.5" customHeight="1">
      <c r="A39" s="298" t="s">
        <v>2392</v>
      </c>
      <c r="B39" s="253" t="s">
        <v>2393</v>
      </c>
      <c r="C39" s="275">
        <f ca="1">ROUND(C33*F20,0)</f>
        <v>6</v>
      </c>
      <c r="D39" s="275"/>
      <c r="E39" s="275"/>
      <c r="F39" s="276"/>
      <c r="G39" s="277" t="s">
        <v>2394</v>
      </c>
    </row>
    <row r="40" spans="1:7" s="257" customFormat="1" ht="13.5" customHeight="1">
      <c r="A40" s="298" t="s">
        <v>2395</v>
      </c>
      <c r="B40" s="253" t="s">
        <v>2396</v>
      </c>
      <c r="C40" s="1727">
        <f>F21</f>
        <v>0.01</v>
      </c>
      <c r="D40" s="279" t="s">
        <v>2397</v>
      </c>
      <c r="E40" s="275"/>
      <c r="F40" s="276"/>
      <c r="G40" s="277" t="s">
        <v>2398</v>
      </c>
    </row>
    <row r="41" spans="1:7" s="257" customFormat="1" ht="13.5" customHeight="1">
      <c r="A41" s="298" t="s">
        <v>2399</v>
      </c>
      <c r="B41" s="253" t="s">
        <v>2400</v>
      </c>
      <c r="C41" s="275">
        <f ca="1">ROUND(SUM(C42:C43),0)</f>
        <v>3</v>
      </c>
      <c r="D41" s="278">
        <f ca="1">C44</f>
        <v>1E-4</v>
      </c>
      <c r="E41" s="279" t="s">
        <v>2397</v>
      </c>
      <c r="F41" s="280"/>
      <c r="G41" s="277" t="str">
        <f>IF('数据-取费表'!B22&lt;=1,"单利计息","复利计息")</f>
        <v>单利计息</v>
      </c>
    </row>
    <row r="42" spans="1:7" ht="13.5" customHeight="1">
      <c r="A42" s="950" t="s">
        <v>791</v>
      </c>
      <c r="B42" s="258" t="s">
        <v>2401</v>
      </c>
      <c r="C42" s="281">
        <f ca="1">ROUND(IF('数据-取费表'!B22&lt;=1,C33*F22*'数据-取费表'!B21/2,C33*(POWER((1+F22),'数据-取费表'!B21/2)-1)),0)</f>
        <v>3</v>
      </c>
      <c r="D42" s="281"/>
      <c r="E42" s="281"/>
      <c r="F42" s="282"/>
      <c r="G42" s="3159" t="s">
        <v>2402</v>
      </c>
    </row>
    <row r="43" spans="1:7" ht="13.5" customHeight="1">
      <c r="A43" s="950" t="s">
        <v>792</v>
      </c>
      <c r="B43" s="258" t="s">
        <v>2403</v>
      </c>
      <c r="C43" s="281">
        <f ca="1">ROUND(IF('数据-取费表'!B22&lt;=1,C39*F22*'数据-取费表'!B21/2,C39*(POWER((1+F22),'数据-取费表'!B21/2)-1)),0)</f>
        <v>0</v>
      </c>
      <c r="D43" s="281"/>
      <c r="E43" s="281"/>
      <c r="F43" s="282"/>
      <c r="G43" s="3160"/>
    </row>
    <row r="44" spans="1:7" ht="13.5" customHeight="1">
      <c r="A44" s="950" t="s">
        <v>793</v>
      </c>
      <c r="B44" s="258" t="s">
        <v>2404</v>
      </c>
      <c r="C44" s="281">
        <f ca="1">ROUND(IF('数据-取费表'!B22&lt;=1,C40*F22*'数据-取费表'!B21/2,C40*(POWER((1+F22),'数据-取费表'!B21/2)-1)),4)</f>
        <v>1E-4</v>
      </c>
      <c r="D44" s="281"/>
      <c r="E44" s="281"/>
      <c r="F44" s="282"/>
      <c r="G44" s="3161"/>
    </row>
    <row r="45" spans="1:7" s="257" customFormat="1" ht="13.5" customHeight="1">
      <c r="A45" s="298" t="s">
        <v>2405</v>
      </c>
      <c r="B45" s="287" t="s">
        <v>2371</v>
      </c>
      <c r="C45" s="288">
        <f ca="1">C46</f>
        <v>14</v>
      </c>
      <c r="D45" s="278">
        <f ca="1">C47</f>
        <v>5.0000000000000001E-4</v>
      </c>
      <c r="E45" s="279" t="s">
        <v>2397</v>
      </c>
      <c r="F45" s="289"/>
      <c r="G45" s="290" t="s">
        <v>2406</v>
      </c>
    </row>
    <row r="46" spans="1:7" s="257" customFormat="1" ht="13.5" customHeight="1">
      <c r="A46" s="950" t="s">
        <v>791</v>
      </c>
      <c r="B46" s="291" t="s">
        <v>2407</v>
      </c>
      <c r="C46" s="292">
        <f ca="1">ROUND((C33+C39)*F27,0)</f>
        <v>14</v>
      </c>
      <c r="D46" s="306"/>
      <c r="E46" s="279"/>
      <c r="F46" s="289"/>
      <c r="G46" s="290"/>
    </row>
    <row r="47" spans="1:7" s="257" customFormat="1" ht="13.5" customHeight="1">
      <c r="A47" s="950" t="s">
        <v>792</v>
      </c>
      <c r="B47" s="291" t="s">
        <v>2408</v>
      </c>
      <c r="C47" s="281">
        <f ca="1">ROUND(C40*F27,4)</f>
        <v>5.0000000000000001E-4</v>
      </c>
      <c r="D47" s="306"/>
      <c r="E47" s="279"/>
      <c r="F47" s="289"/>
      <c r="G47" s="290"/>
    </row>
    <row r="48" spans="1:7" s="257" customFormat="1" ht="13.5" customHeight="1">
      <c r="A48" s="298" t="s">
        <v>2370</v>
      </c>
      <c r="B48" s="253" t="s">
        <v>2409</v>
      </c>
      <c r="C48" s="1727">
        <f>ROUND(F30/(1+'数据-取费表'!C42),4)</f>
        <v>5.2400000000000002E-2</v>
      </c>
      <c r="D48" s="279" t="s">
        <v>2397</v>
      </c>
      <c r="E48" s="275"/>
      <c r="F48" s="280"/>
      <c r="G48" s="277" t="s">
        <v>2410</v>
      </c>
    </row>
    <row r="49" spans="1:7" ht="16.5" customHeight="1">
      <c r="A49" s="298" t="s">
        <v>2376</v>
      </c>
      <c r="B49" s="253" t="s">
        <v>2411</v>
      </c>
      <c r="C49" s="275">
        <f ca="1">ROUND((C33+C39+C41+C45)/(1-C40-D41-D45-C48),0)</f>
        <v>319</v>
      </c>
      <c r="D49" s="275"/>
      <c r="E49" s="275"/>
      <c r="F49" s="307"/>
      <c r="G49" s="277" t="s">
        <v>2412</v>
      </c>
    </row>
    <row r="50" spans="1:7" s="301" customFormat="1" ht="24">
      <c r="A50" s="298" t="s">
        <v>2413</v>
      </c>
      <c r="B50" s="253" t="s">
        <v>2414</v>
      </c>
      <c r="C50" s="275"/>
      <c r="D50" s="275"/>
      <c r="E50" s="275"/>
      <c r="F50" s="307">
        <f>IF('数据-取费表'!B24=0,'数据-取费表'!N16,1)</f>
        <v>0.76500000000000001</v>
      </c>
      <c r="G50" s="290" t="s">
        <v>2415</v>
      </c>
    </row>
    <row r="51" spans="1:7" ht="16.5" customHeight="1">
      <c r="A51" s="298" t="s">
        <v>2416</v>
      </c>
      <c r="B51" s="253" t="s">
        <v>2417</v>
      </c>
      <c r="C51" s="275">
        <f ca="1">ROUND(C49*F50,0)</f>
        <v>244</v>
      </c>
      <c r="D51" s="275"/>
      <c r="E51" s="275"/>
      <c r="F51" s="307"/>
      <c r="G51" s="277" t="s">
        <v>2418</v>
      </c>
    </row>
    <row r="52" spans="1:7" s="251" customFormat="1" ht="16.8" thickBot="1">
      <c r="A52" s="308" t="s">
        <v>2419</v>
      </c>
      <c r="B52" s="309"/>
      <c r="C52" s="310">
        <f ca="1">C31+C51</f>
        <v>1004</v>
      </c>
      <c r="D52" s="309"/>
      <c r="E52" s="309"/>
      <c r="F52" s="309"/>
      <c r="G52" s="311"/>
    </row>
    <row r="55" spans="1:7" ht="15">
      <c r="B55" s="313" t="s">
        <v>2420</v>
      </c>
      <c r="C55" s="314"/>
    </row>
    <row r="56" spans="1:7">
      <c r="B56" s="316" t="s">
        <v>1508</v>
      </c>
      <c r="C56" s="318">
        <f ca="1">1-C57</f>
        <v>0.75700000000000001</v>
      </c>
    </row>
    <row r="57" spans="1:7">
      <c r="B57" s="316" t="s">
        <v>1509</v>
      </c>
      <c r="C57" s="317">
        <f ca="1">ROUND(C51/C52,3)</f>
        <v>0.24299999999999999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73" t="str">
        <f>项目基本情况!B1</f>
        <v>北京市昌平区南口镇前洼村南液化气站工业用房房地产房地产抵押价值预评估</v>
      </c>
      <c r="C37" s="2973"/>
      <c r="D37" s="2973"/>
      <c r="E37" s="2973"/>
      <c r="F37" s="2973"/>
      <c r="G37" s="2973"/>
      <c r="H37" s="2973"/>
      <c r="I37" s="2973"/>
    </row>
    <row r="38" spans="1:9">
      <c r="A38" s="1015"/>
      <c r="B38" s="1015"/>
    </row>
    <row r="39" spans="1:9">
      <c r="A39" s="1013" t="s">
        <v>818</v>
      </c>
      <c r="B39" s="1013" t="s">
        <v>820</v>
      </c>
    </row>
    <row r="40" spans="1:9">
      <c r="A40" s="1013"/>
      <c r="B40" s="1941" t="str">
        <f>项目基本情况!B5</f>
        <v>北京德利生华液化气有限公司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2319</v>
      </c>
      <c r="B1" s="1936"/>
      <c r="C1" s="2552" t="s">
        <v>2421</v>
      </c>
      <c r="D1" s="241"/>
      <c r="E1" s="241"/>
      <c r="F1" s="241"/>
      <c r="G1" s="1378">
        <f>MATCH(B1,'数据-取费表'!A6:A16,0)+5</f>
        <v>7</v>
      </c>
      <c r="H1" s="1281" t="str">
        <f>IF(ISERROR(FIND("住宅",B1)),"非住宅","住宅")</f>
        <v>非住宅</v>
      </c>
    </row>
    <row r="2" spans="1:8" s="243" customFormat="1" ht="18" customHeight="1">
      <c r="A2" s="244" t="s">
        <v>2320</v>
      </c>
      <c r="B2" s="245">
        <f ca="1">ROUND(IF(D2="——",C52/10000,C52/10000-E2),0)</f>
        <v>295</v>
      </c>
      <c r="C2" s="242" t="s">
        <v>2321</v>
      </c>
      <c r="D2" s="2546" t="s">
        <v>70</v>
      </c>
      <c r="E2" s="1439" t="e">
        <f ca="1">SUMIF(INDIRECT("'"&amp;G2&amp;"'"&amp;"!A:A"),"承租人权益价值",INDIRECT("'"&amp;G2&amp;"'"&amp;"!c:c"))</f>
        <v>#REF!</v>
      </c>
      <c r="F2" s="2547" t="s">
        <v>2321</v>
      </c>
      <c r="G2" s="2548"/>
    </row>
    <row r="3" spans="1:8" s="243" customFormat="1" ht="18" customHeight="1" thickBot="1">
      <c r="A3" s="246" t="s">
        <v>2322</v>
      </c>
      <c r="B3" s="247">
        <f ca="1">ROUND(B2*10000/(IF(B1="",'数据-汇总表'!E3,INDIRECT("'数据-取费表'!k"&amp;$G$1))),0)</f>
        <v>2666</v>
      </c>
      <c r="C3" s="242" t="s">
        <v>2323</v>
      </c>
      <c r="D3" s="242"/>
      <c r="E3" s="242"/>
      <c r="F3" s="242"/>
      <c r="G3" s="242"/>
    </row>
    <row r="4" spans="1:8" s="251" customFormat="1" ht="16.2">
      <c r="A4" s="248" t="s">
        <v>2324</v>
      </c>
      <c r="B4" s="249"/>
      <c r="C4" s="249"/>
      <c r="D4" s="249"/>
      <c r="E4" s="249"/>
      <c r="F4" s="249"/>
      <c r="G4" s="250"/>
    </row>
    <row r="5" spans="1:8" s="257" customFormat="1" ht="13.5" customHeight="1">
      <c r="A5" s="298" t="s">
        <v>2325</v>
      </c>
      <c r="B5" s="253" t="s">
        <v>2326</v>
      </c>
      <c r="C5" s="254">
        <f ca="1">C6+C7+C8</f>
        <v>210224</v>
      </c>
      <c r="D5" s="254" t="s">
        <v>2327</v>
      </c>
      <c r="E5" s="255" t="s">
        <v>2328</v>
      </c>
      <c r="F5" s="255" t="s">
        <v>2329</v>
      </c>
      <c r="G5" s="256"/>
    </row>
    <row r="6" spans="1:8" s="257" customFormat="1" ht="13.5" customHeight="1">
      <c r="A6" s="948" t="s">
        <v>2330</v>
      </c>
      <c r="B6" s="258" t="s">
        <v>2331</v>
      </c>
      <c r="C6" s="259"/>
      <c r="D6" s="260"/>
      <c r="E6" s="261"/>
      <c r="F6" s="261"/>
      <c r="G6" s="262"/>
    </row>
    <row r="7" spans="1:8" s="257" customFormat="1" ht="13.5" customHeight="1">
      <c r="A7" s="948" t="s">
        <v>2332</v>
      </c>
      <c r="B7" s="258" t="s">
        <v>2333</v>
      </c>
      <c r="C7" s="263">
        <f>ROUND(C6*F7,0)</f>
        <v>0</v>
      </c>
      <c r="D7" s="263"/>
      <c r="E7" s="261"/>
      <c r="F7" s="264">
        <f>IF(项目基本情况!B8="出让",0,'数据-取费表'!B48+'数据-取费表'!B49)</f>
        <v>3.0499999999999999E-2</v>
      </c>
      <c r="G7" s="262"/>
    </row>
    <row r="8" spans="1:8" s="266" customFormat="1">
      <c r="A8" s="948" t="s">
        <v>2334</v>
      </c>
      <c r="B8" s="258" t="s">
        <v>2335</v>
      </c>
      <c r="C8" s="263">
        <f ca="1">IF(G8="已包含在土地购买价格中",0,C9+C10)</f>
        <v>210224</v>
      </c>
      <c r="D8" s="265"/>
      <c r="E8" s="263"/>
      <c r="F8" s="264"/>
      <c r="G8" s="2549"/>
    </row>
    <row r="9" spans="1:8" s="257" customFormat="1" ht="13.5" customHeight="1">
      <c r="A9" s="949" t="s">
        <v>800</v>
      </c>
      <c r="B9" s="267" t="s">
        <v>2336</v>
      </c>
      <c r="C9" s="268">
        <f ca="1">ROUND(D9*E9,0)</f>
        <v>0</v>
      </c>
      <c r="D9" s="1031">
        <f ca="1">IF(B1="",'数据-汇总表'!E5,IF(INDIRECT("'数据-取费表'!c"&amp;$G$1)="住宅",INDIRECT("'数据-取费表'!k"&amp;$G$1),0))</f>
        <v>0</v>
      </c>
      <c r="E9" s="268">
        <f>'数据-取费表'!B27</f>
        <v>150</v>
      </c>
      <c r="F9" s="264"/>
      <c r="G9" s="269"/>
    </row>
    <row r="10" spans="1:8" s="257" customFormat="1" ht="13.5" customHeight="1">
      <c r="A10" s="949" t="s">
        <v>801</v>
      </c>
      <c r="B10" s="267" t="s">
        <v>2338</v>
      </c>
      <c r="C10" s="268">
        <f ca="1">ROUND(D10*E10,0)</f>
        <v>210224</v>
      </c>
      <c r="D10" s="1031">
        <f ca="1">IF(B1="",'数据-汇总表'!E6,IF(INDIRECT("'数据-取费表'!c"&amp;$G$1)="住宅",INDIRECT("'数据-取费表'!s"&amp;$G$1),INDIRECT("'数据-取费表'!k"&amp;$G$1)+INDIRECT("'数据-取费表'!s"&amp;$G$1)))</f>
        <v>1106.44</v>
      </c>
      <c r="E10" s="268">
        <f>'数据-取费表'!B28</f>
        <v>190</v>
      </c>
      <c r="F10" s="264"/>
      <c r="G10" s="269"/>
    </row>
    <row r="11" spans="1:8" s="257" customFormat="1" ht="13.5" hidden="1" customHeight="1">
      <c r="A11" s="270" t="s">
        <v>7</v>
      </c>
      <c r="B11" s="258" t="s">
        <v>2339</v>
      </c>
      <c r="C11" s="254"/>
      <c r="D11" s="1033"/>
      <c r="E11" s="261"/>
      <c r="F11" s="261"/>
      <c r="G11" s="262"/>
    </row>
    <row r="12" spans="1:8" s="257" customFormat="1" ht="13.5" hidden="1" customHeight="1">
      <c r="A12" s="270" t="s">
        <v>8</v>
      </c>
      <c r="B12" s="258" t="s">
        <v>2422</v>
      </c>
      <c r="C12" s="254">
        <v>0</v>
      </c>
      <c r="D12" s="1033"/>
      <c r="E12" s="271"/>
      <c r="F12" s="264">
        <v>3.0499999999999999E-2</v>
      </c>
      <c r="G12" s="262"/>
    </row>
    <row r="13" spans="1:8" s="257" customFormat="1" ht="13.5" hidden="1" customHeight="1">
      <c r="A13" s="270" t="s">
        <v>9</v>
      </c>
      <c r="B13" s="258" t="s">
        <v>2423</v>
      </c>
      <c r="C13" s="254"/>
      <c r="D13" s="1033"/>
      <c r="E13" s="261"/>
      <c r="F13" s="261"/>
      <c r="G13" s="262"/>
    </row>
    <row r="14" spans="1:8" s="257" customFormat="1" ht="13.5" hidden="1" customHeight="1">
      <c r="A14" s="270" t="s">
        <v>10</v>
      </c>
      <c r="B14" s="258" t="s">
        <v>2335</v>
      </c>
      <c r="C14" s="254"/>
      <c r="D14" s="1033"/>
      <c r="E14" s="261"/>
      <c r="F14" s="261"/>
      <c r="G14" s="262" t="s">
        <v>2424</v>
      </c>
    </row>
    <row r="15" spans="1:8" s="257" customFormat="1" ht="13.5" hidden="1" customHeight="1">
      <c r="A15" s="270" t="s">
        <v>11</v>
      </c>
      <c r="B15" s="258" t="s">
        <v>2425</v>
      </c>
      <c r="C15" s="263"/>
      <c r="D15" s="1033"/>
      <c r="E15" s="261"/>
      <c r="F15" s="261"/>
      <c r="G15" s="262" t="s">
        <v>2426</v>
      </c>
    </row>
    <row r="16" spans="1:8" s="257" customFormat="1" ht="13.5" hidden="1" customHeight="1">
      <c r="A16" s="270" t="s">
        <v>12</v>
      </c>
      <c r="B16" s="258" t="s">
        <v>2335</v>
      </c>
      <c r="C16" s="263"/>
      <c r="D16" s="1033"/>
      <c r="E16" s="261"/>
      <c r="F16" s="261"/>
      <c r="G16" s="262"/>
    </row>
    <row r="17" spans="1:7" s="257" customFormat="1" ht="13.5" hidden="1" customHeight="1">
      <c r="A17" s="270" t="s">
        <v>13</v>
      </c>
      <c r="B17" s="258" t="s">
        <v>2427</v>
      </c>
      <c r="C17" s="272"/>
      <c r="D17" s="1034"/>
      <c r="E17" s="272"/>
      <c r="F17" s="272"/>
      <c r="G17" s="262" t="s">
        <v>2426</v>
      </c>
    </row>
    <row r="18" spans="1:7" s="257" customFormat="1" ht="13.5" hidden="1" customHeight="1">
      <c r="A18" s="270" t="s">
        <v>14</v>
      </c>
      <c r="B18" s="258" t="s">
        <v>2428</v>
      </c>
      <c r="C18" s="263">
        <v>0</v>
      </c>
      <c r="D18" s="1033"/>
      <c r="E18" s="261"/>
      <c r="F18" s="264">
        <v>3.0499999999999999E-2</v>
      </c>
      <c r="G18" s="262" t="s">
        <v>2429</v>
      </c>
    </row>
    <row r="19" spans="1:7" s="266" customFormat="1" ht="13.5" customHeight="1">
      <c r="A19" s="298" t="s">
        <v>2430</v>
      </c>
      <c r="B19" s="253" t="s">
        <v>2431</v>
      </c>
      <c r="C19" s="254">
        <f ca="1">IF(G19="已包含在土地取得成本中","0",ROUND(D19*E19,0))</f>
        <v>221288</v>
      </c>
      <c r="D19" s="1035">
        <f ca="1">D9+D10</f>
        <v>1106.44</v>
      </c>
      <c r="E19" s="254">
        <f>'数据-取费表'!B31</f>
        <v>200</v>
      </c>
      <c r="F19" s="274"/>
      <c r="G19" s="2549"/>
    </row>
    <row r="20" spans="1:7" s="257" customFormat="1" ht="13.5" customHeight="1">
      <c r="A20" s="298" t="s">
        <v>2432</v>
      </c>
      <c r="B20" s="253" t="s">
        <v>2433</v>
      </c>
      <c r="C20" s="275">
        <f ca="1">ROUND((C5+C19)*F20,0)</f>
        <v>8630</v>
      </c>
      <c r="D20" s="275"/>
      <c r="E20" s="275"/>
      <c r="F20" s="276">
        <f>'数据-取费表'!B37</f>
        <v>0.02</v>
      </c>
      <c r="G20" s="277" t="s">
        <v>2434</v>
      </c>
    </row>
    <row r="21" spans="1:7" s="257" customFormat="1" ht="13.5" customHeight="1">
      <c r="A21" s="298" t="s">
        <v>2435</v>
      </c>
      <c r="B21" s="253" t="s">
        <v>2436</v>
      </c>
      <c r="C21" s="278">
        <f>F21</f>
        <v>0.01</v>
      </c>
      <c r="D21" s="279" t="s">
        <v>2437</v>
      </c>
      <c r="E21" s="275"/>
      <c r="F21" s="276">
        <f>'数据-取费表'!B38</f>
        <v>0.01</v>
      </c>
      <c r="G21" s="277" t="s">
        <v>2438</v>
      </c>
    </row>
    <row r="22" spans="1:7" s="257" customFormat="1" ht="13.5" customHeight="1">
      <c r="A22" s="298" t="s">
        <v>2439</v>
      </c>
      <c r="B22" s="253" t="s">
        <v>2440</v>
      </c>
      <c r="C22" s="1379">
        <f ca="1">ROUND(SUM(C23:C25),0)</f>
        <v>9479</v>
      </c>
      <c r="D22" s="278">
        <f ca="1">C26</f>
        <v>1E-4</v>
      </c>
      <c r="E22" s="279" t="s">
        <v>2437</v>
      </c>
      <c r="F22" s="280">
        <f ca="1">'数据-取费表'!B40</f>
        <v>4.3499999999999997E-2</v>
      </c>
      <c r="G22" s="277" t="str">
        <f>IF('数据-取费表'!B22&lt;=1,"单利计息","复利计息")</f>
        <v>单利计息</v>
      </c>
    </row>
    <row r="23" spans="1:7" s="257" customFormat="1" ht="13.5" customHeight="1">
      <c r="A23" s="950" t="s">
        <v>2330</v>
      </c>
      <c r="B23" s="258" t="s">
        <v>2441</v>
      </c>
      <c r="C23" s="1380">
        <f ca="1">ROUND(IF('数据-取费表'!B22&lt;=1,C5*F22*'数据-取费表'!B22,C5*(POWER((1+F22),'数据-取费表'!B22)-1)),0)</f>
        <v>4572</v>
      </c>
      <c r="D23" s="281"/>
      <c r="E23" s="281"/>
      <c r="F23" s="282"/>
      <c r="G23" s="283" t="s">
        <v>2442</v>
      </c>
    </row>
    <row r="24" spans="1:7" s="257" customFormat="1" ht="13.5" customHeight="1">
      <c r="A24" s="950" t="s">
        <v>2332</v>
      </c>
      <c r="B24" s="258" t="s">
        <v>2443</v>
      </c>
      <c r="C24" s="1380">
        <f ca="1">ROUND(IF('数据-取费表'!B22&lt;=1,C19*F22*('数据-取费表'!B19/2+'数据-取费表'!B20),C19*(POWER((1+F22),('数据-取费表'!B19/2+'数据-取费表'!B20))-1)),0)</f>
        <v>4813</v>
      </c>
      <c r="D24" s="281"/>
      <c r="E24" s="281"/>
      <c r="F24" s="282"/>
      <c r="G24" s="283" t="s">
        <v>2444</v>
      </c>
    </row>
    <row r="25" spans="1:7" s="257" customFormat="1" ht="24">
      <c r="A25" s="950" t="s">
        <v>2334</v>
      </c>
      <c r="B25" s="258" t="s">
        <v>2445</v>
      </c>
      <c r="C25" s="1380">
        <f ca="1">ROUND(IF('数据-取费表'!B22&lt;=1,C20*F22*'数据-取费表'!B22/2,C20*(POWER((1+F22),'数据-取费表'!B22/2)-1)),0)</f>
        <v>94</v>
      </c>
      <c r="D25" s="281"/>
      <c r="E25" s="284"/>
      <c r="F25" s="282"/>
      <c r="G25" s="285" t="s">
        <v>2446</v>
      </c>
    </row>
    <row r="26" spans="1:7" s="257" customFormat="1">
      <c r="A26" s="950" t="s">
        <v>795</v>
      </c>
      <c r="B26" s="258" t="s">
        <v>2369</v>
      </c>
      <c r="C26" s="281">
        <f ca="1">ROUND(IF('数据-取费表'!B22&lt;=1,F21*F22*'数据-取费表'!B22/2,F21*(POWER((1+F22),'数据-取费表'!B22/2)-1)),4)</f>
        <v>1E-4</v>
      </c>
      <c r="D26" s="281"/>
      <c r="E26" s="284"/>
      <c r="F26" s="282"/>
      <c r="G26" s="286"/>
    </row>
    <row r="27" spans="1:7" s="257" customFormat="1" ht="26.4">
      <c r="A27" s="298" t="s">
        <v>2370</v>
      </c>
      <c r="B27" s="287" t="s">
        <v>2371</v>
      </c>
      <c r="C27" s="288">
        <f ca="1">C28</f>
        <v>22007</v>
      </c>
      <c r="D27" s="278">
        <f ca="1">C29</f>
        <v>5.0000000000000001E-4</v>
      </c>
      <c r="E27" s="279" t="s">
        <v>2372</v>
      </c>
      <c r="F27" s="289">
        <f ca="1">IF(B1="",'数据-取费表'!Q16,INDIRECT("'数据-取费表'!q"&amp;$G$1))</f>
        <v>0.05</v>
      </c>
      <c r="G27" s="290" t="s">
        <v>2373</v>
      </c>
    </row>
    <row r="28" spans="1:7" s="257" customFormat="1" ht="13.5" customHeight="1">
      <c r="A28" s="950" t="s">
        <v>791</v>
      </c>
      <c r="B28" s="291" t="s">
        <v>2374</v>
      </c>
      <c r="C28" s="292">
        <f ca="1">ROUND((C5+C19+C20)*F27,0)</f>
        <v>22007</v>
      </c>
      <c r="D28" s="278"/>
      <c r="E28" s="279"/>
      <c r="F28" s="289"/>
      <c r="G28" s="290"/>
    </row>
    <row r="29" spans="1:7" s="257" customFormat="1" ht="13.5" customHeight="1">
      <c r="A29" s="950" t="s">
        <v>792</v>
      </c>
      <c r="B29" s="291" t="s">
        <v>2375</v>
      </c>
      <c r="C29" s="281">
        <f ca="1">ROUND(C21*F27,4)</f>
        <v>5.0000000000000001E-4</v>
      </c>
      <c r="D29" s="278"/>
      <c r="E29" s="279"/>
      <c r="F29" s="289"/>
      <c r="G29" s="290"/>
    </row>
    <row r="30" spans="1:7" s="257" customFormat="1" ht="13.5" customHeight="1">
      <c r="A30" s="298" t="s">
        <v>2376</v>
      </c>
      <c r="B30" s="253" t="s">
        <v>2377</v>
      </c>
      <c r="C30" s="278">
        <f>ROUND(F30/(1+'数据-取费表'!C42),4)</f>
        <v>5.2400000000000002E-2</v>
      </c>
      <c r="D30" s="279" t="s">
        <v>2372</v>
      </c>
      <c r="E30" s="284"/>
      <c r="F30" s="280">
        <f>'数据-取费表'!B41</f>
        <v>5.5000000000000007E-2</v>
      </c>
      <c r="G30" s="277" t="s">
        <v>2378</v>
      </c>
    </row>
    <row r="31" spans="1:7" ht="16.5" customHeight="1">
      <c r="A31" s="252">
        <v>1</v>
      </c>
      <c r="B31" s="253" t="s">
        <v>2379</v>
      </c>
      <c r="C31" s="254">
        <f ca="1">ROUND((C5+C19+C20+C22+C27)/(1-C21-D22-D27-C30),0)</f>
        <v>503338</v>
      </c>
      <c r="D31" s="273"/>
      <c r="E31" s="254"/>
      <c r="F31" s="293"/>
      <c r="G31" s="277" t="s">
        <v>2380</v>
      </c>
    </row>
    <row r="32" spans="1:7" s="251" customFormat="1" ht="16.2">
      <c r="A32" s="295" t="s">
        <v>2447</v>
      </c>
      <c r="B32" s="296"/>
      <c r="C32" s="296"/>
      <c r="D32" s="296"/>
      <c r="E32" s="296"/>
      <c r="F32" s="296"/>
      <c r="G32" s="297"/>
    </row>
    <row r="33" spans="1:7" s="257" customFormat="1" ht="13.5" customHeight="1">
      <c r="A33" s="298" t="s">
        <v>782</v>
      </c>
      <c r="B33" s="253" t="s">
        <v>2448</v>
      </c>
      <c r="C33" s="299">
        <f ca="1">SUM(C34:C38)</f>
        <v>2764994</v>
      </c>
      <c r="D33" s="275"/>
      <c r="E33" s="255"/>
      <c r="F33" s="284"/>
      <c r="G33" s="277"/>
    </row>
    <row r="34" spans="1:7" s="301" customFormat="1" ht="13.5" customHeight="1">
      <c r="A34" s="950" t="s">
        <v>791</v>
      </c>
      <c r="B34" s="258" t="s">
        <v>2383</v>
      </c>
      <c r="C34" s="263">
        <f ca="1">ROUND(IF(B1="",SUMPRODUCT('数据-取费表'!K6:K14,'数据-取费表'!L6:L14),INDIRECT("'数据-取费表'!l"&amp;$G$1)*INDIRECT("'数据-取费表'!k"&amp;$G$1)+'数据-取费表'!L14*INDIRECT("'数据-取费表'!S"&amp;$G$1)),0)</f>
        <v>2434168</v>
      </c>
      <c r="D34" s="260"/>
      <c r="E34" s="263"/>
      <c r="F34" s="300"/>
      <c r="G34" s="262"/>
    </row>
    <row r="35" spans="1:7" ht="13.5" customHeight="1">
      <c r="A35" s="950" t="s">
        <v>796</v>
      </c>
      <c r="B35" s="258" t="s">
        <v>2385</v>
      </c>
      <c r="C35" s="263">
        <f ca="1">ROUND(C34*F35,0)</f>
        <v>73025</v>
      </c>
      <c r="D35" s="263"/>
      <c r="E35" s="263"/>
      <c r="F35" s="302">
        <f>'数据-取费表'!B33</f>
        <v>0.03</v>
      </c>
      <c r="G35" s="262" t="s">
        <v>2386</v>
      </c>
    </row>
    <row r="36" spans="1:7" ht="24">
      <c r="A36" s="950"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50" t="s">
        <v>798</v>
      </c>
      <c r="B37" s="258" t="s">
        <v>2389</v>
      </c>
      <c r="C37" s="292">
        <f ca="1">ROUND(E37*D37,0)</f>
        <v>221288</v>
      </c>
      <c r="D37" s="260">
        <f ca="1">D19</f>
        <v>1106.44</v>
      </c>
      <c r="E37" s="292">
        <f>'数据-取费表'!B35</f>
        <v>200</v>
      </c>
      <c r="F37" s="302"/>
      <c r="G37" s="304"/>
    </row>
    <row r="38" spans="1:7" ht="13.5" customHeight="1">
      <c r="A38" s="950" t="s">
        <v>799</v>
      </c>
      <c r="B38" s="258" t="s">
        <v>2391</v>
      </c>
      <c r="C38" s="263">
        <f ca="1">ROUND(C34*F38,0)</f>
        <v>36513</v>
      </c>
      <c r="D38" s="263"/>
      <c r="E38" s="263"/>
      <c r="F38" s="302">
        <f>'数据-取费表'!B36</f>
        <v>1.4999999999999999E-2</v>
      </c>
      <c r="G38" s="262" t="s">
        <v>2386</v>
      </c>
    </row>
    <row r="39" spans="1:7" s="257" customFormat="1" ht="13.5" customHeight="1">
      <c r="A39" s="298" t="s">
        <v>2392</v>
      </c>
      <c r="B39" s="253" t="s">
        <v>2393</v>
      </c>
      <c r="C39" s="275">
        <f ca="1">ROUND(C33*F20,0)</f>
        <v>55300</v>
      </c>
      <c r="D39" s="275"/>
      <c r="E39" s="275"/>
      <c r="F39" s="276"/>
      <c r="G39" s="277" t="s">
        <v>2394</v>
      </c>
    </row>
    <row r="40" spans="1:7" s="257" customFormat="1" ht="13.5" customHeight="1">
      <c r="A40" s="298" t="s">
        <v>2395</v>
      </c>
      <c r="B40" s="253" t="s">
        <v>2396</v>
      </c>
      <c r="C40" s="1727">
        <f>F21</f>
        <v>0.01</v>
      </c>
      <c r="D40" s="279" t="s">
        <v>2397</v>
      </c>
      <c r="E40" s="275"/>
      <c r="F40" s="276"/>
      <c r="G40" s="277" t="s">
        <v>2398</v>
      </c>
    </row>
    <row r="41" spans="1:7" s="257" customFormat="1" ht="13.5" customHeight="1">
      <c r="A41" s="298" t="s">
        <v>2399</v>
      </c>
      <c r="B41" s="253" t="s">
        <v>2400</v>
      </c>
      <c r="C41" s="275">
        <f ca="1">ROUND(SUM(C42:C43),0)</f>
        <v>30670</v>
      </c>
      <c r="D41" s="278">
        <f ca="1">C44</f>
        <v>1E-4</v>
      </c>
      <c r="E41" s="279" t="s">
        <v>2397</v>
      </c>
      <c r="F41" s="280"/>
      <c r="G41" s="277" t="str">
        <f>IF('数据-取费表'!B22&lt;=1,"单利计息","复利计息")</f>
        <v>单利计息</v>
      </c>
    </row>
    <row r="42" spans="1:7" ht="13.5" customHeight="1">
      <c r="A42" s="950" t="s">
        <v>791</v>
      </c>
      <c r="B42" s="258" t="s">
        <v>2401</v>
      </c>
      <c r="C42" s="281">
        <f ca="1">ROUND(IF('数据-取费表'!B22&lt;=1,C33*F22*'数据-取费表'!B20/2,C33*(POWER((1+F22),'数据-取费表'!B20/2)-1)),0)</f>
        <v>30069</v>
      </c>
      <c r="D42" s="281"/>
      <c r="E42" s="281"/>
      <c r="F42" s="282"/>
      <c r="G42" s="3159" t="s">
        <v>2449</v>
      </c>
    </row>
    <row r="43" spans="1:7" ht="13.5" customHeight="1">
      <c r="A43" s="950" t="s">
        <v>792</v>
      </c>
      <c r="B43" s="258" t="s">
        <v>2403</v>
      </c>
      <c r="C43" s="281">
        <f ca="1">ROUND(IF('数据-取费表'!B22&lt;=1,C39*F22*'数据-取费表'!B20/2,C39*(POWER((1+F22),'数据-取费表'!B20/2)-1)),0)</f>
        <v>601</v>
      </c>
      <c r="D43" s="281"/>
      <c r="E43" s="281"/>
      <c r="F43" s="282"/>
      <c r="G43" s="3160"/>
    </row>
    <row r="44" spans="1:7" ht="13.5" customHeight="1">
      <c r="A44" s="950" t="s">
        <v>793</v>
      </c>
      <c r="B44" s="258" t="s">
        <v>2404</v>
      </c>
      <c r="C44" s="281">
        <f ca="1">ROUND(IF('数据-取费表'!B22&lt;=1,C40*F22*'数据-取费表'!B20/2,C40*(POWER((1+F22),'数据-取费表'!B20/2)-1)),4)</f>
        <v>1E-4</v>
      </c>
      <c r="D44" s="281"/>
      <c r="E44" s="281"/>
      <c r="F44" s="282"/>
      <c r="G44" s="3161"/>
    </row>
    <row r="45" spans="1:7" s="257" customFormat="1" ht="13.5" customHeight="1">
      <c r="A45" s="298" t="s">
        <v>2405</v>
      </c>
      <c r="B45" s="287" t="s">
        <v>2371</v>
      </c>
      <c r="C45" s="288">
        <f ca="1">C46</f>
        <v>141015</v>
      </c>
      <c r="D45" s="278">
        <f ca="1">C47</f>
        <v>5.0000000000000001E-4</v>
      </c>
      <c r="E45" s="279" t="s">
        <v>2397</v>
      </c>
      <c r="F45" s="289"/>
      <c r="G45" s="290" t="s">
        <v>2406</v>
      </c>
    </row>
    <row r="46" spans="1:7" s="257" customFormat="1" ht="13.5" customHeight="1">
      <c r="A46" s="950" t="s">
        <v>791</v>
      </c>
      <c r="B46" s="291" t="s">
        <v>2407</v>
      </c>
      <c r="C46" s="292">
        <f ca="1">ROUND((C33+C39)*F27,0)</f>
        <v>141015</v>
      </c>
      <c r="D46" s="306"/>
      <c r="E46" s="279"/>
      <c r="F46" s="289"/>
      <c r="G46" s="290"/>
    </row>
    <row r="47" spans="1:7" s="257" customFormat="1" ht="13.5" customHeight="1">
      <c r="A47" s="950" t="s">
        <v>792</v>
      </c>
      <c r="B47" s="291" t="s">
        <v>2408</v>
      </c>
      <c r="C47" s="281">
        <f ca="1">ROUND(C40*F27,4)</f>
        <v>5.0000000000000001E-4</v>
      </c>
      <c r="D47" s="306"/>
      <c r="E47" s="279"/>
      <c r="F47" s="289"/>
      <c r="G47" s="290"/>
    </row>
    <row r="48" spans="1:7" s="257" customFormat="1" ht="13.5" customHeight="1">
      <c r="A48" s="298" t="s">
        <v>2370</v>
      </c>
      <c r="B48" s="253" t="s">
        <v>2409</v>
      </c>
      <c r="C48" s="305">
        <f>ROUND(F30/(1+'数据-取费表'!C42),4)</f>
        <v>5.2400000000000002E-2</v>
      </c>
      <c r="D48" s="279" t="s">
        <v>2397</v>
      </c>
      <c r="E48" s="275"/>
      <c r="F48" s="280"/>
      <c r="G48" s="277" t="s">
        <v>2410</v>
      </c>
    </row>
    <row r="49" spans="1:7" ht="16.5" customHeight="1">
      <c r="A49" s="298" t="s">
        <v>2376</v>
      </c>
      <c r="B49" s="253" t="s">
        <v>2450</v>
      </c>
      <c r="C49" s="275">
        <f ca="1">ROUND((C33+C39+C41+C45)/(1-C40-D41-D45-C48),0)</f>
        <v>3193147</v>
      </c>
      <c r="D49" s="275"/>
      <c r="E49" s="275"/>
      <c r="F49" s="307"/>
      <c r="G49" s="277" t="s">
        <v>2412</v>
      </c>
    </row>
    <row r="50" spans="1:7" s="301" customFormat="1">
      <c r="A50" s="298" t="s">
        <v>2413</v>
      </c>
      <c r="B50" s="253" t="s">
        <v>2414</v>
      </c>
      <c r="C50" s="275"/>
      <c r="D50" s="275"/>
      <c r="E50" s="275"/>
      <c r="F50" s="307">
        <f>IF('数据-取费表'!B24=0,'数据-取费表'!N16,1)</f>
        <v>0.76500000000000001</v>
      </c>
      <c r="G50" s="290"/>
    </row>
    <row r="51" spans="1:7" ht="16.5" customHeight="1">
      <c r="A51" s="298" t="s">
        <v>2416</v>
      </c>
      <c r="B51" s="253" t="s">
        <v>2451</v>
      </c>
      <c r="C51" s="275">
        <f ca="1">ROUND(C49*F50,0)</f>
        <v>2442757</v>
      </c>
      <c r="D51" s="275"/>
      <c r="E51" s="275"/>
      <c r="F51" s="307"/>
      <c r="G51" s="277" t="s">
        <v>2418</v>
      </c>
    </row>
    <row r="52" spans="1:7" s="251" customFormat="1" ht="16.8" thickBot="1">
      <c r="A52" s="308" t="s">
        <v>2419</v>
      </c>
      <c r="B52" s="309"/>
      <c r="C52" s="310">
        <f ca="1">C31+C51</f>
        <v>2946095</v>
      </c>
      <c r="D52" s="309"/>
      <c r="E52" s="309"/>
      <c r="F52" s="309"/>
      <c r="G52" s="311"/>
    </row>
    <row r="55" spans="1:7" ht="15">
      <c r="B55" s="313" t="s">
        <v>2420</v>
      </c>
      <c r="C55" s="314"/>
    </row>
    <row r="56" spans="1:7">
      <c r="B56" s="316" t="s">
        <v>1508</v>
      </c>
      <c r="C56" s="318">
        <f ca="1">1-C57</f>
        <v>0.17100000000000004</v>
      </c>
    </row>
    <row r="57" spans="1:7">
      <c r="B57" s="316" t="s">
        <v>1509</v>
      </c>
      <c r="C57" s="317">
        <f ca="1">ROUND(C51/C52,3)</f>
        <v>0.82899999999999996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3" sqref="E3"/>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2452</v>
      </c>
      <c r="B1" s="1580"/>
      <c r="C1" s="1581"/>
      <c r="D1" s="1579"/>
      <c r="E1" s="319"/>
      <c r="F1" s="319"/>
      <c r="G1" s="1580"/>
      <c r="H1" s="319"/>
      <c r="I1" s="319"/>
      <c r="J1" s="319"/>
      <c r="K1" s="319">
        <f>MATCH(C1,'数据-取费表'!A6:A16,0)+5</f>
        <v>7</v>
      </c>
    </row>
    <row r="2" spans="1:33" ht="18" customHeight="1">
      <c r="A2" s="244" t="s">
        <v>2320</v>
      </c>
      <c r="B2" s="247">
        <f ca="1">C32</f>
        <v>0</v>
      </c>
      <c r="C2" s="319" t="s">
        <v>2453</v>
      </c>
      <c r="D2" s="319"/>
      <c r="E2" s="319"/>
      <c r="F2" s="319"/>
      <c r="G2" s="319"/>
      <c r="H2" s="319"/>
      <c r="I2" s="319"/>
      <c r="J2" s="319"/>
      <c r="K2" s="319"/>
    </row>
    <row r="3" spans="1:33" ht="18" customHeight="1" thickBot="1">
      <c r="A3" s="246" t="s">
        <v>2322</v>
      </c>
      <c r="B3" s="247">
        <f ca="1">ROUND(B2*10000/IF(C1="",'数据-汇总表'!E3,INDIRECT("'数据-取费表'!K"&amp;$K$1)),0)</f>
        <v>0</v>
      </c>
      <c r="C3" s="319" t="s">
        <v>2454</v>
      </c>
      <c r="D3" s="319"/>
      <c r="E3" s="319"/>
      <c r="F3" s="319"/>
      <c r="G3" s="319"/>
      <c r="H3" s="319"/>
      <c r="I3" s="319"/>
      <c r="J3" s="319"/>
      <c r="K3" s="319"/>
    </row>
    <row r="4" spans="1:33" s="955" customFormat="1" ht="16.5" customHeight="1">
      <c r="A4" s="952" t="s">
        <v>2455</v>
      </c>
      <c r="B4" s="953"/>
      <c r="C4" s="995">
        <f>SUM(C8:K8)</f>
        <v>0</v>
      </c>
      <c r="D4" s="953"/>
      <c r="E4" s="953"/>
      <c r="F4" s="953"/>
      <c r="G4" s="953"/>
      <c r="H4" s="953"/>
      <c r="I4" s="953"/>
      <c r="J4" s="953"/>
      <c r="K4" s="954"/>
    </row>
    <row r="5" spans="1:33" s="959" customFormat="1" ht="25.2">
      <c r="A5" s="956" t="s">
        <v>2456</v>
      </c>
      <c r="B5" s="957" t="s">
        <v>2457</v>
      </c>
      <c r="C5" s="2553" t="s">
        <v>2458</v>
      </c>
      <c r="D5" s="2553" t="s">
        <v>2459</v>
      </c>
      <c r="E5" s="2553" t="s">
        <v>2460</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2461</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2462</v>
      </c>
      <c r="B7" s="139" t="s">
        <v>2463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2464</v>
      </c>
      <c r="B8" s="176" t="s">
        <v>2465</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2466</v>
      </c>
      <c r="B9" s="953"/>
      <c r="C9" s="953"/>
      <c r="D9" s="953"/>
      <c r="E9" s="953"/>
      <c r="F9" s="953"/>
      <c r="G9" s="953"/>
      <c r="H9" s="953"/>
      <c r="I9" s="953"/>
      <c r="J9" s="953"/>
      <c r="K9" s="954"/>
    </row>
    <row r="10" spans="1:33" s="969" customFormat="1" ht="13.5" customHeight="1">
      <c r="A10" s="956" t="s">
        <v>2467</v>
      </c>
      <c r="B10" s="8" t="s">
        <v>2468</v>
      </c>
      <c r="C10" s="965" t="s">
        <v>2469</v>
      </c>
      <c r="D10" s="966" t="s">
        <v>2470</v>
      </c>
      <c r="E10" s="966" t="s">
        <v>2471</v>
      </c>
      <c r="F10" s="966" t="s">
        <v>2472</v>
      </c>
      <c r="G10" s="8"/>
      <c r="H10" s="967"/>
      <c r="I10" s="967"/>
      <c r="J10" s="967"/>
      <c r="K10" s="968"/>
    </row>
    <row r="11" spans="1:33" s="974" customFormat="1" ht="13.5" customHeight="1">
      <c r="A11" s="970" t="s">
        <v>1330</v>
      </c>
      <c r="B11" s="971" t="s">
        <v>2473</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2474</v>
      </c>
      <c r="C12" s="24">
        <f ca="1">ROUND(C11*F12,0)</f>
        <v>0</v>
      </c>
      <c r="D12" s="972"/>
      <c r="E12" s="374"/>
      <c r="F12" s="975">
        <f>'数据-取费表'!B33</f>
        <v>0.03</v>
      </c>
      <c r="G12" s="8" t="s">
        <v>2475</v>
      </c>
      <c r="H12" s="967"/>
      <c r="I12" s="967"/>
      <c r="J12" s="967"/>
      <c r="K12" s="968"/>
    </row>
    <row r="13" spans="1:33" s="974" customFormat="1" ht="13.5" customHeight="1">
      <c r="A13" s="970" t="s">
        <v>1332</v>
      </c>
      <c r="B13" s="971" t="s">
        <v>2476</v>
      </c>
      <c r="C13" s="24">
        <f ca="1">ROUND(IF(C1="",SUMIF('数据-取费表'!C:C,"住宅",'数据-取费表'!P:P)*F13,IF(INDIRECT("'数据-取费表'!c"&amp;$K$1)="住宅",INDIRECT("'数据-取费表'!P"&amp;$K$1)*F13,0)),0)</f>
        <v>0</v>
      </c>
      <c r="D13" s="1032"/>
      <c r="E13" s="374"/>
      <c r="F13" s="975">
        <f>'数据-取费表'!B34</f>
        <v>0</v>
      </c>
      <c r="G13" s="8" t="s">
        <v>2477</v>
      </c>
      <c r="H13" s="967"/>
      <c r="I13" s="967"/>
      <c r="J13" s="967"/>
      <c r="K13" s="968"/>
    </row>
    <row r="14" spans="1:33" s="976" customFormat="1" ht="13.5" customHeight="1">
      <c r="A14" s="970" t="s">
        <v>1333</v>
      </c>
      <c r="B14" s="971" t="s">
        <v>2478</v>
      </c>
      <c r="C14" s="24">
        <f ca="1">ROUND(D14*E14*F11/10000,0)</f>
        <v>0</v>
      </c>
      <c r="D14" s="1032">
        <f ca="1">IF(C1="",'数据-汇总表'!E3,INDIRECT("'数据-取费表'!K"&amp;$K$1)+INDIRECT("'数据-取费表'!S"&amp;$K$1))</f>
        <v>1106.44</v>
      </c>
      <c r="E14" s="24">
        <f>'数据-取费表'!B35</f>
        <v>200</v>
      </c>
      <c r="F14" s="975"/>
      <c r="G14" s="8" t="s">
        <v>2479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2480</v>
      </c>
      <c r="C15" s="982">
        <f ca="1">ROUND(C11*F15,0)</f>
        <v>0</v>
      </c>
      <c r="D15" s="977"/>
      <c r="E15" s="982"/>
      <c r="F15" s="983">
        <f>'数据-取费表'!B36</f>
        <v>1.4999999999999999E-2</v>
      </c>
      <c r="G15" s="139" t="s">
        <v>2481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2482</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2483</v>
      </c>
      <c r="C17" s="24">
        <f ca="1">ROUND(D17*E17/10000,0)</f>
        <v>0</v>
      </c>
      <c r="D17" s="1032">
        <f ca="1">D14</f>
        <v>1106.44</v>
      </c>
      <c r="E17" s="24">
        <f>'数据-取费表'!B32</f>
        <v>0</v>
      </c>
      <c r="F17" s="977"/>
      <c r="G17" s="139" t="s">
        <v>2484</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2485</v>
      </c>
      <c r="C18" s="24">
        <f ca="1">C19+C20-IF(C1="",'数据-取费表'!B29,IF(G18="已全部缴纳",C19+C20,H18))</f>
        <v>0</v>
      </c>
      <c r="D18" s="1032"/>
      <c r="E18" s="24"/>
      <c r="F18" s="975"/>
      <c r="G18" s="2555"/>
      <c r="H18" s="1576"/>
      <c r="I18" s="2556" t="s">
        <v>2486</v>
      </c>
      <c r="J18" s="978"/>
      <c r="K18" s="979"/>
    </row>
    <row r="19" spans="1:33" s="974" customFormat="1" ht="13.5" customHeight="1">
      <c r="A19" s="970" t="s">
        <v>805</v>
      </c>
      <c r="B19" s="971" t="s">
        <v>2487</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2488</v>
      </c>
      <c r="C20" s="24">
        <f ca="1">ROUND(D20*E20/10000,0)</f>
        <v>21</v>
      </c>
      <c r="D20" s="1032">
        <f ca="1">IF(C1="",'数据-汇总表'!E6,IF(INDIRECT("'数据-取费表'!c"&amp;$K$1)="住宅",INDIRECT("'数据-取费表'!s"&amp;$K$1),INDIRECT("'数据-取费表'!k"&amp;$K$1)+INDIRECT("'数据-取费表'!s"&amp;$K$1)))</f>
        <v>1106.44</v>
      </c>
      <c r="E20" s="24">
        <f>'数据-取费表'!B28</f>
        <v>190</v>
      </c>
      <c r="F20" s="975"/>
      <c r="G20" s="15"/>
      <c r="H20" s="980"/>
      <c r="I20" s="980"/>
      <c r="J20" s="980"/>
      <c r="K20" s="981"/>
    </row>
    <row r="21" spans="1:33" s="974" customFormat="1" ht="13.5" customHeight="1">
      <c r="A21" s="960" t="s">
        <v>802</v>
      </c>
      <c r="B21" s="984" t="s">
        <v>2489</v>
      </c>
      <c r="C21" s="985">
        <f ca="1">C16+C17+C18</f>
        <v>0</v>
      </c>
      <c r="D21" s="986"/>
      <c r="E21" s="324"/>
      <c r="F21" s="324"/>
      <c r="G21" s="139" t="s">
        <v>2490</v>
      </c>
      <c r="H21" s="978"/>
      <c r="I21" s="978"/>
      <c r="J21" s="978"/>
      <c r="K21" s="979"/>
    </row>
    <row r="22" spans="1:33" s="974" customFormat="1" ht="13.5" customHeight="1">
      <c r="A22" s="960" t="s">
        <v>2462</v>
      </c>
      <c r="B22" s="984" t="s">
        <v>2491</v>
      </c>
      <c r="C22" s="985">
        <f ca="1">ROUND(C21*F22,0)</f>
        <v>0</v>
      </c>
      <c r="D22" s="324"/>
      <c r="E22" s="324"/>
      <c r="F22" s="987">
        <f>'数据-取费表'!B37</f>
        <v>0.02</v>
      </c>
      <c r="G22" s="8" t="s">
        <v>2492</v>
      </c>
      <c r="H22" s="967"/>
      <c r="I22" s="967"/>
      <c r="J22" s="967"/>
      <c r="K22" s="968"/>
    </row>
    <row r="23" spans="1:33" s="974" customFormat="1" ht="13.5" customHeight="1">
      <c r="A23" s="960" t="s">
        <v>2464</v>
      </c>
      <c r="B23" s="984" t="s">
        <v>2493</v>
      </c>
      <c r="C23" s="985">
        <f ca="1">ROUND(C4*F23*F11,0)</f>
        <v>0</v>
      </c>
      <c r="D23" s="324"/>
      <c r="E23" s="324"/>
      <c r="F23" s="987">
        <f>'数据-取费表'!B38</f>
        <v>0.01</v>
      </c>
      <c r="G23" s="8" t="s">
        <v>2494</v>
      </c>
      <c r="H23" s="967"/>
      <c r="I23" s="967"/>
      <c r="J23" s="967"/>
      <c r="K23" s="968"/>
    </row>
    <row r="24" spans="1:33" s="974" customFormat="1" ht="13.5" customHeight="1">
      <c r="A24" s="960" t="s">
        <v>2495</v>
      </c>
      <c r="B24" s="984" t="s">
        <v>2496</v>
      </c>
      <c r="C24" s="323">
        <f>ROUND(F24/(1+'数据-取费表'!C42),4)</f>
        <v>2.9000000000000001E-2</v>
      </c>
      <c r="D24" s="324" t="s">
        <v>15</v>
      </c>
      <c r="E24" s="324"/>
      <c r="F24" s="987">
        <f>IF(项目基本情况!B8="出让",0,'数据-取费表'!B48+'数据-取费表'!B49)</f>
        <v>3.0499999999999999E-2</v>
      </c>
      <c r="G24" s="8" t="s">
        <v>2497</v>
      </c>
      <c r="H24" s="989"/>
      <c r="I24" s="989"/>
      <c r="J24" s="989"/>
      <c r="K24" s="990"/>
    </row>
    <row r="25" spans="1:33" s="974" customFormat="1" ht="13.5" customHeight="1">
      <c r="A25" s="960" t="s">
        <v>2498</v>
      </c>
      <c r="B25" s="986" t="s">
        <v>2499</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2500</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2501</v>
      </c>
      <c r="C27" s="1357">
        <f ca="1">ROUND(IF('数据-取费表'!B22&lt;=1,(C21+C22+C23)*F25*'数据-取费表'!B24/2,(C21+C22+C23)*(POWER((1+F25),'数据-取费表'!B24/2)-1)),0)</f>
        <v>0</v>
      </c>
      <c r="D27" s="327"/>
      <c r="E27" s="328"/>
      <c r="F27" s="329"/>
      <c r="G27" s="2557" t="str">
        <f>IF('数据-取费表'!B22&lt;=1,"（1）-（3）项×年利率×建设期÷2","（1）-（3）项×((1+年利率)^(建设期÷2)-1)")</f>
        <v>（1）-（3）项×年利率×建设期÷2</v>
      </c>
      <c r="H27" s="978"/>
      <c r="I27" s="978"/>
      <c r="J27" s="978"/>
      <c r="K27" s="979"/>
    </row>
    <row r="28" spans="1:33" s="332" customFormat="1" ht="13.5" customHeight="1">
      <c r="A28" s="960" t="s">
        <v>2502</v>
      </c>
      <c r="B28" s="2558" t="s">
        <v>2503</v>
      </c>
      <c r="C28" s="330">
        <f ca="1">C30</f>
        <v>0</v>
      </c>
      <c r="D28" s="323">
        <f ca="1">C29</f>
        <v>0</v>
      </c>
      <c r="E28" s="325" t="s">
        <v>15</v>
      </c>
      <c r="F28" s="331">
        <f ca="1">IF(C1="",'数据-取费表'!Q16,INDIRECT("'数据-取费表'!q"&amp;$K$1))</f>
        <v>0.05</v>
      </c>
      <c r="G28" s="988"/>
      <c r="H28" s="989"/>
      <c r="I28" s="989"/>
      <c r="J28" s="989"/>
      <c r="K28" s="990"/>
    </row>
    <row r="29" spans="1:33" s="334" customFormat="1" ht="13.5" customHeight="1">
      <c r="A29" s="970" t="s">
        <v>803</v>
      </c>
      <c r="B29" s="993" t="s">
        <v>2504</v>
      </c>
      <c r="C29" s="327">
        <f ca="1">ROUND((1+C24)*F28*'数据-取费表'!B24/'数据-取费表'!B20,4)</f>
        <v>0</v>
      </c>
      <c r="D29" s="327"/>
      <c r="E29" s="328"/>
      <c r="F29" s="333"/>
      <c r="G29" s="139" t="s">
        <v>2505</v>
      </c>
      <c r="H29" s="978"/>
      <c r="I29" s="978"/>
      <c r="J29" s="978"/>
      <c r="K29" s="979"/>
    </row>
    <row r="30" spans="1:33" s="334" customFormat="1" ht="13.5" customHeight="1">
      <c r="A30" s="970" t="s">
        <v>804</v>
      </c>
      <c r="B30" s="993" t="s">
        <v>2506</v>
      </c>
      <c r="C30" s="335">
        <f ca="1">ROUND((C21+C22+C23)*F28,0)</f>
        <v>0</v>
      </c>
      <c r="D30" s="327"/>
      <c r="E30" s="328"/>
      <c r="F30" s="333"/>
      <c r="G30" s="139"/>
      <c r="H30" s="978"/>
      <c r="I30" s="978"/>
      <c r="J30" s="978"/>
      <c r="K30" s="979"/>
    </row>
    <row r="31" spans="1:33" s="974" customFormat="1" ht="13.5" customHeight="1" thickBot="1">
      <c r="A31" s="2559" t="s">
        <v>2507</v>
      </c>
      <c r="B31" s="1004" t="s">
        <v>2508</v>
      </c>
      <c r="C31" s="1005">
        <f>ROUND(C4*F31/(1+'数据-取费表'!C42),0)</f>
        <v>0</v>
      </c>
      <c r="D31" s="1006"/>
      <c r="E31" s="1007"/>
      <c r="F31" s="1008">
        <f>'数据-取费表'!B41</f>
        <v>5.5000000000000007E-2</v>
      </c>
      <c r="G31" s="1009" t="s">
        <v>2509</v>
      </c>
      <c r="H31" s="1010"/>
      <c r="I31" s="1010"/>
      <c r="J31" s="1010"/>
      <c r="K31" s="1011"/>
    </row>
    <row r="32" spans="1:33" s="969" customFormat="1" ht="13.5" customHeight="1" thickBot="1">
      <c r="A32" s="999" t="s">
        <v>2510</v>
      </c>
      <c r="B32" s="1000"/>
      <c r="C32" s="1001">
        <f ca="1">ROUND((C4-C21-C22-C23-C25-C28-C31)/(1+C24+D25+D28),0)</f>
        <v>0</v>
      </c>
      <c r="D32" s="1000"/>
      <c r="E32" s="1000"/>
      <c r="F32" s="1000"/>
      <c r="G32" s="1002" t="s">
        <v>2511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38" sqref="D38"/>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4"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t="s">
        <v>6</v>
      </c>
      <c r="D1" s="1819" t="s">
        <v>70</v>
      </c>
      <c r="E1" s="1820" t="s">
        <v>1382</v>
      </c>
      <c r="F1" s="1282">
        <f ca="1">J53</f>
        <v>35.9</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1172</v>
      </c>
      <c r="C2" s="1844" t="s">
        <v>1511</v>
      </c>
      <c r="D2" s="1844"/>
      <c r="E2" s="1845"/>
      <c r="F2" s="1846"/>
      <c r="G2" s="1847"/>
      <c r="H2" s="1839"/>
      <c r="I2" s="1839"/>
      <c r="J2" s="1839"/>
      <c r="K2" s="1840"/>
      <c r="L2" s="1839"/>
      <c r="M2" s="1839"/>
    </row>
    <row r="3" spans="1:37" ht="18" customHeight="1" thickBot="1">
      <c r="A3" s="1848" t="s">
        <v>1512</v>
      </c>
      <c r="B3" s="1849">
        <f ca="1">IF(ISERROR(B2*10000/F43),0,ROUND(B2*10000/F43,0))</f>
        <v>10593</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61.5</v>
      </c>
      <c r="D5" s="1821" t="s">
        <v>1397</v>
      </c>
      <c r="E5" s="1292"/>
      <c r="F5" s="1293"/>
      <c r="G5" s="1850"/>
      <c r="H5" s="343">
        <v>1</v>
      </c>
      <c r="I5" s="344" t="s">
        <v>1396</v>
      </c>
      <c r="J5" s="1291">
        <f ca="1">J6+J10+J12</f>
        <v>0</v>
      </c>
      <c r="K5" s="1821" t="s">
        <v>1397</v>
      </c>
      <c r="L5" s="1292"/>
      <c r="M5" s="1293"/>
    </row>
    <row r="6" spans="1:37" ht="18" customHeight="1">
      <c r="A6" s="1290" t="s">
        <v>1032</v>
      </c>
      <c r="B6" s="3164" t="s">
        <v>1398</v>
      </c>
      <c r="C6" s="1295">
        <f ca="1">ROUND(F6*F8*F7*(1-F9)/10000,1)</f>
        <v>61.4</v>
      </c>
      <c r="D6" s="163" t="s">
        <v>3023</v>
      </c>
      <c r="E6" s="346" t="s">
        <v>1400</v>
      </c>
      <c r="F6" s="2963">
        <f ca="1">INDIRECT("'数据-取费表'!u"&amp;$G$1)</f>
        <v>1.6</v>
      </c>
      <c r="G6" s="1850"/>
      <c r="H6" s="1290" t="s">
        <v>1032</v>
      </c>
      <c r="I6" s="3164" t="s">
        <v>1398</v>
      </c>
      <c r="J6" s="345">
        <f ca="1">ROUND(M6*M8*M7*(1-M9)/10000,0)</f>
        <v>0</v>
      </c>
      <c r="K6" s="163" t="s">
        <v>3022</v>
      </c>
      <c r="L6" s="346" t="s">
        <v>1400</v>
      </c>
      <c r="M6" s="347">
        <f ca="1">INDIRECT("'数据-取费表'!z"&amp;$G$1)</f>
        <v>0</v>
      </c>
    </row>
    <row r="7" spans="1:37" ht="18" customHeight="1">
      <c r="A7" s="1294"/>
      <c r="B7" s="3165"/>
      <c r="C7" s="1296"/>
      <c r="D7" s="351"/>
      <c r="E7" s="1297" t="s">
        <v>1401</v>
      </c>
      <c r="F7" s="347">
        <f ca="1">IF(INDIRECT("'数据-取费表'!ah"&amp;$G$1)="",INDIRECT("'数据-取费表'!k"&amp;$G$1),INDIRECT("'数据-取费表'!ah"&amp;$G$1))</f>
        <v>1106.44</v>
      </c>
      <c r="G7" s="1850"/>
      <c r="H7" s="348"/>
      <c r="I7" s="3165"/>
      <c r="J7" s="350"/>
      <c r="K7" s="351"/>
      <c r="L7" s="346" t="s">
        <v>1401</v>
      </c>
      <c r="M7" s="347">
        <f ca="1">F7</f>
        <v>1106.44</v>
      </c>
    </row>
    <row r="8" spans="1:37" ht="18" customHeight="1">
      <c r="A8" s="348"/>
      <c r="B8" s="3165"/>
      <c r="C8" s="350"/>
      <c r="D8" s="351"/>
      <c r="E8" s="346" t="s">
        <v>1402</v>
      </c>
      <c r="F8" s="347">
        <f ca="1">INDIRECT("'数据-取费表'!ai"&amp;$G$1)</f>
        <v>365</v>
      </c>
      <c r="G8" s="1850"/>
      <c r="H8" s="348"/>
      <c r="I8" s="3165"/>
      <c r="J8" s="350"/>
      <c r="K8" s="351"/>
      <c r="L8" s="346" t="s">
        <v>1402</v>
      </c>
      <c r="M8" s="347">
        <f ca="1">INDIRECT("'数据-取费表'!ai"&amp;$G$1)</f>
        <v>365</v>
      </c>
    </row>
    <row r="9" spans="1:37" ht="18" customHeight="1">
      <c r="A9" s="348"/>
      <c r="B9" s="3166"/>
      <c r="C9" s="350"/>
      <c r="D9" s="351"/>
      <c r="E9" s="346" t="s">
        <v>1403</v>
      </c>
      <c r="F9" s="356">
        <f ca="1">INDIRECT("'数据-取费表'!w"&amp;$G$1)</f>
        <v>0.05</v>
      </c>
      <c r="G9" s="1850"/>
      <c r="H9" s="348"/>
      <c r="I9" s="3166"/>
      <c r="J9" s="350"/>
      <c r="K9" s="351"/>
      <c r="L9" s="357" t="s">
        <v>1403</v>
      </c>
      <c r="M9" s="358">
        <f ca="1">INDIRECT("'数据-取费表'!ab"&amp;$G$1)</f>
        <v>0</v>
      </c>
    </row>
    <row r="10" spans="1:37" ht="18" customHeight="1">
      <c r="A10" s="1290" t="s">
        <v>1036</v>
      </c>
      <c r="B10" s="1822" t="s">
        <v>1404</v>
      </c>
      <c r="C10" s="360">
        <f ca="1">ROUND(IF(F10="押一",C6/12*F11,IF(F10="押二",C6/12*2*F11,IF(F10="押三",C6/12*3*F11,C11*F11))),1)</f>
        <v>0.1</v>
      </c>
      <c r="D10" s="1823" t="s">
        <v>3032</v>
      </c>
      <c r="E10" s="357" t="s">
        <v>1405</v>
      </c>
      <c r="F10" s="1365" t="s">
        <v>3077</v>
      </c>
      <c r="G10" s="1850"/>
      <c r="H10" s="1290" t="s">
        <v>1036</v>
      </c>
      <c r="I10" s="1822" t="s">
        <v>1404</v>
      </c>
      <c r="J10" s="345">
        <f ca="1">ROUND(IF(M10="押一",J6/12*M11,IF(M10="押二",J6/12*2*M11,IF(M10="押三",J6/12*3*M11,J11*M11))),0)</f>
        <v>0</v>
      </c>
      <c r="K10" s="1823" t="s">
        <v>3031</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244</v>
      </c>
      <c r="D13" s="1330" t="s">
        <v>1410</v>
      </c>
      <c r="E13" s="1330" t="s">
        <v>1411</v>
      </c>
      <c r="F13" s="1331">
        <f ca="1">INDIRECT("'数据-取费表'!y"&amp;$G$1)</f>
        <v>0.76500000000000001</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243</v>
      </c>
      <c r="D14" s="1799" t="s">
        <v>1413</v>
      </c>
      <c r="E14" s="1793"/>
      <c r="F14" s="363"/>
      <c r="G14" s="1850"/>
      <c r="H14" s="1200" t="s">
        <v>1032</v>
      </c>
      <c r="I14" s="346" t="s">
        <v>1414</v>
      </c>
      <c r="J14" s="24">
        <f ca="1">C29</f>
        <v>319</v>
      </c>
      <c r="K14" s="15"/>
      <c r="L14" s="978"/>
      <c r="M14" s="979"/>
    </row>
    <row r="15" spans="1:37" s="1857" customFormat="1" ht="18" customHeight="1" thickBot="1">
      <c r="A15" s="1200" t="s">
        <v>1033</v>
      </c>
      <c r="B15" s="346" t="s">
        <v>1415</v>
      </c>
      <c r="C15" s="24">
        <f ca="1">ROUND(C14*F15,0)</f>
        <v>7</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6</v>
      </c>
      <c r="K16" s="1336" t="s">
        <v>1420</v>
      </c>
      <c r="L16" s="1337"/>
      <c r="M16" s="1293"/>
    </row>
    <row r="17" spans="1:37" s="1857" customFormat="1" ht="18" customHeight="1">
      <c r="A17" s="1200" t="s">
        <v>1385</v>
      </c>
      <c r="B17" s="346" t="s">
        <v>1421</v>
      </c>
      <c r="C17" s="24">
        <f ca="1">ROUND(F17*(F43+INDIRECT("'数据-取费表'!S"&amp;$G$1))/10000,0)</f>
        <v>22</v>
      </c>
      <c r="D17" s="346" t="s">
        <v>1422</v>
      </c>
      <c r="E17" s="346" t="s">
        <v>1423</v>
      </c>
      <c r="F17" s="26">
        <f>'数据-取费表'!B35</f>
        <v>200</v>
      </c>
      <c r="G17" s="1853"/>
      <c r="H17" s="1200" t="s">
        <v>1032</v>
      </c>
      <c r="I17" s="346" t="s">
        <v>1424</v>
      </c>
      <c r="J17" s="24">
        <f ca="1">ROUND(IF(项目基本情况!B11="自然人",J5*M17,J18+J19+J20),1)</f>
        <v>3.9</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4</v>
      </c>
      <c r="D18" s="346" t="s">
        <v>1416</v>
      </c>
      <c r="E18" s="346" t="s">
        <v>1417</v>
      </c>
      <c r="F18" s="366">
        <f>'数据-取费表'!B36</f>
        <v>1.4999999999999999E-2</v>
      </c>
      <c r="G18" s="1853"/>
      <c r="H18" s="1200" t="s">
        <v>1031</v>
      </c>
      <c r="I18" s="346" t="s">
        <v>1428</v>
      </c>
      <c r="J18" s="24">
        <f ca="1">ROUND(J5*M18/(1+'数据-取费表'!C42),2)</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276</v>
      </c>
      <c r="D19" s="139" t="s">
        <v>1431</v>
      </c>
      <c r="E19" s="1817"/>
      <c r="F19" s="26"/>
      <c r="G19" s="1850"/>
      <c r="H19" s="1200" t="s">
        <v>1033</v>
      </c>
      <c r="I19" s="346" t="s">
        <v>1432</v>
      </c>
      <c r="J19" s="24">
        <f ca="1">IF(K19="按租金收入计税",ROUND(J5*M19,2),ROUND(C29*M19*0.7,2))</f>
        <v>2.68</v>
      </c>
      <c r="K19" s="1827" t="s">
        <v>1433</v>
      </c>
      <c r="L19" s="346" t="s">
        <v>1417</v>
      </c>
      <c r="M19" s="366">
        <f>IF(K19="按租金收入计税",'数据-取费表'!B51,'数据-取费表'!B50)</f>
        <v>1.2E-2</v>
      </c>
    </row>
    <row r="20" spans="1:37" s="1857" customFormat="1" ht="18" customHeight="1">
      <c r="A20" s="1200" t="s">
        <v>1036</v>
      </c>
      <c r="B20" s="346" t="s">
        <v>1434</v>
      </c>
      <c r="C20" s="24">
        <f ca="1">ROUND(C19*F20,0)</f>
        <v>6</v>
      </c>
      <c r="D20" s="368" t="s">
        <v>1435</v>
      </c>
      <c r="E20" s="346" t="s">
        <v>1417</v>
      </c>
      <c r="F20" s="366">
        <f>'数据-取费表'!B37</f>
        <v>0.02</v>
      </c>
      <c r="G20" s="1853"/>
      <c r="H20" s="1200" t="s">
        <v>1384</v>
      </c>
      <c r="I20" s="163" t="s">
        <v>1436</v>
      </c>
      <c r="J20" s="25">
        <f ca="1">ROUND(M20*M21/10000,2)</f>
        <v>1.2</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0.01</v>
      </c>
      <c r="G21" s="1853"/>
      <c r="H21" s="371"/>
      <c r="I21" s="355"/>
      <c r="J21" s="29"/>
      <c r="K21" s="372"/>
      <c r="L21" s="346" t="s">
        <v>1442</v>
      </c>
      <c r="M21" s="347">
        <f ca="1">INDIRECT("'数据-取费表'!r"&amp;$G$1)</f>
        <v>8001.46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ROUND(J14*M22,1)</f>
        <v>1.9</v>
      </c>
      <c r="K22" s="1797" t="s">
        <v>1445</v>
      </c>
      <c r="L22" s="346" t="s">
        <v>1417</v>
      </c>
      <c r="M22" s="373">
        <f ca="1">INDIRECT("'数据-取费表'!Ak"&amp;$G$1)</f>
        <v>6.0000000000000001E-3</v>
      </c>
    </row>
    <row r="23" spans="1:37" s="1857" customFormat="1" ht="18" customHeight="1">
      <c r="A23" s="1200" t="s">
        <v>1031</v>
      </c>
      <c r="B23" s="346" t="s">
        <v>1446</v>
      </c>
      <c r="C23" s="24">
        <f ca="1">IF('数据-取费表'!B22&lt;=1,ROUND(C19*F24*F23/2,0)+ROUND(C20*F24*F23/2,0),ROUND(C19*(POWER((1+F24),F23/2)-1),0)+ROUND(C20*(POWER((1+F24),F23/2)-1),0))</f>
        <v>3</v>
      </c>
      <c r="D23" s="374" t="str">
        <f>IF(F23&lt;=1,"(建造成本+管理费用)×利率×(建设周期÷2)","(建造成本+管理费用)×((1+利率)^(建设周期÷2)-1)")</f>
        <v>(建造成本+管理费用)×利率×(建设周期÷2)</v>
      </c>
      <c r="E23" s="346" t="s">
        <v>1447</v>
      </c>
      <c r="F23" s="370">
        <f>'数据-取费表'!B20</f>
        <v>0.5</v>
      </c>
      <c r="G23" s="1853"/>
      <c r="H23" s="1200" t="s">
        <v>1072</v>
      </c>
      <c r="I23" s="346" t="s">
        <v>1448</v>
      </c>
      <c r="J23" s="24">
        <f ca="1">ROUND(J13*M23,1)</f>
        <v>0</v>
      </c>
      <c r="K23" s="1797" t="s">
        <v>1449</v>
      </c>
      <c r="L23" s="346" t="s">
        <v>1450</v>
      </c>
      <c r="M23" s="375">
        <f ca="1">INDIRECT("'数据-取费表'!Al"&amp;$G$1)</f>
        <v>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ROUND(J5*M24,1)</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-6</v>
      </c>
      <c r="K25" s="1344" t="s">
        <v>1459</v>
      </c>
      <c r="L25" s="1345"/>
      <c r="M25" s="1346"/>
    </row>
    <row r="26" spans="1:37">
      <c r="A26" s="1200" t="s">
        <v>1031</v>
      </c>
      <c r="B26" s="346" t="s">
        <v>1460</v>
      </c>
      <c r="C26" s="24">
        <f ca="1">ROUND((C19+C20)*F26,0)</f>
        <v>14</v>
      </c>
      <c r="D26" s="368" t="s">
        <v>1461</v>
      </c>
      <c r="E26" s="357" t="s">
        <v>1462</v>
      </c>
      <c r="F26" s="356">
        <f ca="1">INDIRECT("'数据-取费表'!q"&amp;$G$1)</f>
        <v>0.05</v>
      </c>
      <c r="G26" s="1850"/>
      <c r="H26" s="343" t="s">
        <v>1029</v>
      </c>
      <c r="I26" s="344" t="s">
        <v>1463</v>
      </c>
      <c r="J26" s="345">
        <f ca="1">IF(J5&lt;&gt;0,ROUND(J25*(1-((1+M28)/(1+M26))^M27)/(M26-M28),0),0)</f>
        <v>0</v>
      </c>
      <c r="K26" s="369" t="s">
        <v>1464</v>
      </c>
      <c r="L26" s="346" t="s">
        <v>1465</v>
      </c>
      <c r="M26" s="356">
        <f ca="1">INDIRECT("'数据-取费表'!I"&amp;$G$1)</f>
        <v>0.05</v>
      </c>
    </row>
    <row r="27" spans="1:37" ht="18" customHeight="1">
      <c r="A27" s="1200" t="s">
        <v>1033</v>
      </c>
      <c r="B27" s="346" t="s">
        <v>1466</v>
      </c>
      <c r="C27" s="24">
        <f ca="1">ROUND(F21*F26,4)</f>
        <v>5.0000000000000001E-4</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319</v>
      </c>
      <c r="D29" s="1341"/>
      <c r="E29" s="1339"/>
      <c r="F29" s="1342"/>
      <c r="G29" s="1853"/>
      <c r="H29" s="379" t="s">
        <v>1030</v>
      </c>
      <c r="I29" s="380" t="s">
        <v>1474</v>
      </c>
      <c r="J29" s="381">
        <f ca="1">ROUND(J26/(1+F40)^F41,0)</f>
        <v>0</v>
      </c>
      <c r="K29" s="382" t="s">
        <v>1475</v>
      </c>
      <c r="L29" s="383"/>
      <c r="M29" s="384">
        <f ca="1">INDIRECT("'数据-取费表'!k"&amp;$G$1)</f>
        <v>1106.44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ROUND(C31+C36+C37+C38,1)</f>
        <v>14.5</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ROUND(IF(项目基本情况!B11="自然人",C5*F31,C32+C33+C34),1)</f>
        <v>11.8</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IF(项目基本情况!B11="自然人","——",ROUND(C5*F32/(1+'数据-取费表'!C42),2))</f>
        <v>3.22</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961">
        <f ca="1">IF(项目基本情况!B11="自然人","——",IF(D33="按租金收入计税",ROUND(C5*F33,2),IF(D33="按房产原值计税",ROUND(C29*F33*0.7,2),INDIRECT("'数据-取费表'!Aj"&amp;$G$1))))</f>
        <v>7.38</v>
      </c>
      <c r="D33" s="1827" t="s">
        <v>3078</v>
      </c>
      <c r="E33" s="346" t="s">
        <v>1417</v>
      </c>
      <c r="F33" s="366">
        <f>IF(D33="按票据","——",IF(D33="按租金收入计税",'数据-取费表'!B51,'数据-取费表'!B50))</f>
        <v>0.12</v>
      </c>
      <c r="G33" s="1850"/>
      <c r="H33" s="1858"/>
      <c r="I33" s="1859"/>
      <c r="J33" s="1860"/>
      <c r="K33" s="1861"/>
      <c r="L33" s="1858"/>
      <c r="M33" s="1858"/>
    </row>
    <row r="34" spans="1:18" ht="18" customHeight="1">
      <c r="A34" s="1290" t="s">
        <v>1384</v>
      </c>
      <c r="B34" s="163" t="s">
        <v>1436</v>
      </c>
      <c r="C34" s="25">
        <f ca="1">IF(项目基本情况!B11="自然人","——",ROUND(F34*F35/10000,2))</f>
        <v>1.2</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8001.46</v>
      </c>
      <c r="G35" s="1850"/>
      <c r="H35" s="744"/>
      <c r="I35" s="1859"/>
      <c r="J35" s="1860"/>
      <c r="K35" s="1861"/>
      <c r="L35" s="1858"/>
      <c r="M35" s="1858"/>
    </row>
    <row r="36" spans="1:18" ht="18" customHeight="1">
      <c r="A36" s="1351" t="s">
        <v>1036</v>
      </c>
      <c r="B36" s="346" t="s">
        <v>1444</v>
      </c>
      <c r="C36" s="24">
        <f ca="1">ROUND(C29*F36,1)</f>
        <v>1.9</v>
      </c>
      <c r="D36" s="1797" t="s">
        <v>1477</v>
      </c>
      <c r="E36" s="346" t="s">
        <v>1417</v>
      </c>
      <c r="F36" s="373">
        <f ca="1">INDIRECT("'数据-取费表'!Ak"&amp;$G$1)</f>
        <v>6.0000000000000001E-3</v>
      </c>
      <c r="G36" s="1850"/>
      <c r="H36" s="1858"/>
      <c r="I36" s="1859"/>
      <c r="J36" s="1860"/>
      <c r="K36" s="750"/>
      <c r="L36" s="1858"/>
      <c r="M36" s="1858"/>
    </row>
    <row r="37" spans="1:18" ht="18" customHeight="1">
      <c r="A37" s="1200" t="s">
        <v>1072</v>
      </c>
      <c r="B37" s="346" t="s">
        <v>1448</v>
      </c>
      <c r="C37" s="24">
        <f ca="1">ROUND(C13*F37,1)</f>
        <v>0.2</v>
      </c>
      <c r="D37" s="1797" t="s">
        <v>1449</v>
      </c>
      <c r="E37" s="346" t="s">
        <v>1450</v>
      </c>
      <c r="F37" s="375">
        <f ca="1">INDIRECT("'数据-取费表'!Al"&amp;$G$1)</f>
        <v>1E-3</v>
      </c>
      <c r="G37" s="1850"/>
      <c r="H37" s="1858"/>
      <c r="I37" s="1859"/>
      <c r="J37" s="1860"/>
      <c r="K37" s="750"/>
      <c r="L37" s="1858"/>
      <c r="M37" s="1858"/>
    </row>
    <row r="38" spans="1:18" ht="18" customHeight="1" thickBot="1">
      <c r="A38" s="1338" t="s">
        <v>1388</v>
      </c>
      <c r="B38" s="1339" t="s">
        <v>1434</v>
      </c>
      <c r="C38" s="1340">
        <f ca="1">ROUND(C5*F38,1)</f>
        <v>0.6</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4">
        <f ca="1">C5-C30</f>
        <v>47</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1172</v>
      </c>
      <c r="D40" s="369" t="s">
        <v>1464</v>
      </c>
      <c r="E40" s="346" t="s">
        <v>1465</v>
      </c>
      <c r="F40" s="2962">
        <f ca="1">INDIRECT("'数据-取费表'!I"&amp;$G$1)</f>
        <v>0.05</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35.9</v>
      </c>
      <c r="G41" s="1850"/>
      <c r="H41" s="731"/>
      <c r="I41" s="1859"/>
      <c r="J41" s="1860"/>
      <c r="K41" s="750"/>
      <c r="L41" s="731"/>
      <c r="M41" s="731"/>
    </row>
    <row r="42" spans="1:18" ht="18" customHeight="1">
      <c r="A42" s="352"/>
      <c r="B42" s="353"/>
      <c r="C42" s="354"/>
      <c r="D42" s="372"/>
      <c r="E42" s="346" t="s">
        <v>1472</v>
      </c>
      <c r="F42" s="2962">
        <f ca="1">INDIRECT("'数据-取费表'!v"&amp;$G$1)</f>
        <v>0.03</v>
      </c>
      <c r="G42" s="1850"/>
      <c r="H42" s="731"/>
      <c r="I42" s="1859"/>
      <c r="J42" s="1860"/>
      <c r="K42" s="750"/>
      <c r="L42" s="731"/>
      <c r="M42" s="731"/>
    </row>
    <row r="43" spans="1:18" ht="18" customHeight="1" thickBot="1">
      <c r="A43" s="379" t="s">
        <v>1030</v>
      </c>
      <c r="B43" s="380" t="s">
        <v>1482</v>
      </c>
      <c r="C43" s="381">
        <f ca="1">ROUND(C40*10000/F43,0)</f>
        <v>10593</v>
      </c>
      <c r="D43" s="382" t="s">
        <v>1483</v>
      </c>
      <c r="E43" s="383" t="s">
        <v>1484</v>
      </c>
      <c r="F43" s="384">
        <f ca="1">INDIRECT("'数据-取费表'!k"&amp;$G$1)</f>
        <v>1106.44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f ca="1">C68-C40</f>
        <v>-1222</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t="s">
        <v>3079</v>
      </c>
      <c r="K47" s="1881" t="s">
        <v>1522</v>
      </c>
      <c r="L47" s="1882">
        <f ca="1">INDIRECT("'数据-取费表'!d"&amp;$G$1)</f>
        <v>50</v>
      </c>
      <c r="M47" s="1837" t="str">
        <f>IF(ISNUMBER(FIND("住宅",C1)),"住宅","非住宅")</f>
        <v>非住宅</v>
      </c>
      <c r="O47" s="1883" t="s">
        <v>1037</v>
      </c>
      <c r="P47" s="1884" t="s">
        <v>1523</v>
      </c>
      <c r="Q47" s="1885">
        <f ca="1">C40+J29</f>
        <v>1172</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t="s">
        <v>3080</v>
      </c>
      <c r="K48" s="1888" t="s">
        <v>1526</v>
      </c>
      <c r="L48" s="1889">
        <f ca="1">INDIRECT("'数据-取费表'!f"&amp;$G$1)</f>
        <v>35.9</v>
      </c>
      <c r="O48" s="1883" t="s">
        <v>1038</v>
      </c>
      <c r="P48" s="1884" t="s">
        <v>1527</v>
      </c>
      <c r="Q48" s="1885" t="str">
        <f ca="1">J60</f>
        <v>0</v>
      </c>
      <c r="R48" s="1885" t="s">
        <v>1528</v>
      </c>
    </row>
    <row r="49" spans="1:18" s="1841" customFormat="1" ht="13.8" thickBot="1">
      <c r="A49" s="1193" t="s">
        <v>1133</v>
      </c>
      <c r="B49" s="1828" t="s">
        <v>1485</v>
      </c>
      <c r="C49" s="1363">
        <f ca="1">ROUND(F49*F51*F50*(1-F52)/10000,0)</f>
        <v>0</v>
      </c>
      <c r="D49" s="1275" t="s">
        <v>3024</v>
      </c>
      <c r="E49" s="1829" t="s">
        <v>1486</v>
      </c>
      <c r="F49" s="1280"/>
      <c r="G49" s="1890"/>
      <c r="H49" s="792"/>
      <c r="I49" s="1886" t="s">
        <v>1529</v>
      </c>
      <c r="J49" s="1891">
        <v>2006</v>
      </c>
      <c r="K49" s="1888" t="s">
        <v>1530</v>
      </c>
      <c r="L49" s="1892"/>
      <c r="O49" s="1893" t="s">
        <v>1039</v>
      </c>
      <c r="P49" s="1884" t="s">
        <v>1531</v>
      </c>
      <c r="Q49" s="1885">
        <f ca="1">C29</f>
        <v>319</v>
      </c>
      <c r="R49" s="1885" t="s">
        <v>1524</v>
      </c>
    </row>
    <row r="50" spans="1:18" s="1841" customFormat="1" ht="13.8" thickBot="1">
      <c r="A50" s="1194"/>
      <c r="B50" s="1197"/>
      <c r="C50" s="1367"/>
      <c r="D50" s="1171"/>
      <c r="E50" s="1276" t="s">
        <v>1401</v>
      </c>
      <c r="F50" s="1277">
        <f ca="1">F7</f>
        <v>1106.44</v>
      </c>
      <c r="H50" s="792"/>
      <c r="I50" s="1886" t="s">
        <v>1532</v>
      </c>
      <c r="J50" s="1894">
        <f>SUMPRODUCT((I63:I65=J47)*(J62:L62=J48)*(J63:L65))</f>
        <v>50</v>
      </c>
      <c r="K50" s="1888" t="s">
        <v>1533</v>
      </c>
      <c r="L50" s="1892"/>
      <c r="M50" s="1895"/>
      <c r="O50" s="1893" t="s">
        <v>1040</v>
      </c>
      <c r="P50" s="1884" t="s">
        <v>1534</v>
      </c>
      <c r="Q50" s="1896" t="e">
        <f ca="1">J58</f>
        <v>#VALUE!</v>
      </c>
      <c r="R50" s="1885"/>
    </row>
    <row r="51" spans="1:18" s="1841" customFormat="1" ht="13.8" thickBot="1">
      <c r="A51" s="1195"/>
      <c r="B51" s="1197"/>
      <c r="C51" s="1198"/>
      <c r="D51" s="1171"/>
      <c r="E51" s="1199" t="s">
        <v>1402</v>
      </c>
      <c r="F51" s="347">
        <f ca="1">F8</f>
        <v>365</v>
      </c>
      <c r="I51" s="1897" t="s">
        <v>1535</v>
      </c>
      <c r="J51" s="1898">
        <f>IF(J49="",J50,J49+J50-YEAR('数据-取费表'!B2))</f>
        <v>36</v>
      </c>
      <c r="K51" s="1899" t="s">
        <v>1536</v>
      </c>
      <c r="L51" s="1900">
        <f ca="1">ROUND(-PV(INDIRECT("'数据-取费表'!h"&amp;$G$1),L48,(C39-C13*C76),0),0)</f>
        <v>445</v>
      </c>
      <c r="M51" s="1901"/>
      <c r="O51" s="1893" t="s">
        <v>1041</v>
      </c>
      <c r="P51" s="1884" t="s">
        <v>1537</v>
      </c>
      <c r="Q51" s="1896">
        <f>J52</f>
        <v>0.09</v>
      </c>
      <c r="R51" s="1885"/>
    </row>
    <row r="52" spans="1:18" s="1841" customFormat="1" ht="13.8" thickBot="1">
      <c r="A52" s="1195"/>
      <c r="B52" s="1197"/>
      <c r="C52" s="1198"/>
      <c r="D52" s="1171"/>
      <c r="E52" s="1199" t="s">
        <v>1403</v>
      </c>
      <c r="F52" s="1274"/>
      <c r="I52" s="1902" t="s">
        <v>1538</v>
      </c>
      <c r="J52" s="1903">
        <v>0.09</v>
      </c>
      <c r="K52" s="1902" t="s">
        <v>1539</v>
      </c>
      <c r="L52" s="1903"/>
      <c r="O52" s="1893" t="s">
        <v>1042</v>
      </c>
      <c r="P52" s="1884" t="s">
        <v>1540</v>
      </c>
      <c r="Q52" s="1885">
        <f ca="1">J53</f>
        <v>35.9</v>
      </c>
      <c r="R52" s="1885" t="s">
        <v>1541</v>
      </c>
    </row>
    <row r="53" spans="1:18" s="1841" customFormat="1" ht="36.6" thickBot="1">
      <c r="A53" s="1404" t="s">
        <v>1134</v>
      </c>
      <c r="B53" s="1830" t="s">
        <v>1404</v>
      </c>
      <c r="C53" s="360">
        <f ca="1">ROUND(IF(F53="押一",C49/12*F11,IF(F53="押二",C49/12*2*F11,IF(F53="押三",C49/12*3*F11,C54*F11))),0)</f>
        <v>0</v>
      </c>
      <c r="D53" s="1823" t="s">
        <v>3031</v>
      </c>
      <c r="E53" s="357" t="s">
        <v>1405</v>
      </c>
      <c r="F53" s="1365" t="s">
        <v>3077</v>
      </c>
      <c r="I53" s="1904" t="s">
        <v>1542</v>
      </c>
      <c r="J53" s="1905">
        <f ca="1">IF(M47="住宅",IF(D1="——",MAX(J51,L48),IF(D1="在建（套用方法）",MAX(J51,L48-'数据-取费表'!B24),MAX(J51,L48-'数据-取费表'!B20))),IF(D1="——",MIN(J51,L48),IF(D1="在建（套用方法）",MIN(J51,L48-'数据-取费表'!B24),IF(D1="土地（套用方法）",MIN(J51,L48-'数据-取费表'!B20)))))</f>
        <v>35.9</v>
      </c>
      <c r="K53" s="3162" t="s">
        <v>1543</v>
      </c>
      <c r="L53" s="3163"/>
      <c r="O53" s="1883" t="s">
        <v>1043</v>
      </c>
      <c r="P53" s="1884" t="s">
        <v>1544</v>
      </c>
      <c r="Q53" s="1885">
        <f ca="1">Q47+Q48</f>
        <v>1172</v>
      </c>
      <c r="R53" s="1885" t="s">
        <v>1044</v>
      </c>
    </row>
    <row r="54" spans="1:18" s="1841" customFormat="1" ht="24.6" thickBot="1">
      <c r="A54" s="1405"/>
      <c r="B54" s="1824" t="s">
        <v>1383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8" thickBot="1">
      <c r="A55" s="1332" t="s">
        <v>1072</v>
      </c>
      <c r="B55" s="1826" t="s">
        <v>1408</v>
      </c>
      <c r="C55" s="1333"/>
      <c r="D55" s="1823"/>
      <c r="E55" s="1831"/>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37.200000000000003" thickTop="1" thickBot="1">
      <c r="A56" s="1175">
        <v>2</v>
      </c>
      <c r="B56" s="1176" t="s">
        <v>1409</v>
      </c>
      <c r="C56" s="275">
        <f ca="1">C13</f>
        <v>244</v>
      </c>
      <c r="D56" s="1913"/>
      <c r="E56" s="1914"/>
      <c r="F56" s="1906"/>
      <c r="I56" s="1915" t="s">
        <v>1549</v>
      </c>
      <c r="J56" s="1916" t="s">
        <v>3056</v>
      </c>
      <c r="K56" s="1886" t="s">
        <v>1550</v>
      </c>
      <c r="L56" s="1889" t="str">
        <f ca="1">IF(L48&lt;J51,"——",L48-J53)</f>
        <v>——</v>
      </c>
      <c r="O56" s="1883" t="s">
        <v>1037</v>
      </c>
      <c r="P56" s="1884" t="s">
        <v>1523</v>
      </c>
      <c r="Q56" s="1885">
        <f ca="1">C40+J29</f>
        <v>1172</v>
      </c>
      <c r="R56" s="1885" t="s">
        <v>1524</v>
      </c>
    </row>
    <row r="57" spans="1:18" s="1841" customFormat="1" ht="24.6" thickBot="1">
      <c r="A57" s="1917"/>
      <c r="B57" s="1168" t="s">
        <v>1473</v>
      </c>
      <c r="C57" s="281">
        <f ca="1">C29</f>
        <v>319</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6" thickBot="1">
      <c r="A58" s="359" t="s">
        <v>1027</v>
      </c>
      <c r="B58" s="1176" t="s">
        <v>1419</v>
      </c>
      <c r="C58" s="360">
        <f ca="1">ROUND(C59+C64+C65+C66,0)</f>
        <v>3</v>
      </c>
      <c r="D58" s="1178" t="s">
        <v>1420</v>
      </c>
      <c r="E58" s="1179"/>
      <c r="F58" s="1180"/>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ROUND(IF(项目基本情况!B11="自然人",C48*F59,C60+C61+C62),1)</f>
        <v>1.2</v>
      </c>
      <c r="D59" s="1181" t="s">
        <v>1425</v>
      </c>
      <c r="E59" s="1182" t="s">
        <v>1426</v>
      </c>
      <c r="F59" s="367"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IF(项目基本情况!B11="自然人","——",ROUND(C48*F60/(1+'数据-取费表'!C42),2))</f>
        <v>0</v>
      </c>
      <c r="D60" s="1182" t="s">
        <v>1429</v>
      </c>
      <c r="E60" s="1168" t="s">
        <v>1417</v>
      </c>
      <c r="F60" s="376">
        <f t="shared" ref="F60:F66" si="0">F32</f>
        <v>5.5000000000000007E-2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IF(项目基本情况!B11="自然人","——",IF(D61="按租金收入计税",ROUND(C48*F61,2),IF(D61="按房产原值计税",ROUND(C57*F61*0.7,2),INDIRECT("'数据-取费表'!Aj"&amp;$G$1))))</f>
        <v>0</v>
      </c>
      <c r="D61" s="1827" t="s">
        <v>3078</v>
      </c>
      <c r="E61" s="1168" t="s">
        <v>1489</v>
      </c>
      <c r="F61" s="366">
        <f t="shared" si="0"/>
        <v>0.12</v>
      </c>
      <c r="I61" s="1927"/>
      <c r="J61" s="1927"/>
      <c r="K61" s="1927"/>
      <c r="L61" s="1927"/>
      <c r="O61" s="1893" t="s">
        <v>1042</v>
      </c>
      <c r="P61" s="1884" t="str">
        <f>K59</f>
        <v>建筑物剩余耐用年限下的土地年期修正系数Kn</v>
      </c>
      <c r="Q61" s="1885" t="e">
        <f ca="1">L59</f>
        <v>#DIV/0!</v>
      </c>
      <c r="R61" s="1885" t="s">
        <v>1564</v>
      </c>
    </row>
    <row r="62" spans="1:18" s="1841" customFormat="1" ht="13.8" thickBot="1">
      <c r="A62" s="1200" t="s">
        <v>1490</v>
      </c>
      <c r="B62" s="1167" t="s">
        <v>1491</v>
      </c>
      <c r="C62" s="25">
        <f ca="1">IF(项目基本情况!B11="自然人","——",ROUND(F62*F63/10000,2))</f>
        <v>1.2</v>
      </c>
      <c r="D62" s="1183" t="s">
        <v>1492</v>
      </c>
      <c r="E62" s="1168" t="s">
        <v>1493</v>
      </c>
      <c r="F62" s="370">
        <f t="shared" si="0"/>
        <v>1.5</v>
      </c>
      <c r="I62" s="1928" t="s">
        <v>1565</v>
      </c>
      <c r="J62" s="1929" t="s">
        <v>1566</v>
      </c>
      <c r="K62" s="1929" t="s">
        <v>1567</v>
      </c>
      <c r="L62" s="1929" t="s">
        <v>1568</v>
      </c>
      <c r="M62" s="1930" t="s">
        <v>1569</v>
      </c>
      <c r="O62" s="1883" t="s">
        <v>1043</v>
      </c>
      <c r="P62" s="1884" t="s">
        <v>1570</v>
      </c>
      <c r="Q62" s="1885">
        <f ca="1">Q56+Q57</f>
        <v>1172</v>
      </c>
      <c r="R62" s="1885" t="s">
        <v>1044</v>
      </c>
    </row>
    <row r="63" spans="1:18" s="1841" customFormat="1" ht="13.8" thickBot="1">
      <c r="A63" s="371"/>
      <c r="B63" s="1174"/>
      <c r="C63" s="29"/>
      <c r="D63" s="1184"/>
      <c r="E63" s="1168" t="s">
        <v>1494</v>
      </c>
      <c r="F63" s="347">
        <f t="shared" ca="1" si="0"/>
        <v>8001.46</v>
      </c>
      <c r="I63" s="1928" t="s">
        <v>1571</v>
      </c>
      <c r="J63" s="1929">
        <v>70</v>
      </c>
      <c r="K63" s="1929">
        <v>50</v>
      </c>
      <c r="L63" s="1929">
        <v>80</v>
      </c>
      <c r="M63" s="1931">
        <v>0.02</v>
      </c>
      <c r="O63" s="1868" t="s">
        <v>1572</v>
      </c>
      <c r="P63" s="1838"/>
      <c r="Q63" s="1838"/>
      <c r="R63" s="1838"/>
    </row>
    <row r="64" spans="1:18" s="1841" customFormat="1" ht="13.8" thickBot="1">
      <c r="A64" s="1200" t="s">
        <v>1495</v>
      </c>
      <c r="B64" s="1168" t="s">
        <v>1496</v>
      </c>
      <c r="C64" s="24">
        <f ca="1">ROUND(C57*F64,1)</f>
        <v>1.9</v>
      </c>
      <c r="D64" s="1182" t="s">
        <v>1497</v>
      </c>
      <c r="E64" s="1168" t="s">
        <v>1489</v>
      </c>
      <c r="F64" s="373">
        <f t="shared" ca="1" si="0"/>
        <v>6.0000000000000001E-3</v>
      </c>
      <c r="I64" s="1928" t="s">
        <v>1573</v>
      </c>
      <c r="J64" s="1929">
        <v>50</v>
      </c>
      <c r="K64" s="1929">
        <v>35</v>
      </c>
      <c r="L64" s="1929">
        <v>60</v>
      </c>
      <c r="M64" s="1930">
        <v>0</v>
      </c>
      <c r="O64" s="1876" t="s">
        <v>1517</v>
      </c>
      <c r="P64" s="1877" t="s">
        <v>1518</v>
      </c>
      <c r="Q64" s="1878" t="s">
        <v>1519</v>
      </c>
      <c r="R64" s="1878" t="s">
        <v>1520</v>
      </c>
    </row>
    <row r="65" spans="1:18" s="1841" customFormat="1" ht="13.8" thickBot="1">
      <c r="A65" s="1200" t="s">
        <v>1498</v>
      </c>
      <c r="B65" s="1168" t="s">
        <v>1448</v>
      </c>
      <c r="C65" s="24">
        <f ca="1">ROUND(C56*F65,1)</f>
        <v>0.2</v>
      </c>
      <c r="D65" s="1182" t="s">
        <v>1449</v>
      </c>
      <c r="E65" s="1168" t="s">
        <v>1450</v>
      </c>
      <c r="F65" s="375">
        <f t="shared" ca="1" si="0"/>
        <v>1E-3</v>
      </c>
      <c r="I65" s="1928" t="s">
        <v>1574</v>
      </c>
      <c r="J65" s="1929">
        <v>40</v>
      </c>
      <c r="K65" s="1929">
        <v>30</v>
      </c>
      <c r="L65" s="1929">
        <v>50</v>
      </c>
      <c r="M65" s="1931">
        <v>0.02</v>
      </c>
      <c r="O65" s="1883" t="s">
        <v>1037</v>
      </c>
      <c r="P65" s="1884" t="s">
        <v>1575</v>
      </c>
      <c r="Q65" s="1885">
        <f ca="1">C40+J29</f>
        <v>1172</v>
      </c>
      <c r="R65" s="1885" t="s">
        <v>1524</v>
      </c>
    </row>
    <row r="66" spans="1:18" s="1841" customFormat="1" ht="16.2" thickBot="1">
      <c r="A66" s="1200" t="s">
        <v>1499</v>
      </c>
      <c r="B66" s="1168" t="s">
        <v>1434</v>
      </c>
      <c r="C66" s="24">
        <f ca="1">ROUND(C48*F66,1)</f>
        <v>0</v>
      </c>
      <c r="D66" s="1182" t="s">
        <v>1500</v>
      </c>
      <c r="E66" s="1168" t="s">
        <v>1417</v>
      </c>
      <c r="F66" s="356">
        <f t="shared" ca="1" si="0"/>
        <v>0.01</v>
      </c>
      <c r="O66" s="1883" t="s">
        <v>1038</v>
      </c>
      <c r="P66" s="1884" t="s">
        <v>1553</v>
      </c>
      <c r="Q66" s="1885">
        <f ca="1">L60</f>
        <v>0</v>
      </c>
      <c r="R66" s="1885" t="s">
        <v>1576</v>
      </c>
    </row>
    <row r="67" spans="1:18" s="1841" customFormat="1" ht="24.6" thickBot="1">
      <c r="A67" s="1175" t="s">
        <v>1028</v>
      </c>
      <c r="B67" s="1185" t="s">
        <v>1458</v>
      </c>
      <c r="C67" s="360">
        <f ca="1">C48-C58</f>
        <v>-3</v>
      </c>
      <c r="D67" s="1181" t="s">
        <v>1459</v>
      </c>
      <c r="E67" s="1186"/>
      <c r="F67" s="1187"/>
      <c r="O67" s="1893" t="s">
        <v>1039</v>
      </c>
      <c r="P67" s="1884" t="s">
        <v>1557</v>
      </c>
      <c r="Q67" s="1932">
        <f ca="1">L51</f>
        <v>445</v>
      </c>
      <c r="R67" s="1885" t="s">
        <v>1577</v>
      </c>
    </row>
    <row r="68" spans="1:18" s="1841" customFormat="1" ht="16.2" thickBot="1">
      <c r="A68" s="1165" t="s">
        <v>1029</v>
      </c>
      <c r="B68" s="1166" t="s">
        <v>1480</v>
      </c>
      <c r="C68" s="345">
        <f ca="1">ROUND(C67*(1-((1+F70)/(1+F68))^F69)/(F68-F70),0)</f>
        <v>-50</v>
      </c>
      <c r="D68" s="1183" t="s">
        <v>1464</v>
      </c>
      <c r="E68" s="1168" t="s">
        <v>1465</v>
      </c>
      <c r="F68" s="356">
        <f ca="1">F40</f>
        <v>0.05</v>
      </c>
      <c r="O68" s="1893" t="s">
        <v>1040</v>
      </c>
      <c r="P68" s="1933" t="s">
        <v>1578</v>
      </c>
      <c r="Q68" s="1885">
        <f ca="1">ROUND(Q69-Q70*Q71,0)</f>
        <v>26</v>
      </c>
      <c r="R68" s="1885" t="s">
        <v>1048</v>
      </c>
    </row>
    <row r="69" spans="1:18" s="1841" customFormat="1" ht="13.8" thickBot="1">
      <c r="A69" s="1169"/>
      <c r="B69" s="1170"/>
      <c r="C69" s="350"/>
      <c r="D69" s="1188" t="s">
        <v>1468</v>
      </c>
      <c r="E69" s="1168" t="s">
        <v>1469</v>
      </c>
      <c r="F69" s="378">
        <f ca="1">F41</f>
        <v>35.9</v>
      </c>
      <c r="O69" s="1893" t="s">
        <v>1045</v>
      </c>
      <c r="P69" s="1933" t="s">
        <v>1579</v>
      </c>
      <c r="Q69" s="1885">
        <f ca="1">C39</f>
        <v>47</v>
      </c>
      <c r="R69" s="1885" t="s">
        <v>1524</v>
      </c>
    </row>
    <row r="70" spans="1:18" s="1841" customFormat="1" ht="13.8" thickBot="1">
      <c r="A70" s="1172"/>
      <c r="B70" s="1173"/>
      <c r="C70" s="354"/>
      <c r="D70" s="1184"/>
      <c r="E70" s="1168" t="s">
        <v>1472</v>
      </c>
      <c r="F70" s="1274"/>
      <c r="O70" s="1893" t="s">
        <v>1046</v>
      </c>
      <c r="P70" s="1933" t="s">
        <v>1580</v>
      </c>
      <c r="Q70" s="1885">
        <f ca="1">C13</f>
        <v>244</v>
      </c>
      <c r="R70" s="1885" t="s">
        <v>1524</v>
      </c>
    </row>
    <row r="71" spans="1:18" s="1841" customFormat="1" ht="13.8" thickBot="1">
      <c r="A71" s="1189" t="s">
        <v>1030</v>
      </c>
      <c r="B71" s="1190" t="s">
        <v>1482</v>
      </c>
      <c r="C71" s="381">
        <f ca="1">ROUND(C68*10000/F71,0)</f>
        <v>-452</v>
      </c>
      <c r="D71" s="1191" t="s">
        <v>1483</v>
      </c>
      <c r="E71" s="1192" t="s">
        <v>1484</v>
      </c>
      <c r="F71" s="384">
        <f ca="1">F43</f>
        <v>1106.44</v>
      </c>
      <c r="O71" s="1893" t="s">
        <v>1047</v>
      </c>
      <c r="P71" s="1933" t="s">
        <v>1581</v>
      </c>
      <c r="Q71" s="1896">
        <f ca="1">C76</f>
        <v>8.5000000000000006E-2</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5"/>
      <c r="D74" s="1841"/>
      <c r="E74" s="1841"/>
      <c r="F74" s="1841"/>
      <c r="O74" s="1893" t="s">
        <v>1049</v>
      </c>
      <c r="P74" s="1884" t="str">
        <f>K59</f>
        <v>建筑物剩余耐用年限下的土地年期修正系数Kn</v>
      </c>
      <c r="Q74" s="1885" t="e">
        <f ca="1">L59</f>
        <v>#DIV/0!</v>
      </c>
      <c r="R74" s="1885" t="s">
        <v>1564</v>
      </c>
    </row>
    <row r="75" spans="1:18" ht="13.8" thickBot="1">
      <c r="A75" s="1841"/>
      <c r="B75" s="385" t="s">
        <v>1501</v>
      </c>
      <c r="C75" s="386">
        <f ca="1">ROUND(C13*C76,0)</f>
        <v>21</v>
      </c>
      <c r="D75" s="1841"/>
      <c r="E75" s="1841"/>
      <c r="F75" s="1841"/>
      <c r="K75" s="1867"/>
      <c r="L75" s="1841"/>
      <c r="O75" s="1883" t="s">
        <v>1043</v>
      </c>
      <c r="P75" s="1884" t="s">
        <v>1544</v>
      </c>
      <c r="Q75" s="1885">
        <f ca="1">Q65+Q66</f>
        <v>1172</v>
      </c>
      <c r="R75" s="1885" t="s">
        <v>1044</v>
      </c>
    </row>
    <row r="76" spans="1:18">
      <c r="B76" s="387" t="s">
        <v>1502</v>
      </c>
      <c r="C76" s="388">
        <f ca="1">INDIRECT("'数据-取费表'!j"&amp;$G$1)</f>
        <v>8.5000000000000006E-2</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0.55299999999999994</v>
      </c>
    </row>
    <row r="80" spans="1:18">
      <c r="B80" s="385" t="s">
        <v>1506</v>
      </c>
      <c r="C80" s="317">
        <f ca="1">ROUND(C75/C39,3)</f>
        <v>0.44700000000000001</v>
      </c>
    </row>
    <row r="81" spans="2:3">
      <c r="B81" s="313" t="s">
        <v>1507</v>
      </c>
      <c r="C81" s="281"/>
    </row>
    <row r="82" spans="2:3">
      <c r="B82" s="316" t="s">
        <v>1508</v>
      </c>
      <c r="C82" s="318">
        <f ca="1">1-C83</f>
        <v>0.79200000000000004</v>
      </c>
    </row>
    <row r="83" spans="2:3">
      <c r="B83" s="316" t="s">
        <v>1509</v>
      </c>
      <c r="C83" s="317">
        <f ca="1">ROUND(C13/C40,3)</f>
        <v>0.20799999999999999</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3" sqref="E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4"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64" t="s">
        <v>1398</v>
      </c>
      <c r="C6" s="1295">
        <f ca="1">ROUND(F6*F8*F7*(1-F9),0)</f>
        <v>0</v>
      </c>
      <c r="D6" s="163" t="s">
        <v>3020</v>
      </c>
      <c r="E6" s="346" t="s">
        <v>1400</v>
      </c>
      <c r="F6" s="347">
        <f ca="1">INDIRECT("'数据-取费表'!u"&amp;$G$1)</f>
        <v>0</v>
      </c>
      <c r="G6" s="1850"/>
      <c r="H6" s="1290" t="s">
        <v>1032</v>
      </c>
      <c r="I6" s="3164" t="s">
        <v>1398</v>
      </c>
      <c r="J6" s="345">
        <f ca="1">ROUND(M6*M8*M7*(1-M9),0)</f>
        <v>0</v>
      </c>
      <c r="K6" s="1833" t="s">
        <v>3021</v>
      </c>
      <c r="L6" s="346" t="s">
        <v>1400</v>
      </c>
      <c r="M6" s="347">
        <f ca="1">INDIRECT("'数据-取费表'!z"&amp;$G$1)</f>
        <v>0</v>
      </c>
    </row>
    <row r="7" spans="1:37" ht="18" customHeight="1">
      <c r="A7" s="1294"/>
      <c r="B7" s="3165"/>
      <c r="C7" s="1296"/>
      <c r="D7" s="351"/>
      <c r="E7" s="1297" t="s">
        <v>1401</v>
      </c>
      <c r="F7" s="347">
        <f ca="1">IF(INDIRECT("'数据-取费表'!ah"&amp;$G$1)="",INDIRECT("'数据-取费表'!k"&amp;$G$1),INDIRECT("'数据-取费表'!ah"&amp;$G$1))</f>
        <v>0</v>
      </c>
      <c r="G7" s="1850"/>
      <c r="H7" s="348"/>
      <c r="I7" s="3165"/>
      <c r="J7" s="350"/>
      <c r="K7" s="351"/>
      <c r="L7" s="346" t="s">
        <v>1401</v>
      </c>
      <c r="M7" s="347">
        <f ca="1">F7</f>
        <v>0</v>
      </c>
    </row>
    <row r="8" spans="1:37" ht="18" customHeight="1">
      <c r="A8" s="348"/>
      <c r="B8" s="3165"/>
      <c r="C8" s="350"/>
      <c r="D8" s="351"/>
      <c r="E8" s="346" t="s">
        <v>1402</v>
      </c>
      <c r="F8" s="347">
        <f ca="1">INDIRECT("'数据-取费表'!ai"&amp;$G$1)</f>
        <v>0</v>
      </c>
      <c r="G8" s="1850"/>
      <c r="H8" s="348"/>
      <c r="I8" s="3165"/>
      <c r="J8" s="350"/>
      <c r="K8" s="351"/>
      <c r="L8" s="346" t="s">
        <v>1402</v>
      </c>
      <c r="M8" s="347">
        <f ca="1">INDIRECT("'数据-取费表'!ai"&amp;$G$1)</f>
        <v>0</v>
      </c>
    </row>
    <row r="9" spans="1:37" ht="18" customHeight="1">
      <c r="A9" s="348"/>
      <c r="B9" s="3166"/>
      <c r="C9" s="350"/>
      <c r="D9" s="351"/>
      <c r="E9" s="346" t="s">
        <v>1403</v>
      </c>
      <c r="F9" s="356">
        <f ca="1">INDIRECT("'数据-取费表'!w"&amp;$G$1)</f>
        <v>0</v>
      </c>
      <c r="G9" s="1850"/>
      <c r="H9" s="348"/>
      <c r="I9" s="3166"/>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3031</v>
      </c>
      <c r="E10" s="357" t="s">
        <v>1405</v>
      </c>
      <c r="F10" s="1365"/>
      <c r="G10" s="1850"/>
      <c r="H10" s="1290" t="s">
        <v>1036</v>
      </c>
      <c r="I10" s="1822" t="s">
        <v>1404</v>
      </c>
      <c r="J10" s="345">
        <f ca="1">ROUND(IF(M10="押一",J6/12*M11,IF(M10="押二",J6/12*2*M11,IF(M10="押三",J6/12*3*M11,J11*M11))),0)</f>
        <v>0</v>
      </c>
      <c r="K10" s="1834" t="s">
        <v>3033</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ROUND(IF(项目基本情况!B11="自然人",J5*M17,J18+J19+J20),0)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ROUND(J5*M18/(1+'数据-取费表'!C42),0)</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IF(K19="按租金收入计税",ROUND(J5*M19,0),ROUND(C29*M19*0.7,0))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0.01</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1447</v>
      </c>
      <c r="F23" s="370">
        <f>'数据-取费表'!B20</f>
        <v>0.5</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IF(项目基本情况!B11="自然人","——",ROUND(C5*F32/(1+'数据-取费表'!C42),0))</f>
        <v>0</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IF(项目基本情况!B11="自然人","——",IF(D33="按租金收入计税",ROUND(C5*F33,0),IF(D33="按房产原值计税",ROUND(C29*F33*0.7,0),INDIRECT("'数据-取费表'!Aj"&amp;$G$1))))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8" t="s">
        <v>1404</v>
      </c>
      <c r="C53" s="360">
        <f ca="1">ROUND(IF(F53="押一",C49/12*F11,IF(F53="押二",C49/12*2*F11,IF(F53="押三",C49/12*3*F11,C54*F11))),0)</f>
        <v>0</v>
      </c>
      <c r="D53" s="1823" t="s">
        <v>3034</v>
      </c>
      <c r="E53" s="357" t="s">
        <v>1405</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162" t="s">
        <v>1543</v>
      </c>
      <c r="L53" s="3163"/>
      <c r="O53" s="1883" t="s">
        <v>1043</v>
      </c>
      <c r="P53" s="1884" t="s">
        <v>1544</v>
      </c>
      <c r="Q53" s="1885" t="e">
        <f ca="1">Q47+Q48</f>
        <v>#DIV/0!</v>
      </c>
      <c r="R53" s="1885" t="s">
        <v>1044</v>
      </c>
    </row>
    <row r="54" spans="1:18" s="1841" customFormat="1" ht="13.8" thickBot="1">
      <c r="A54" s="1193"/>
      <c r="B54" s="1940" t="s">
        <v>1598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8"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5">
        <v>2</v>
      </c>
      <c r="B56" s="1176" t="s">
        <v>1409</v>
      </c>
      <c r="C56" s="275">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6" thickBot="1">
      <c r="A57" s="1917"/>
      <c r="B57" s="1168" t="s">
        <v>1473</v>
      </c>
      <c r="C57" s="281">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59" t="s">
        <v>1027</v>
      </c>
      <c r="B58" s="1176" t="s">
        <v>1419</v>
      </c>
      <c r="C58" s="360">
        <f ca="1">ROUND(C59+C64+C65+C66,0)</f>
        <v>0</v>
      </c>
      <c r="D58" s="1178" t="s">
        <v>1420</v>
      </c>
      <c r="E58" s="1179"/>
      <c r="F58" s="1180"/>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IF(项目基本情况!B11="自然人","——",ROUND(C48*F60/(1+'数据-取费表'!C42),0))</f>
        <v>0</v>
      </c>
      <c r="D60" s="1182" t="s">
        <v>1429</v>
      </c>
      <c r="E60" s="1168" t="s">
        <v>1417</v>
      </c>
      <c r="F60" s="376">
        <f t="shared" ref="F60:F66" si="0">F32</f>
        <v>5.5000000000000007E-2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IF(项目基本情况!B11="自然人","——",ROUND(F62*F63,0))</f>
        <v>0</v>
      </c>
      <c r="D62" s="1183" t="s">
        <v>1492</v>
      </c>
      <c r="E62" s="1168" t="s">
        <v>1493</v>
      </c>
      <c r="F62" s="370">
        <f t="shared" si="0"/>
        <v>1.5</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8" thickBot="1">
      <c r="A63" s="371"/>
      <c r="B63" s="1174"/>
      <c r="C63" s="29"/>
      <c r="D63" s="1184"/>
      <c r="E63" s="1168" t="s">
        <v>1494</v>
      </c>
      <c r="F63" s="347">
        <f t="shared" ca="1" si="0"/>
        <v>0</v>
      </c>
      <c r="I63" s="1928" t="s">
        <v>1571</v>
      </c>
      <c r="J63" s="1929">
        <v>70</v>
      </c>
      <c r="K63" s="1929">
        <v>50</v>
      </c>
      <c r="L63" s="1929">
        <v>80</v>
      </c>
      <c r="M63" s="1931">
        <v>0.02</v>
      </c>
      <c r="O63" s="1868" t="s">
        <v>1572</v>
      </c>
      <c r="P63" s="1838"/>
      <c r="Q63" s="1838"/>
      <c r="R63" s="1838"/>
    </row>
    <row r="64" spans="1:18" s="1841" customFormat="1" ht="13.8" thickBot="1">
      <c r="A64" s="1200" t="s">
        <v>1495</v>
      </c>
      <c r="B64" s="1168" t="s">
        <v>1496</v>
      </c>
      <c r="C64" s="24">
        <f ca="1">ROUND(C57*F64,0)</f>
        <v>0</v>
      </c>
      <c r="D64" s="1182" t="s">
        <v>1497</v>
      </c>
      <c r="E64" s="1168" t="s">
        <v>1489</v>
      </c>
      <c r="F64" s="373">
        <f t="shared" ca="1" si="0"/>
        <v>0</v>
      </c>
      <c r="I64" s="1928" t="s">
        <v>1573</v>
      </c>
      <c r="J64" s="1929">
        <v>50</v>
      </c>
      <c r="K64" s="1929">
        <v>35</v>
      </c>
      <c r="L64" s="1929">
        <v>60</v>
      </c>
      <c r="M64" s="1930">
        <v>0</v>
      </c>
      <c r="O64" s="1876" t="s">
        <v>1517</v>
      </c>
      <c r="P64" s="1877" t="s">
        <v>1518</v>
      </c>
      <c r="Q64" s="1878" t="s">
        <v>1519</v>
      </c>
      <c r="R64" s="1878" t="s">
        <v>1520</v>
      </c>
    </row>
    <row r="65" spans="1:18" s="1841" customFormat="1" ht="13.8" thickBot="1">
      <c r="A65" s="1200" t="s">
        <v>1498</v>
      </c>
      <c r="B65" s="1168" t="s">
        <v>1448</v>
      </c>
      <c r="C65" s="24">
        <f ca="1">ROUND(C56*F65,0)</f>
        <v>0</v>
      </c>
      <c r="D65" s="1182" t="s">
        <v>1449</v>
      </c>
      <c r="E65" s="1168" t="s">
        <v>1450</v>
      </c>
      <c r="F65" s="375">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2"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2">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3"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3" t="s">
        <v>1579</v>
      </c>
      <c r="Q69" s="1885">
        <f ca="1">C39</f>
        <v>0</v>
      </c>
      <c r="R69" s="1885" t="s">
        <v>1524</v>
      </c>
    </row>
    <row r="70" spans="1:18" s="1841" customFormat="1" ht="13.8" thickBot="1">
      <c r="A70" s="1172"/>
      <c r="B70" s="1173"/>
      <c r="C70" s="354"/>
      <c r="D70" s="1184"/>
      <c r="E70" s="1168" t="s">
        <v>1472</v>
      </c>
      <c r="F70" s="1274">
        <f ca="1">F42</f>
        <v>0</v>
      </c>
      <c r="O70" s="1893" t="s">
        <v>1046</v>
      </c>
      <c r="P70" s="1933" t="s">
        <v>1580</v>
      </c>
      <c r="Q70" s="1885">
        <f ca="1">C13</f>
        <v>0</v>
      </c>
      <c r="R70" s="1885" t="s">
        <v>1524</v>
      </c>
    </row>
    <row r="71" spans="1:18" s="1841" customFormat="1" ht="13.8" thickBot="1">
      <c r="A71" s="1189" t="s">
        <v>1030</v>
      </c>
      <c r="B71" s="1190" t="s">
        <v>1482</v>
      </c>
      <c r="C71" s="381" t="e">
        <f ca="1">ROUND(C68/F71,0)</f>
        <v>#DIV/0!</v>
      </c>
      <c r="D71" s="1191" t="s">
        <v>1483</v>
      </c>
      <c r="E71" s="1192" t="s">
        <v>1484</v>
      </c>
      <c r="F71" s="384">
        <f ca="1">F43</f>
        <v>0</v>
      </c>
      <c r="O71" s="1893" t="s">
        <v>1047</v>
      </c>
      <c r="P71" s="1933"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5"/>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7" sqref="I37"/>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0" t="s">
        <v>2519</v>
      </c>
      <c r="B1" s="2561"/>
      <c r="C1" s="2561"/>
      <c r="D1" s="2561"/>
      <c r="E1" s="2562"/>
    </row>
    <row r="2" spans="1:6" ht="15.6">
      <c r="A2" s="2563" t="s">
        <v>2320</v>
      </c>
      <c r="B2" s="2564">
        <f ca="1">SUMIF(B6:B13,"&lt;&gt;#ref!",B6:B13)</f>
        <v>1172</v>
      </c>
      <c r="C2" s="2565" t="s">
        <v>2512</v>
      </c>
      <c r="D2" s="2566" t="s">
        <v>2513</v>
      </c>
      <c r="E2" s="2567">
        <f>SUM(E6:E13)</f>
        <v>1106.44</v>
      </c>
    </row>
    <row r="3" spans="1:6" ht="15.6">
      <c r="A3" s="2563" t="s">
        <v>1390</v>
      </c>
      <c r="B3" s="2564">
        <f ca="1">ROUND(B2*10000/E2,0)</f>
        <v>10593</v>
      </c>
      <c r="C3" s="2565" t="s">
        <v>2520</v>
      </c>
      <c r="D3" s="2568"/>
      <c r="E3" s="2569"/>
    </row>
    <row r="4" spans="1:6" ht="15.6">
      <c r="A4" s="2570"/>
      <c r="B4" s="2568"/>
      <c r="C4" s="2568"/>
      <c r="D4" s="2568"/>
      <c r="E4" s="2569"/>
    </row>
    <row r="5" spans="1:6" ht="14.4">
      <c r="A5" s="2571" t="s">
        <v>2514</v>
      </c>
      <c r="B5" s="3167" t="s">
        <v>2515</v>
      </c>
      <c r="C5" s="3167"/>
      <c r="D5" s="2572"/>
      <c r="E5" s="2573" t="s">
        <v>2516</v>
      </c>
      <c r="F5" s="2574" t="s">
        <v>2517</v>
      </c>
    </row>
    <row r="6" spans="1:6" ht="14.4">
      <c r="A6" s="2575" t="str">
        <f>'数据-取费表'!AN6</f>
        <v>收益法</v>
      </c>
      <c r="B6" s="2574">
        <f ca="1">IF(F6="是",'数据-取费表'!AO6,0)</f>
        <v>1172</v>
      </c>
      <c r="C6" s="2565" t="s">
        <v>2512</v>
      </c>
      <c r="D6" s="2568"/>
      <c r="E6" s="2576">
        <f>IF(OR(A6=0,F6="否"),0,'数据-取费表'!K6+'数据-取费表'!S6)</f>
        <v>1106.44</v>
      </c>
      <c r="F6" s="2577" t="s">
        <v>2518</v>
      </c>
    </row>
    <row r="7" spans="1:6" ht="14.4">
      <c r="A7" s="2575">
        <f>'数据-取费表'!AN7</f>
        <v>0</v>
      </c>
      <c r="B7" s="2574" t="e">
        <f ca="1">IF(F7="是",'数据-取费表'!AO7,0)</f>
        <v>#REF!</v>
      </c>
      <c r="C7" s="2565" t="s">
        <v>2512</v>
      </c>
      <c r="D7" s="2568"/>
      <c r="E7" s="2576">
        <f>IF(OR(A7=0,F7="否"),0,'数据-取费表'!K7+'数据-取费表'!S7)</f>
        <v>0</v>
      </c>
      <c r="F7" s="2577" t="s">
        <v>2518</v>
      </c>
    </row>
    <row r="8" spans="1:6" ht="14.4">
      <c r="A8" s="2575">
        <f>'数据-取费表'!AN8</f>
        <v>0</v>
      </c>
      <c r="B8" s="2574" t="e">
        <f ca="1">IF(F8="是",'数据-取费表'!AO8,0)</f>
        <v>#REF!</v>
      </c>
      <c r="C8" s="2565" t="s">
        <v>2512</v>
      </c>
      <c r="D8" s="2568"/>
      <c r="E8" s="2576">
        <f>IF(OR(A8=0,F8="否"),0,'数据-取费表'!K8+'数据-取费表'!S8)</f>
        <v>0</v>
      </c>
      <c r="F8" s="2577" t="s">
        <v>2518</v>
      </c>
    </row>
    <row r="9" spans="1:6" ht="14.4">
      <c r="A9" s="2575">
        <f>'数据-取费表'!AN9</f>
        <v>0</v>
      </c>
      <c r="B9" s="2574" t="e">
        <f ca="1">IF(F9="是",'数据-取费表'!AO9,0)</f>
        <v>#REF!</v>
      </c>
      <c r="C9" s="2565" t="s">
        <v>2512</v>
      </c>
      <c r="D9" s="2568"/>
      <c r="E9" s="2576">
        <f>IF(OR(A9=0,F9="否"),0,'数据-取费表'!K9+'数据-取费表'!S9)</f>
        <v>0</v>
      </c>
      <c r="F9" s="2577" t="s">
        <v>2518</v>
      </c>
    </row>
    <row r="10" spans="1:6" ht="14.4">
      <c r="A10" s="2575">
        <f>'数据-取费表'!AN10</f>
        <v>0</v>
      </c>
      <c r="B10" s="2574" t="e">
        <f ca="1">IF(F10="是",'数据-取费表'!AO10,0)</f>
        <v>#REF!</v>
      </c>
      <c r="C10" s="2565" t="s">
        <v>2512</v>
      </c>
      <c r="D10" s="2568"/>
      <c r="E10" s="2576">
        <f>IF(OR(A10=0,F10="否"),0,'数据-取费表'!K10+'数据-取费表'!S10)</f>
        <v>0</v>
      </c>
      <c r="F10" s="2577" t="s">
        <v>2518</v>
      </c>
    </row>
    <row r="11" spans="1:6" ht="14.4">
      <c r="A11" s="2575">
        <f>'数据-取费表'!AN11</f>
        <v>0</v>
      </c>
      <c r="B11" s="2574" t="e">
        <f ca="1">IF(F11="是",'数据-取费表'!AO11,0)</f>
        <v>#REF!</v>
      </c>
      <c r="C11" s="2565" t="s">
        <v>2512</v>
      </c>
      <c r="D11" s="2568"/>
      <c r="E11" s="2576">
        <f>IF(OR(A11=0,F11="否"),0,'数据-取费表'!K11+'数据-取费表'!S11)</f>
        <v>0</v>
      </c>
      <c r="F11" s="2577" t="s">
        <v>2518</v>
      </c>
    </row>
    <row r="12" spans="1:6" ht="14.4">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84" t="s">
        <v>1073</v>
      </c>
      <c r="B1" s="3185"/>
      <c r="C1" s="3186"/>
      <c r="D1" s="3187">
        <f>SUM(I10,I15,I20,I21,I23)</f>
        <v>0</v>
      </c>
      <c r="E1" s="3187"/>
      <c r="F1" s="3187"/>
      <c r="G1" s="3187"/>
      <c r="H1" s="3187"/>
      <c r="I1" s="3188"/>
    </row>
    <row r="2" spans="1:9">
      <c r="A2" s="3174" t="s">
        <v>1074</v>
      </c>
      <c r="B2" s="3175" t="s">
        <v>1075</v>
      </c>
      <c r="C2" s="3175"/>
      <c r="D2" s="1300" t="s">
        <v>1076</v>
      </c>
      <c r="E2" s="1300" t="s">
        <v>1077</v>
      </c>
      <c r="F2" s="1300" t="s">
        <v>1078</v>
      </c>
      <c r="G2" s="1300" t="s">
        <v>1079</v>
      </c>
      <c r="H2" s="1300" t="s">
        <v>1080</v>
      </c>
      <c r="I2" s="1301" t="s">
        <v>1081</v>
      </c>
    </row>
    <row r="3" spans="1:9">
      <c r="A3" s="3174"/>
      <c r="B3" s="3175" t="s">
        <v>1082</v>
      </c>
      <c r="C3" s="3175"/>
      <c r="D3" s="1302"/>
      <c r="E3" s="1300"/>
      <c r="F3" s="1303"/>
      <c r="G3" s="1303"/>
      <c r="H3" s="1304"/>
      <c r="I3" s="1305">
        <f>ROUND(D3*E3*F3*G3*H3/10000,0)</f>
        <v>0</v>
      </c>
    </row>
    <row r="4" spans="1:9">
      <c r="A4" s="3174"/>
      <c r="B4" s="3175" t="s">
        <v>1083</v>
      </c>
      <c r="C4" s="3175"/>
      <c r="D4" s="1302"/>
      <c r="E4" s="1300"/>
      <c r="F4" s="1303"/>
      <c r="G4" s="1303"/>
      <c r="H4" s="1304"/>
      <c r="I4" s="1305">
        <f t="shared" ref="I4:I9" si="0">ROUND(D4*E4*F4*G4*H4/10000,0)</f>
        <v>0</v>
      </c>
    </row>
    <row r="5" spans="1:9">
      <c r="A5" s="3174"/>
      <c r="B5" s="3175" t="s">
        <v>1084</v>
      </c>
      <c r="C5" s="3175"/>
      <c r="D5" s="1302"/>
      <c r="E5" s="1300"/>
      <c r="F5" s="1303"/>
      <c r="G5" s="1303"/>
      <c r="H5" s="1304"/>
      <c r="I5" s="1305">
        <f t="shared" si="0"/>
        <v>0</v>
      </c>
    </row>
    <row r="6" spans="1:9">
      <c r="A6" s="3174"/>
      <c r="B6" s="3175" t="s">
        <v>1085</v>
      </c>
      <c r="C6" s="3175"/>
      <c r="D6" s="1302"/>
      <c r="E6" s="1300"/>
      <c r="F6" s="1303"/>
      <c r="G6" s="1303"/>
      <c r="H6" s="1304"/>
      <c r="I6" s="1305">
        <f t="shared" si="0"/>
        <v>0</v>
      </c>
    </row>
    <row r="7" spans="1:9">
      <c r="A7" s="3174"/>
      <c r="B7" s="3175" t="s">
        <v>1086</v>
      </c>
      <c r="C7" s="3175"/>
      <c r="D7" s="1302"/>
      <c r="E7" s="1300"/>
      <c r="F7" s="1303"/>
      <c r="G7" s="1303"/>
      <c r="H7" s="1304"/>
      <c r="I7" s="1305">
        <f t="shared" si="0"/>
        <v>0</v>
      </c>
    </row>
    <row r="8" spans="1:9">
      <c r="A8" s="3174"/>
      <c r="B8" s="3175" t="s">
        <v>1087</v>
      </c>
      <c r="C8" s="3175"/>
      <c r="D8" s="1302"/>
      <c r="E8" s="1300"/>
      <c r="F8" s="1303"/>
      <c r="G8" s="1303"/>
      <c r="H8" s="1304"/>
      <c r="I8" s="1305">
        <f t="shared" si="0"/>
        <v>0</v>
      </c>
    </row>
    <row r="9" spans="1:9">
      <c r="A9" s="3174"/>
      <c r="B9" s="3175" t="s">
        <v>1088</v>
      </c>
      <c r="C9" s="3175"/>
      <c r="D9" s="1302"/>
      <c r="E9" s="1300"/>
      <c r="F9" s="1303"/>
      <c r="G9" s="1303"/>
      <c r="H9" s="1304"/>
      <c r="I9" s="1305">
        <f t="shared" si="0"/>
        <v>0</v>
      </c>
    </row>
    <row r="10" spans="1:9">
      <c r="A10" s="3174"/>
      <c r="B10" s="3176" t="s">
        <v>1089</v>
      </c>
      <c r="C10" s="3176"/>
      <c r="D10" s="1306"/>
      <c r="E10" s="1306" t="e">
        <f>ROUND(D1*10000/D10/H9,0)</f>
        <v>#DIV/0!</v>
      </c>
      <c r="F10" s="1307"/>
      <c r="G10" s="1307"/>
      <c r="H10" s="1308"/>
      <c r="I10" s="1309">
        <f>SUM(I3:I9)</f>
        <v>0</v>
      </c>
    </row>
    <row r="11" spans="1:9" ht="15.6">
      <c r="A11" s="3174" t="s">
        <v>1090</v>
      </c>
      <c r="B11" s="3175" t="s">
        <v>1091</v>
      </c>
      <c r="C11" s="3175"/>
      <c r="D11" s="1302" t="s">
        <v>1092</v>
      </c>
      <c r="E11" s="1302" t="s">
        <v>1093</v>
      </c>
      <c r="F11" s="1303" t="s">
        <v>1094</v>
      </c>
      <c r="G11" s="1303" t="s">
        <v>1080</v>
      </c>
      <c r="H11" s="1310" t="s">
        <v>1095</v>
      </c>
      <c r="I11" s="1301" t="s">
        <v>1081</v>
      </c>
    </row>
    <row r="12" spans="1:9">
      <c r="A12" s="3174"/>
      <c r="B12" s="3175" t="s">
        <v>1096</v>
      </c>
      <c r="C12" s="3175"/>
      <c r="D12" s="1302"/>
      <c r="E12" s="1302"/>
      <c r="F12" s="1303"/>
      <c r="G12" s="1304"/>
      <c r="H12" s="1311"/>
      <c r="I12" s="1301">
        <f>ROUND(D12*E12*F12*G12/10000,0)</f>
        <v>0</v>
      </c>
    </row>
    <row r="13" spans="1:9">
      <c r="A13" s="3174"/>
      <c r="B13" s="3175" t="s">
        <v>1097</v>
      </c>
      <c r="C13" s="3175"/>
      <c r="D13" s="1302"/>
      <c r="E13" s="1302"/>
      <c r="F13" s="1303"/>
      <c r="G13" s="1304"/>
      <c r="H13" s="1311"/>
      <c r="I13" s="1301">
        <f>ROUND(D13*E13*F13*G13/10000,0)</f>
        <v>0</v>
      </c>
    </row>
    <row r="14" spans="1:9">
      <c r="A14" s="3174"/>
      <c r="B14" s="3175" t="s">
        <v>1098</v>
      </c>
      <c r="C14" s="3175"/>
      <c r="D14" s="1302"/>
      <c r="E14" s="1302"/>
      <c r="F14" s="1303"/>
      <c r="G14" s="1304"/>
      <c r="H14" s="1311"/>
      <c r="I14" s="1301">
        <f>ROUND(D14*E14*F14*G14/10000,0)</f>
        <v>0</v>
      </c>
    </row>
    <row r="15" spans="1:9">
      <c r="A15" s="3174"/>
      <c r="B15" s="3176" t="s">
        <v>1089</v>
      </c>
      <c r="C15" s="3176"/>
      <c r="D15" s="1306"/>
      <c r="E15" s="1306">
        <f>SUM(E12:E14)</f>
        <v>0</v>
      </c>
      <c r="F15" s="1307"/>
      <c r="G15" s="1304"/>
      <c r="H15" s="1311"/>
      <c r="I15" s="1312">
        <f>SUM(I12:I14)</f>
        <v>0</v>
      </c>
    </row>
    <row r="16" spans="1:9" ht="24">
      <c r="A16" s="3174" t="s">
        <v>1099</v>
      </c>
      <c r="B16" s="3175" t="s">
        <v>1100</v>
      </c>
      <c r="C16" s="3175"/>
      <c r="D16" s="1302" t="s">
        <v>1076</v>
      </c>
      <c r="E16" s="1313" t="s">
        <v>1101</v>
      </c>
      <c r="F16" s="1303" t="s">
        <v>1102</v>
      </c>
      <c r="G16" s="1304" t="s">
        <v>1080</v>
      </c>
      <c r="H16" s="1310" t="s">
        <v>1095</v>
      </c>
      <c r="I16" s="1301" t="s">
        <v>1081</v>
      </c>
    </row>
    <row r="17" spans="1:9" ht="15.6">
      <c r="A17" s="3174"/>
      <c r="B17" s="3175" t="s">
        <v>1103</v>
      </c>
      <c r="C17" s="3175"/>
      <c r="D17" s="1302"/>
      <c r="E17" s="1302"/>
      <c r="F17" s="1303"/>
      <c r="G17" s="1304"/>
      <c r="H17" s="1314"/>
      <c r="I17" s="1315">
        <f>ROUND(D17*E17*F17*G17/10000,0)</f>
        <v>0</v>
      </c>
    </row>
    <row r="18" spans="1:9" ht="15.6">
      <c r="A18" s="3174"/>
      <c r="B18" s="3175" t="s">
        <v>1104</v>
      </c>
      <c r="C18" s="3175"/>
      <c r="D18" s="1302"/>
      <c r="E18" s="1302"/>
      <c r="F18" s="1303"/>
      <c r="G18" s="1304"/>
      <c r="H18" s="1314"/>
      <c r="I18" s="1315">
        <f>ROUND(D18*E18*F18*G18/10000,0)</f>
        <v>0</v>
      </c>
    </row>
    <row r="19" spans="1:9" ht="15.6">
      <c r="A19" s="3174"/>
      <c r="B19" s="3175" t="s">
        <v>1105</v>
      </c>
      <c r="C19" s="3175"/>
      <c r="D19" s="1302"/>
      <c r="E19" s="1302"/>
      <c r="F19" s="1303"/>
      <c r="G19" s="1304"/>
      <c r="H19" s="1314"/>
      <c r="I19" s="1315">
        <f>ROUND(D19*E19*F19*G19/10000,0)</f>
        <v>0</v>
      </c>
    </row>
    <row r="20" spans="1:9">
      <c r="A20" s="3174"/>
      <c r="B20" s="3176" t="s">
        <v>1089</v>
      </c>
      <c r="C20" s="3176"/>
      <c r="D20" s="1306">
        <f>SUM(D17:D19)</f>
        <v>0</v>
      </c>
      <c r="E20" s="1306"/>
      <c r="F20" s="1307"/>
      <c r="G20" s="1304"/>
      <c r="H20" s="1311"/>
      <c r="I20" s="1312">
        <f>SUM(I17:I19)</f>
        <v>0</v>
      </c>
    </row>
    <row r="21" spans="1:9">
      <c r="A21" s="3174" t="s">
        <v>1106</v>
      </c>
      <c r="B21" s="3177"/>
      <c r="C21" s="3177"/>
      <c r="D21" s="3177"/>
      <c r="E21" s="3177"/>
      <c r="F21" s="3177"/>
      <c r="G21" s="3177"/>
      <c r="H21" s="1764">
        <v>0.1</v>
      </c>
      <c r="I21" s="1309">
        <f>ROUND(I10*H21,0)</f>
        <v>0</v>
      </c>
    </row>
    <row r="22" spans="1:9" ht="15.6">
      <c r="A22" s="3178" t="s">
        <v>1107</v>
      </c>
      <c r="B22" s="3179"/>
      <c r="C22" s="3180"/>
      <c r="D22" s="1316" t="s">
        <v>1108</v>
      </c>
      <c r="E22" s="1316" t="s">
        <v>1109</v>
      </c>
      <c r="F22" s="1317" t="s">
        <v>1110</v>
      </c>
      <c r="G22" s="1317" t="s">
        <v>1111</v>
      </c>
      <c r="H22" s="1310" t="s">
        <v>1112</v>
      </c>
      <c r="I22" s="1301" t="s">
        <v>1113</v>
      </c>
    </row>
    <row r="23" spans="1:9" ht="15" thickBot="1">
      <c r="A23" s="3181"/>
      <c r="B23" s="3182"/>
      <c r="C23" s="3183"/>
      <c r="D23" s="1318"/>
      <c r="E23" s="1318"/>
      <c r="F23" s="1318"/>
      <c r="G23" s="1319"/>
      <c r="H23" s="1320"/>
      <c r="I23" s="1321">
        <f>ROUND(E23*D23*F23*(1-G23)/10000,0)</f>
        <v>0</v>
      </c>
    </row>
    <row r="26" spans="1:9">
      <c r="A26" s="1322" t="s">
        <v>1114</v>
      </c>
      <c r="B26" s="1322"/>
      <c r="C26" s="1322"/>
      <c r="D26" s="1322"/>
      <c r="E26" s="3171">
        <f>C27-C30-C31-C32</f>
        <v>0</v>
      </c>
      <c r="F26" s="3171"/>
      <c r="G26" s="3171"/>
      <c r="H26" s="1736" t="s">
        <v>1336</v>
      </c>
    </row>
    <row r="27" spans="1:9">
      <c r="A27" s="1323">
        <v>1</v>
      </c>
      <c r="B27" s="1324" t="s">
        <v>1115</v>
      </c>
      <c r="C27" s="1324">
        <f>C28+C29</f>
        <v>0</v>
      </c>
      <c r="D27" s="1324"/>
      <c r="E27" s="3172"/>
      <c r="F27" s="3172"/>
      <c r="G27" s="3172"/>
    </row>
    <row r="28" spans="1:9">
      <c r="A28" s="1325" t="s">
        <v>1116</v>
      </c>
      <c r="B28" s="1324" t="s">
        <v>1117</v>
      </c>
      <c r="C28" s="1324"/>
      <c r="D28" s="1324"/>
      <c r="E28" s="3172"/>
      <c r="F28" s="3172"/>
      <c r="G28" s="3172"/>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73"/>
      <c r="F32" s="3173"/>
      <c r="G32" s="3173"/>
    </row>
    <row r="33" spans="1:7" hidden="1">
      <c r="A33" s="3168" t="s">
        <v>1126</v>
      </c>
      <c r="B33" s="3169"/>
      <c r="C33" s="3169"/>
      <c r="D33" s="3170"/>
      <c r="E33" s="3171"/>
      <c r="F33" s="3171"/>
      <c r="G33" s="3171"/>
    </row>
    <row r="34" spans="1:7" hidden="1">
      <c r="A34" s="1327">
        <v>1</v>
      </c>
      <c r="B34" s="1324" t="s">
        <v>1127</v>
      </c>
      <c r="C34" s="1324"/>
      <c r="D34" s="1324"/>
      <c r="E34" s="3172"/>
      <c r="F34" s="3172"/>
      <c r="G34" s="3172"/>
    </row>
    <row r="35" spans="1:7" hidden="1">
      <c r="A35" s="1327">
        <v>2</v>
      </c>
      <c r="B35" s="1324" t="s">
        <v>1128</v>
      </c>
      <c r="C35" s="1324"/>
      <c r="D35" s="1324"/>
      <c r="E35" s="3172"/>
      <c r="F35" s="3172"/>
      <c r="G35" s="3172"/>
    </row>
    <row r="36" spans="1:7" hidden="1">
      <c r="A36" s="1327">
        <v>3</v>
      </c>
      <c r="B36" s="1324" t="s">
        <v>1129</v>
      </c>
      <c r="C36" s="1324"/>
      <c r="D36" s="1324"/>
      <c r="E36" s="3172"/>
      <c r="F36" s="3172"/>
      <c r="G36" s="3172"/>
    </row>
    <row r="37" spans="1:7" hidden="1">
      <c r="A37" s="1327">
        <v>4</v>
      </c>
      <c r="B37" s="1324" t="s">
        <v>1130</v>
      </c>
      <c r="C37" s="1324"/>
      <c r="D37" s="1324"/>
      <c r="E37" s="3172"/>
      <c r="F37" s="3172"/>
      <c r="G37" s="3172"/>
    </row>
    <row r="38" spans="1:7" hidden="1">
      <c r="A38" s="3168" t="s">
        <v>1131</v>
      </c>
      <c r="B38" s="3169"/>
      <c r="C38" s="3169"/>
      <c r="D38" s="3170"/>
      <c r="E38" s="3171"/>
      <c r="F38" s="3171"/>
      <c r="G38" s="31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2521</v>
      </c>
      <c r="B1" s="2581" t="s">
        <v>2522</v>
      </c>
      <c r="C1" s="1633" t="s">
        <v>2523</v>
      </c>
      <c r="D1" s="1620"/>
      <c r="E1" s="2582"/>
      <c r="F1" s="2583" t="s">
        <v>2524</v>
      </c>
      <c r="G1" s="1630" t="s">
        <v>2525</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5"/>
      <c r="D2" s="1364" t="e">
        <f ca="1">SUMIF(INDIRECT("'"&amp;F2&amp;"'"&amp;"!A:A"),"承租人权益价值",INDIRECT("'"&amp;F2&amp;"'"&amp;"!c:c"))</f>
        <v>#REF!</v>
      </c>
      <c r="E2" s="2586" t="s">
        <v>2526</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1390</v>
      </c>
      <c r="B3" s="398" t="e">
        <f ca="1">IF(C2="——",C49,ROUND(B2*10000/D3,0))</f>
        <v>#DIV/0!</v>
      </c>
      <c r="C3" s="399" t="s">
        <v>2527</v>
      </c>
      <c r="D3" s="398">
        <f>IF(D1="",'数据-汇总表'!E3,SUMIF('数据-汇总表'!$C19:$C33,D1,'数据-汇总表'!$E19:$E33))</f>
        <v>1106.44</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4.4">
      <c r="A4" s="400" t="s">
        <v>2528</v>
      </c>
      <c r="B4" s="401"/>
      <c r="C4" s="3207" t="s">
        <v>2529</v>
      </c>
      <c r="D4" s="3208"/>
      <c r="E4" s="3209" t="s">
        <v>2530</v>
      </c>
      <c r="F4" s="3210"/>
      <c r="G4" s="3207" t="s">
        <v>2531</v>
      </c>
      <c r="H4" s="3208"/>
      <c r="I4" s="3207" t="s">
        <v>2532</v>
      </c>
      <c r="J4" s="3208"/>
      <c r="K4" s="2595" t="s">
        <v>2533</v>
      </c>
      <c r="L4" s="1129"/>
      <c r="M4" s="1130"/>
      <c r="N4" s="1130"/>
      <c r="O4" s="1130"/>
      <c r="P4" s="3211" t="s">
        <v>2534</v>
      </c>
      <c r="Q4" s="3212"/>
      <c r="R4" s="3217" t="s">
        <v>2530</v>
      </c>
      <c r="S4" s="3218"/>
      <c r="T4" s="3217" t="s">
        <v>2531</v>
      </c>
      <c r="U4" s="3218"/>
      <c r="V4" s="3223" t="s">
        <v>2532</v>
      </c>
      <c r="W4" s="3223"/>
      <c r="X4" s="1812"/>
      <c r="Y4" s="3217" t="s">
        <v>2534</v>
      </c>
      <c r="Z4" s="3218"/>
      <c r="AA4" s="3204" t="s">
        <v>2530</v>
      </c>
      <c r="AB4" s="3204" t="s">
        <v>2531</v>
      </c>
      <c r="AC4" s="3204" t="s">
        <v>2532</v>
      </c>
    </row>
    <row r="5" spans="1:29">
      <c r="A5" s="403"/>
      <c r="B5" s="404"/>
      <c r="C5" s="3226" t="s">
        <v>2535</v>
      </c>
      <c r="D5" s="3227"/>
      <c r="E5" s="3233" t="s">
        <v>2536</v>
      </c>
      <c r="F5" s="3234"/>
      <c r="G5" s="3226" t="s">
        <v>2537</v>
      </c>
      <c r="H5" s="3227"/>
      <c r="I5" s="3226" t="s">
        <v>2538</v>
      </c>
      <c r="J5" s="3227"/>
      <c r="K5" s="2596"/>
      <c r="L5" s="1129"/>
      <c r="M5" s="1130"/>
      <c r="N5" s="1130"/>
      <c r="O5" s="1130"/>
      <c r="P5" s="3213"/>
      <c r="Q5" s="3214"/>
      <c r="R5" s="3219"/>
      <c r="S5" s="3220"/>
      <c r="T5" s="3219"/>
      <c r="U5" s="3220"/>
      <c r="V5" s="3223"/>
      <c r="W5" s="3223"/>
      <c r="X5" s="1812"/>
      <c r="Y5" s="3219"/>
      <c r="Z5" s="3220"/>
      <c r="AA5" s="3205"/>
      <c r="AB5" s="3205"/>
      <c r="AC5" s="3205"/>
    </row>
    <row r="6" spans="1:29" ht="15" thickBot="1">
      <c r="A6" s="405"/>
      <c r="B6" s="406"/>
      <c r="C6" s="3224" t="s">
        <v>2539</v>
      </c>
      <c r="D6" s="3225"/>
      <c r="E6" s="3231" t="s">
        <v>2539</v>
      </c>
      <c r="F6" s="3232"/>
      <c r="G6" s="3224" t="s">
        <v>2539</v>
      </c>
      <c r="H6" s="3225"/>
      <c r="I6" s="3224" t="s">
        <v>2539</v>
      </c>
      <c r="J6" s="3225"/>
      <c r="K6" s="2596" t="s">
        <v>2540</v>
      </c>
      <c r="L6" s="1129"/>
      <c r="M6" s="1130"/>
      <c r="N6" s="1130"/>
      <c r="O6" s="1130"/>
      <c r="P6" s="3215"/>
      <c r="Q6" s="3216"/>
      <c r="R6" s="3219"/>
      <c r="S6" s="3220"/>
      <c r="T6" s="3221"/>
      <c r="U6" s="3222"/>
      <c r="V6" s="3223"/>
      <c r="W6" s="3223"/>
      <c r="X6" s="1812"/>
      <c r="Y6" s="3221"/>
      <c r="Z6" s="3222"/>
      <c r="AA6" s="3206"/>
      <c r="AB6" s="3206"/>
      <c r="AC6" s="3206"/>
    </row>
    <row r="7" spans="1:29" s="117" customFormat="1" ht="15" thickBot="1">
      <c r="A7" s="407" t="s">
        <v>2541</v>
      </c>
      <c r="B7" s="408"/>
      <c r="C7" s="409">
        <f>'数据-取费表'!B2</f>
        <v>43942</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228" t="s">
        <v>2542</v>
      </c>
      <c r="Q7" s="3230"/>
      <c r="R7" s="769" t="s">
        <v>23</v>
      </c>
      <c r="S7" s="770">
        <f t="shared" ref="S7:S15" si="0">F7</f>
        <v>0</v>
      </c>
      <c r="T7" s="769" t="s">
        <v>23</v>
      </c>
      <c r="U7" s="770">
        <f t="shared" ref="U7:U15" si="1">H7</f>
        <v>0</v>
      </c>
      <c r="V7" s="769" t="s">
        <v>23</v>
      </c>
      <c r="W7" s="770">
        <f t="shared" ref="W7:W15" si="2">J7</f>
        <v>0</v>
      </c>
      <c r="X7" s="771"/>
      <c r="Y7" s="3228" t="s">
        <v>2542</v>
      </c>
      <c r="Z7" s="3229"/>
      <c r="AA7" s="772" t="e">
        <f>D7/F7</f>
        <v>#DIV/0!</v>
      </c>
      <c r="AB7" s="772" t="e">
        <f>D7/H7</f>
        <v>#DIV/0!</v>
      </c>
      <c r="AC7" s="772" t="e">
        <f>D7/J7</f>
        <v>#DIV/0!</v>
      </c>
    </row>
    <row r="8" spans="1:29" s="117" customFormat="1" ht="15" thickBot="1">
      <c r="A8" s="407" t="s">
        <v>2543</v>
      </c>
      <c r="B8" s="408"/>
      <c r="C8" s="413" t="s">
        <v>2544</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228" t="s">
        <v>2545</v>
      </c>
      <c r="Q8" s="3229"/>
      <c r="R8" s="769" t="s">
        <v>23</v>
      </c>
      <c r="S8" s="770">
        <f t="shared" si="0"/>
        <v>0</v>
      </c>
      <c r="T8" s="769" t="s">
        <v>23</v>
      </c>
      <c r="U8" s="770">
        <f t="shared" si="1"/>
        <v>0</v>
      </c>
      <c r="V8" s="769" t="s">
        <v>23</v>
      </c>
      <c r="W8" s="770">
        <f t="shared" si="2"/>
        <v>0</v>
      </c>
      <c r="X8" s="771"/>
      <c r="Y8" s="3228" t="s">
        <v>2545</v>
      </c>
      <c r="Z8" s="3229"/>
      <c r="AA8" s="772" t="e">
        <f t="shared" ref="AA8:AA19" si="3">D8/F8</f>
        <v>#DIV/0!</v>
      </c>
      <c r="AB8" s="772" t="e">
        <f t="shared" ref="AB8:AB19" si="4">D8/H8</f>
        <v>#DIV/0!</v>
      </c>
      <c r="AC8" s="772" t="e">
        <f t="shared" ref="AC8:AC19" si="5">D8/J8</f>
        <v>#DIV/0!</v>
      </c>
    </row>
    <row r="9" spans="1:29" s="117" customFormat="1" ht="14.4">
      <c r="A9" s="414" t="s">
        <v>2546</v>
      </c>
      <c r="B9" s="71" t="s">
        <v>2547</v>
      </c>
      <c r="C9" s="415"/>
      <c r="D9" s="134">
        <v>100</v>
      </c>
      <c r="E9" s="416"/>
      <c r="F9" s="417">
        <f>SUMIF(63:63,E9,64:64)-SUMIF(63:63,C9,64:64)+100</f>
        <v>100</v>
      </c>
      <c r="G9" s="418"/>
      <c r="H9" s="134">
        <f>SUMIF(63:63,G9,64:64)-SUMIF(63:63,C9,64:64)+100</f>
        <v>100</v>
      </c>
      <c r="I9" s="418"/>
      <c r="J9" s="134">
        <f>SUMIF(63:63,I9,64:64)-SUMIF(63:63,C9,64:64)+100</f>
        <v>100</v>
      </c>
      <c r="K9" s="2597"/>
      <c r="L9" s="1131"/>
      <c r="M9" s="1132"/>
      <c r="N9" s="1132"/>
      <c r="O9" s="1132"/>
      <c r="P9" s="3203" t="s">
        <v>2548</v>
      </c>
      <c r="Q9" s="1794" t="str">
        <f t="shared" ref="Q9:Q15" si="6">B9</f>
        <v>用途</v>
      </c>
      <c r="R9" s="769" t="s">
        <v>17</v>
      </c>
      <c r="S9" s="770">
        <f t="shared" si="0"/>
        <v>100</v>
      </c>
      <c r="T9" s="769" t="s">
        <v>17</v>
      </c>
      <c r="U9" s="770">
        <f t="shared" si="1"/>
        <v>100</v>
      </c>
      <c r="V9" s="769" t="s">
        <v>17</v>
      </c>
      <c r="W9" s="770">
        <f t="shared" si="2"/>
        <v>100</v>
      </c>
      <c r="X9" s="771"/>
      <c r="Y9" s="3017" t="s">
        <v>2549</v>
      </c>
      <c r="Z9" s="55" t="str">
        <f t="shared" ref="Z9:Z15" si="7">Q9</f>
        <v>用途</v>
      </c>
      <c r="AA9" s="772">
        <f t="shared" si="3"/>
        <v>1</v>
      </c>
      <c r="AB9" s="772">
        <f t="shared" si="4"/>
        <v>1</v>
      </c>
      <c r="AC9" s="772">
        <f t="shared" si="5"/>
        <v>1</v>
      </c>
    </row>
    <row r="10" spans="1:29" s="426" customFormat="1" ht="28.8">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03"/>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03"/>
      <c r="Q11" s="1794" t="str">
        <f t="shared" si="6"/>
        <v>容积率</v>
      </c>
      <c r="R11" s="769" t="s">
        <v>21</v>
      </c>
      <c r="S11" s="770" t="e">
        <f t="shared" si="0"/>
        <v>#N/A</v>
      </c>
      <c r="T11" s="769" t="s">
        <v>21</v>
      </c>
      <c r="U11" s="770" t="e">
        <f t="shared" si="1"/>
        <v>#N/A</v>
      </c>
      <c r="V11" s="769" t="s">
        <v>21</v>
      </c>
      <c r="W11" s="770" t="e">
        <f t="shared" si="2"/>
        <v>#N/A</v>
      </c>
      <c r="X11" s="771"/>
      <c r="Y11" s="3017"/>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1"/>
      <c r="M12" s="1132"/>
      <c r="N12" s="1132"/>
      <c r="O12" s="1132"/>
      <c r="P12" s="3203"/>
      <c r="Q12" s="1794">
        <f t="shared" si="6"/>
        <v>111</v>
      </c>
      <c r="R12" s="769" t="s">
        <v>21</v>
      </c>
      <c r="S12" s="770">
        <f t="shared" si="0"/>
        <v>100</v>
      </c>
      <c r="T12" s="769" t="s">
        <v>21</v>
      </c>
      <c r="U12" s="770">
        <f t="shared" si="1"/>
        <v>100</v>
      </c>
      <c r="V12" s="769" t="s">
        <v>21</v>
      </c>
      <c r="W12" s="770">
        <f t="shared" si="2"/>
        <v>100</v>
      </c>
      <c r="X12" s="771"/>
      <c r="Y12" s="3017"/>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203"/>
      <c r="Q13" s="1794">
        <f t="shared" si="6"/>
        <v>111</v>
      </c>
      <c r="R13" s="769" t="s">
        <v>21</v>
      </c>
      <c r="S13" s="770">
        <f t="shared" si="0"/>
        <v>100</v>
      </c>
      <c r="T13" s="769" t="s">
        <v>21</v>
      </c>
      <c r="U13" s="770">
        <f t="shared" si="1"/>
        <v>100</v>
      </c>
      <c r="V13" s="769" t="s">
        <v>21</v>
      </c>
      <c r="W13" s="770">
        <f t="shared" si="2"/>
        <v>100</v>
      </c>
      <c r="X13" s="771"/>
      <c r="Y13" s="3017"/>
      <c r="Z13" s="55">
        <f t="shared" si="7"/>
        <v>111</v>
      </c>
      <c r="AA13" s="772">
        <f t="shared" si="3"/>
        <v>1</v>
      </c>
      <c r="AB13" s="772">
        <f t="shared" si="4"/>
        <v>1</v>
      </c>
      <c r="AC13" s="772">
        <f t="shared" si="5"/>
        <v>1</v>
      </c>
    </row>
    <row r="14" spans="1:29" ht="15.6"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203"/>
      <c r="Q14" s="1794">
        <f t="shared" si="6"/>
        <v>111</v>
      </c>
      <c r="R14" s="769" t="s">
        <v>21</v>
      </c>
      <c r="S14" s="770">
        <f t="shared" si="0"/>
        <v>100</v>
      </c>
      <c r="T14" s="769" t="s">
        <v>21</v>
      </c>
      <c r="U14" s="770">
        <f t="shared" si="1"/>
        <v>100</v>
      </c>
      <c r="V14" s="769" t="s">
        <v>21</v>
      </c>
      <c r="W14" s="770">
        <f t="shared" si="2"/>
        <v>100</v>
      </c>
      <c r="X14" s="771"/>
      <c r="Y14" s="3017"/>
      <c r="Z14" s="55">
        <f t="shared" si="7"/>
        <v>111</v>
      </c>
      <c r="AA14" s="772">
        <f t="shared" si="3"/>
        <v>1</v>
      </c>
      <c r="AB14" s="772">
        <f t="shared" si="4"/>
        <v>1</v>
      </c>
      <c r="AC14" s="772">
        <f t="shared" si="5"/>
        <v>1</v>
      </c>
    </row>
    <row r="15" spans="1:29" ht="96.6">
      <c r="A15" s="439" t="s">
        <v>2552</v>
      </c>
      <c r="B15" s="69" t="s">
        <v>2080</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01" t="s">
        <v>2553</v>
      </c>
      <c r="Q15" s="1809" t="str">
        <f t="shared" si="6"/>
        <v>居住社区成熟度</v>
      </c>
      <c r="R15" s="773" t="s">
        <v>21</v>
      </c>
      <c r="S15" s="774">
        <f t="shared" si="0"/>
        <v>100</v>
      </c>
      <c r="T15" s="773" t="s">
        <v>21</v>
      </c>
      <c r="U15" s="774">
        <f t="shared" si="1"/>
        <v>100</v>
      </c>
      <c r="V15" s="773" t="s">
        <v>21</v>
      </c>
      <c r="W15" s="774">
        <f t="shared" si="2"/>
        <v>100</v>
      </c>
      <c r="X15" s="1812"/>
      <c r="Y15" s="3194" t="s">
        <v>2553</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202"/>
      <c r="Q16" s="1809"/>
      <c r="R16" s="773"/>
      <c r="S16" s="774"/>
      <c r="T16" s="773"/>
      <c r="U16" s="774"/>
      <c r="V16" s="773"/>
      <c r="W16" s="774"/>
      <c r="X16" s="1812"/>
      <c r="Y16" s="3195"/>
      <c r="Z16" s="1813"/>
      <c r="AA16" s="1810">
        <v>1</v>
      </c>
      <c r="AB16" s="1810">
        <v>1</v>
      </c>
      <c r="AC16" s="1810">
        <v>1</v>
      </c>
    </row>
    <row r="17" spans="1:29" ht="82.8">
      <c r="A17" s="427"/>
      <c r="B17" s="450" t="s">
        <v>2092</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02"/>
      <c r="Q17" s="1809" t="str">
        <f>B17</f>
        <v>交通便捷度</v>
      </c>
      <c r="R17" s="773" t="s">
        <v>21</v>
      </c>
      <c r="S17" s="774">
        <f>F17</f>
        <v>100</v>
      </c>
      <c r="T17" s="773" t="s">
        <v>21</v>
      </c>
      <c r="U17" s="774">
        <f>H17</f>
        <v>100</v>
      </c>
      <c r="V17" s="773" t="s">
        <v>21</v>
      </c>
      <c r="W17" s="774">
        <f>J17</f>
        <v>100</v>
      </c>
      <c r="X17" s="1812"/>
      <c r="Y17" s="3195"/>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202"/>
      <c r="Q18" s="1809"/>
      <c r="R18" s="773"/>
      <c r="S18" s="774"/>
      <c r="T18" s="773"/>
      <c r="U18" s="774"/>
      <c r="V18" s="773"/>
      <c r="W18" s="774"/>
      <c r="X18" s="1812"/>
      <c r="Y18" s="3195"/>
      <c r="Z18" s="1813"/>
      <c r="AA18" s="1810">
        <v>1</v>
      </c>
      <c r="AB18" s="1810">
        <v>1</v>
      </c>
      <c r="AC18" s="1810">
        <v>1</v>
      </c>
    </row>
    <row r="19" spans="1:29" ht="41.4">
      <c r="A19" s="427"/>
      <c r="B19" s="450" t="s">
        <v>2090</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02"/>
      <c r="Q19" s="1809" t="str">
        <f>B19</f>
        <v>公共配套设施</v>
      </c>
      <c r="R19" s="773" t="s">
        <v>21</v>
      </c>
      <c r="S19" s="774">
        <f>F19</f>
        <v>100</v>
      </c>
      <c r="T19" s="773" t="s">
        <v>21</v>
      </c>
      <c r="U19" s="774">
        <f>H19</f>
        <v>100</v>
      </c>
      <c r="V19" s="773" t="s">
        <v>21</v>
      </c>
      <c r="W19" s="774">
        <f>J19</f>
        <v>100</v>
      </c>
      <c r="X19" s="1812"/>
      <c r="Y19" s="3195"/>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202"/>
      <c r="Q20" s="1809"/>
      <c r="R20" s="773"/>
      <c r="S20" s="774"/>
      <c r="T20" s="773"/>
      <c r="U20" s="774"/>
      <c r="V20" s="773"/>
      <c r="W20" s="774"/>
      <c r="X20" s="1812"/>
      <c r="Y20" s="3195"/>
      <c r="Z20" s="1813"/>
      <c r="AA20" s="1810">
        <v>1</v>
      </c>
      <c r="AB20" s="1810">
        <v>1</v>
      </c>
      <c r="AC20" s="1810">
        <v>1</v>
      </c>
    </row>
    <row r="21" spans="1:29" ht="27.6">
      <c r="A21" s="427"/>
      <c r="B21" s="1383" t="s">
        <v>2093</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02"/>
      <c r="Q21" s="1809" t="str">
        <f>B21</f>
        <v>基础设施水平</v>
      </c>
      <c r="R21" s="773" t="s">
        <v>17</v>
      </c>
      <c r="S21" s="774">
        <f>F21</f>
        <v>100</v>
      </c>
      <c r="T21" s="773" t="s">
        <v>17</v>
      </c>
      <c r="U21" s="774">
        <f>H21</f>
        <v>100</v>
      </c>
      <c r="V21" s="773" t="s">
        <v>17</v>
      </c>
      <c r="W21" s="774">
        <f>J21</f>
        <v>100</v>
      </c>
      <c r="X21" s="1812"/>
      <c r="Y21" s="3195"/>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202"/>
      <c r="Q22" s="1809"/>
      <c r="R22" s="773"/>
      <c r="S22" s="774"/>
      <c r="T22" s="773"/>
      <c r="U22" s="774"/>
      <c r="V22" s="773"/>
      <c r="W22" s="774"/>
      <c r="X22" s="1812"/>
      <c r="Y22" s="3195"/>
      <c r="Z22" s="1813"/>
      <c r="AA22" s="1810">
        <v>1</v>
      </c>
      <c r="AB22" s="1810">
        <v>1</v>
      </c>
      <c r="AC22" s="1810">
        <v>1</v>
      </c>
    </row>
    <row r="23" spans="1:29" ht="55.2">
      <c r="A23" s="427"/>
      <c r="B23" s="450" t="s">
        <v>2097</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02"/>
      <c r="Q23" s="1809" t="str">
        <f>B23</f>
        <v>自然及人文环境</v>
      </c>
      <c r="R23" s="773" t="s">
        <v>21</v>
      </c>
      <c r="S23" s="774">
        <f>F23</f>
        <v>100</v>
      </c>
      <c r="T23" s="773" t="s">
        <v>21</v>
      </c>
      <c r="U23" s="774">
        <f>H23</f>
        <v>100</v>
      </c>
      <c r="V23" s="773" t="s">
        <v>21</v>
      </c>
      <c r="W23" s="774">
        <f>J23</f>
        <v>100</v>
      </c>
      <c r="X23" s="1812"/>
      <c r="Y23" s="3195"/>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202"/>
      <c r="Q24" s="1809"/>
      <c r="R24" s="773"/>
      <c r="S24" s="774"/>
      <c r="T24" s="773"/>
      <c r="U24" s="774"/>
      <c r="V24" s="773"/>
      <c r="W24" s="774"/>
      <c r="X24" s="1812"/>
      <c r="Y24" s="3195"/>
      <c r="Z24" s="1813"/>
      <c r="AA24" s="1810">
        <v>1</v>
      </c>
      <c r="AB24" s="1810">
        <v>1</v>
      </c>
      <c r="AC24" s="1810">
        <v>1</v>
      </c>
    </row>
    <row r="25" spans="1:29" ht="15">
      <c r="A25" s="427"/>
      <c r="B25" s="421" t="s">
        <v>2554</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202"/>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95"/>
      <c r="Z25" s="1813" t="str">
        <f>Q25</f>
        <v>楼层-1</v>
      </c>
      <c r="AA25" s="1810">
        <f t="shared" ref="AA25:AA46" si="15">D25/F25</f>
        <v>1</v>
      </c>
      <c r="AB25" s="1810">
        <f t="shared" ref="AB25:AB46" si="16">D25/H25</f>
        <v>1</v>
      </c>
      <c r="AC25" s="1810">
        <f t="shared" ref="AC25:AC46" si="17">D25/J25</f>
        <v>1</v>
      </c>
    </row>
    <row r="26" spans="1:29" ht="15">
      <c r="A26" s="427"/>
      <c r="B26" s="421" t="s">
        <v>2555</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202"/>
      <c r="Q26" s="1809" t="str">
        <f t="shared" si="11"/>
        <v>朝向</v>
      </c>
      <c r="R26" s="773" t="s">
        <v>21</v>
      </c>
      <c r="S26" s="774">
        <f t="shared" si="12"/>
        <v>100</v>
      </c>
      <c r="T26" s="773" t="s">
        <v>21</v>
      </c>
      <c r="U26" s="774">
        <f t="shared" si="13"/>
        <v>100</v>
      </c>
      <c r="V26" s="773" t="s">
        <v>21</v>
      </c>
      <c r="W26" s="774">
        <f t="shared" si="14"/>
        <v>100</v>
      </c>
      <c r="X26" s="1812"/>
      <c r="Y26" s="3195"/>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202"/>
      <c r="Q27" s="1794">
        <f t="shared" si="11"/>
        <v>111</v>
      </c>
      <c r="R27" s="769" t="s">
        <v>21</v>
      </c>
      <c r="S27" s="770">
        <f t="shared" si="12"/>
        <v>100</v>
      </c>
      <c r="T27" s="769" t="s">
        <v>21</v>
      </c>
      <c r="U27" s="770">
        <f t="shared" si="13"/>
        <v>100</v>
      </c>
      <c r="V27" s="769" t="s">
        <v>21</v>
      </c>
      <c r="W27" s="770">
        <f t="shared" si="14"/>
        <v>100</v>
      </c>
      <c r="X27" s="771"/>
      <c r="Y27" s="3195"/>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202"/>
      <c r="Q28" s="1809">
        <f t="shared" si="11"/>
        <v>111</v>
      </c>
      <c r="R28" s="773" t="s">
        <v>21</v>
      </c>
      <c r="S28" s="774">
        <f t="shared" si="12"/>
        <v>100</v>
      </c>
      <c r="T28" s="773" t="s">
        <v>21</v>
      </c>
      <c r="U28" s="774">
        <f t="shared" si="13"/>
        <v>100</v>
      </c>
      <c r="V28" s="773" t="s">
        <v>21</v>
      </c>
      <c r="W28" s="774">
        <f t="shared" si="14"/>
        <v>100</v>
      </c>
      <c r="X28" s="1812"/>
      <c r="Y28" s="3195"/>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202"/>
      <c r="Q29" s="1809">
        <f t="shared" si="11"/>
        <v>111</v>
      </c>
      <c r="R29" s="773" t="s">
        <v>21</v>
      </c>
      <c r="S29" s="774">
        <f t="shared" si="12"/>
        <v>100</v>
      </c>
      <c r="T29" s="773" t="s">
        <v>21</v>
      </c>
      <c r="U29" s="774">
        <f t="shared" si="13"/>
        <v>100</v>
      </c>
      <c r="V29" s="773" t="s">
        <v>21</v>
      </c>
      <c r="W29" s="774">
        <f t="shared" si="14"/>
        <v>100</v>
      </c>
      <c r="X29" s="1812"/>
      <c r="Y29" s="3195"/>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202"/>
      <c r="Q30" s="1809">
        <f t="shared" si="11"/>
        <v>111</v>
      </c>
      <c r="R30" s="773" t="s">
        <v>21</v>
      </c>
      <c r="S30" s="774">
        <f t="shared" si="12"/>
        <v>100</v>
      </c>
      <c r="T30" s="773" t="s">
        <v>21</v>
      </c>
      <c r="U30" s="774">
        <f t="shared" si="13"/>
        <v>100</v>
      </c>
      <c r="V30" s="773" t="s">
        <v>21</v>
      </c>
      <c r="W30" s="774">
        <f t="shared" si="14"/>
        <v>100</v>
      </c>
      <c r="X30" s="1812"/>
      <c r="Y30" s="3195"/>
      <c r="Z30" s="1813">
        <f t="shared" si="18"/>
        <v>111</v>
      </c>
      <c r="AA30" s="1810">
        <f t="shared" si="15"/>
        <v>1</v>
      </c>
      <c r="AB30" s="1810">
        <f t="shared" si="16"/>
        <v>1</v>
      </c>
      <c r="AC30" s="1810">
        <f t="shared" si="17"/>
        <v>1</v>
      </c>
    </row>
    <row r="31" spans="1:29" ht="15.6"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202"/>
      <c r="Q31" s="1809">
        <f t="shared" si="11"/>
        <v>111</v>
      </c>
      <c r="R31" s="773" t="s">
        <v>21</v>
      </c>
      <c r="S31" s="774">
        <f t="shared" si="12"/>
        <v>100</v>
      </c>
      <c r="T31" s="773" t="s">
        <v>21</v>
      </c>
      <c r="U31" s="774">
        <f t="shared" si="13"/>
        <v>100</v>
      </c>
      <c r="V31" s="773" t="s">
        <v>21</v>
      </c>
      <c r="W31" s="774">
        <f t="shared" si="14"/>
        <v>100</v>
      </c>
      <c r="X31" s="1812"/>
      <c r="Y31" s="3195"/>
      <c r="Z31" s="1813">
        <f t="shared" si="18"/>
        <v>111</v>
      </c>
      <c r="AA31" s="1810">
        <f t="shared" si="15"/>
        <v>1</v>
      </c>
      <c r="AB31" s="1810">
        <f t="shared" si="16"/>
        <v>1</v>
      </c>
      <c r="AC31" s="1810">
        <f t="shared" si="17"/>
        <v>1</v>
      </c>
    </row>
    <row r="32" spans="1:29" ht="15">
      <c r="A32" s="439" t="s">
        <v>2556</v>
      </c>
      <c r="B32" s="71" t="s">
        <v>2557</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196" t="s">
        <v>2558</v>
      </c>
      <c r="Q32" s="1809" t="str">
        <f t="shared" si="11"/>
        <v>建筑类型</v>
      </c>
      <c r="R32" s="773" t="s">
        <v>21</v>
      </c>
      <c r="S32" s="774">
        <f t="shared" si="12"/>
        <v>100</v>
      </c>
      <c r="T32" s="773" t="s">
        <v>21</v>
      </c>
      <c r="U32" s="774">
        <f t="shared" si="13"/>
        <v>100</v>
      </c>
      <c r="V32" s="773" t="s">
        <v>21</v>
      </c>
      <c r="W32" s="774">
        <f t="shared" si="14"/>
        <v>100</v>
      </c>
      <c r="X32" s="1812"/>
      <c r="Y32" s="3199" t="s">
        <v>2558</v>
      </c>
      <c r="Z32" s="1813" t="str">
        <f t="shared" si="18"/>
        <v>建筑类型</v>
      </c>
      <c r="AA32" s="1810">
        <f t="shared" si="15"/>
        <v>1</v>
      </c>
      <c r="AB32" s="1810">
        <f t="shared" si="16"/>
        <v>1</v>
      </c>
      <c r="AC32" s="1810">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7"/>
      <c r="M33" s="1140"/>
      <c r="N33" s="1140"/>
      <c r="O33" s="1140"/>
      <c r="P33" s="3197"/>
      <c r="Q33" s="775" t="str">
        <f t="shared" si="11"/>
        <v>项目建筑规模</v>
      </c>
      <c r="R33" s="776" t="s">
        <v>21</v>
      </c>
      <c r="S33" s="777" t="e">
        <f t="shared" si="12"/>
        <v>#N/A</v>
      </c>
      <c r="T33" s="776" t="s">
        <v>21</v>
      </c>
      <c r="U33" s="777" t="e">
        <f t="shared" si="13"/>
        <v>#N/A</v>
      </c>
      <c r="V33" s="776" t="s">
        <v>21</v>
      </c>
      <c r="W33" s="777" t="e">
        <f t="shared" si="14"/>
        <v>#N/A</v>
      </c>
      <c r="X33" s="778"/>
      <c r="Y33" s="3199"/>
      <c r="Z33" s="779" t="str">
        <f t="shared" si="18"/>
        <v>项目建筑规模</v>
      </c>
      <c r="AA33" s="1810" t="e">
        <f t="shared" si="15"/>
        <v>#N/A</v>
      </c>
      <c r="AB33" s="1810" t="e">
        <f t="shared" si="16"/>
        <v>#N/A</v>
      </c>
      <c r="AC33" s="1810" t="e">
        <f t="shared" si="17"/>
        <v>#N/A</v>
      </c>
    </row>
    <row r="34" spans="1:29" ht="15">
      <c r="A34" s="471"/>
      <c r="B34" s="421" t="s">
        <v>2560</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197"/>
      <c r="Q34" s="1809" t="str">
        <f t="shared" si="11"/>
        <v>建筑结构</v>
      </c>
      <c r="R34" s="773" t="s">
        <v>21</v>
      </c>
      <c r="S34" s="774">
        <f t="shared" si="12"/>
        <v>100</v>
      </c>
      <c r="T34" s="773" t="s">
        <v>21</v>
      </c>
      <c r="U34" s="774">
        <f t="shared" si="13"/>
        <v>100</v>
      </c>
      <c r="V34" s="773" t="s">
        <v>21</v>
      </c>
      <c r="W34" s="774">
        <f t="shared" si="14"/>
        <v>100</v>
      </c>
      <c r="X34" s="1812"/>
      <c r="Y34" s="3199"/>
      <c r="Z34" s="1813" t="str">
        <f t="shared" si="18"/>
        <v>建筑结构</v>
      </c>
      <c r="AA34" s="1810">
        <f t="shared" si="15"/>
        <v>1</v>
      </c>
      <c r="AB34" s="1810">
        <f t="shared" si="16"/>
        <v>1</v>
      </c>
      <c r="AC34" s="1810">
        <f t="shared" si="17"/>
        <v>1</v>
      </c>
    </row>
    <row r="35" spans="1:29" ht="15">
      <c r="A35" s="471"/>
      <c r="B35" s="421" t="s">
        <v>2561</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197"/>
      <c r="Q35" s="1809" t="str">
        <f t="shared" si="11"/>
        <v>建筑品质</v>
      </c>
      <c r="R35" s="773" t="s">
        <v>21</v>
      </c>
      <c r="S35" s="774">
        <f t="shared" si="12"/>
        <v>100</v>
      </c>
      <c r="T35" s="773" t="s">
        <v>21</v>
      </c>
      <c r="U35" s="774">
        <f t="shared" si="13"/>
        <v>100</v>
      </c>
      <c r="V35" s="773" t="s">
        <v>21</v>
      </c>
      <c r="W35" s="774">
        <f t="shared" si="14"/>
        <v>100</v>
      </c>
      <c r="X35" s="1812"/>
      <c r="Y35" s="3199"/>
      <c r="Z35" s="1813" t="str">
        <f t="shared" si="18"/>
        <v>建筑品质</v>
      </c>
      <c r="AA35" s="1810">
        <f t="shared" si="15"/>
        <v>1</v>
      </c>
      <c r="AB35" s="1810">
        <f t="shared" si="16"/>
        <v>1</v>
      </c>
      <c r="AC35" s="1810">
        <f t="shared" si="17"/>
        <v>1</v>
      </c>
    </row>
    <row r="36" spans="1:29" ht="15">
      <c r="A36" s="471"/>
      <c r="B36" s="421" t="s">
        <v>2562</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197"/>
      <c r="Q36" s="1809" t="str">
        <f t="shared" si="11"/>
        <v>公共部分装修</v>
      </c>
      <c r="R36" s="773" t="s">
        <v>21</v>
      </c>
      <c r="S36" s="774">
        <f t="shared" si="12"/>
        <v>100</v>
      </c>
      <c r="T36" s="773" t="s">
        <v>21</v>
      </c>
      <c r="U36" s="774">
        <f t="shared" si="13"/>
        <v>100</v>
      </c>
      <c r="V36" s="773" t="s">
        <v>21</v>
      </c>
      <c r="W36" s="774">
        <f t="shared" si="14"/>
        <v>100</v>
      </c>
      <c r="X36" s="1812"/>
      <c r="Y36" s="3199"/>
      <c r="Z36" s="1813" t="str">
        <f t="shared" si="18"/>
        <v>公共部分装修</v>
      </c>
      <c r="AA36" s="1810">
        <f t="shared" si="15"/>
        <v>1</v>
      </c>
      <c r="AB36" s="1810">
        <f t="shared" si="16"/>
        <v>1</v>
      </c>
      <c r="AC36" s="1810">
        <f t="shared" si="17"/>
        <v>1</v>
      </c>
    </row>
    <row r="37" spans="1:29" s="117"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197"/>
      <c r="Q37" s="1794" t="str">
        <f t="shared" si="11"/>
        <v>成新度</v>
      </c>
      <c r="R37" s="769" t="s">
        <v>21</v>
      </c>
      <c r="S37" s="770" t="e">
        <f t="shared" si="12"/>
        <v>#N/A</v>
      </c>
      <c r="T37" s="769" t="s">
        <v>21</v>
      </c>
      <c r="U37" s="770" t="e">
        <f t="shared" si="13"/>
        <v>#N/A</v>
      </c>
      <c r="V37" s="769" t="s">
        <v>21</v>
      </c>
      <c r="W37" s="770" t="e">
        <f t="shared" si="14"/>
        <v>#N/A</v>
      </c>
      <c r="X37" s="771"/>
      <c r="Y37" s="3199"/>
      <c r="Z37" s="55" t="str">
        <f t="shared" si="18"/>
        <v>成新度</v>
      </c>
      <c r="AA37" s="772" t="e">
        <f t="shared" si="15"/>
        <v>#N/A</v>
      </c>
      <c r="AB37" s="772" t="e">
        <f t="shared" si="16"/>
        <v>#N/A</v>
      </c>
      <c r="AC37" s="772" t="e">
        <f t="shared" si="17"/>
        <v>#N/A</v>
      </c>
    </row>
    <row r="38" spans="1:29" ht="15">
      <c r="A38" s="471"/>
      <c r="B38" s="421" t="s">
        <v>2564</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197" t="s">
        <v>2558</v>
      </c>
      <c r="Q38" s="1809" t="str">
        <f t="shared" si="11"/>
        <v>物业管理</v>
      </c>
      <c r="R38" s="773" t="s">
        <v>21</v>
      </c>
      <c r="S38" s="774">
        <f t="shared" si="12"/>
        <v>100</v>
      </c>
      <c r="T38" s="773" t="s">
        <v>21</v>
      </c>
      <c r="U38" s="774">
        <f t="shared" si="13"/>
        <v>100</v>
      </c>
      <c r="V38" s="773" t="s">
        <v>21</v>
      </c>
      <c r="W38" s="774">
        <f t="shared" si="14"/>
        <v>100</v>
      </c>
      <c r="X38" s="1812"/>
      <c r="Y38" s="3199" t="s">
        <v>2558</v>
      </c>
      <c r="Z38" s="1813" t="str">
        <f t="shared" si="18"/>
        <v>物业管理</v>
      </c>
      <c r="AA38" s="1810">
        <f t="shared" si="15"/>
        <v>1</v>
      </c>
      <c r="AB38" s="1810">
        <f t="shared" si="16"/>
        <v>1</v>
      </c>
      <c r="AC38" s="1810">
        <f t="shared" si="17"/>
        <v>1</v>
      </c>
    </row>
    <row r="39" spans="1:29" ht="15">
      <c r="A39" s="471"/>
      <c r="B39" s="421" t="s">
        <v>2565</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197"/>
      <c r="Q39" s="1809" t="str">
        <f t="shared" si="11"/>
        <v>市政基础设施</v>
      </c>
      <c r="R39" s="773" t="s">
        <v>21</v>
      </c>
      <c r="S39" s="774">
        <f t="shared" si="12"/>
        <v>100</v>
      </c>
      <c r="T39" s="773" t="s">
        <v>21</v>
      </c>
      <c r="U39" s="774">
        <f t="shared" si="13"/>
        <v>100</v>
      </c>
      <c r="V39" s="773" t="s">
        <v>21</v>
      </c>
      <c r="W39" s="774">
        <f t="shared" si="14"/>
        <v>100</v>
      </c>
      <c r="X39" s="1812"/>
      <c r="Y39" s="3199"/>
      <c r="Z39" s="1813" t="str">
        <f t="shared" si="18"/>
        <v>市政基础设施</v>
      </c>
      <c r="AA39" s="1810">
        <f t="shared" si="15"/>
        <v>1</v>
      </c>
      <c r="AB39" s="1810">
        <f t="shared" si="16"/>
        <v>1</v>
      </c>
      <c r="AC39" s="1810">
        <f t="shared" si="17"/>
        <v>1</v>
      </c>
    </row>
    <row r="40" spans="1:29" ht="15">
      <c r="A40" s="471"/>
      <c r="B40" s="421" t="s">
        <v>2566</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197"/>
      <c r="Q40" s="1809" t="str">
        <f t="shared" si="11"/>
        <v>房型</v>
      </c>
      <c r="R40" s="773" t="s">
        <v>21</v>
      </c>
      <c r="S40" s="774">
        <f t="shared" si="12"/>
        <v>100</v>
      </c>
      <c r="T40" s="773" t="s">
        <v>21</v>
      </c>
      <c r="U40" s="774">
        <f t="shared" si="13"/>
        <v>100</v>
      </c>
      <c r="V40" s="773" t="s">
        <v>21</v>
      </c>
      <c r="W40" s="774">
        <f t="shared" si="14"/>
        <v>100</v>
      </c>
      <c r="X40" s="1812"/>
      <c r="Y40" s="3199"/>
      <c r="Z40" s="1813" t="str">
        <f t="shared" si="18"/>
        <v>房型</v>
      </c>
      <c r="AA40" s="1810">
        <f t="shared" si="15"/>
        <v>1</v>
      </c>
      <c r="AB40" s="1810">
        <f t="shared" si="16"/>
        <v>1</v>
      </c>
      <c r="AC40" s="1810">
        <f t="shared" si="17"/>
        <v>1</v>
      </c>
    </row>
    <row r="41" spans="1:29" s="470" customFormat="1" ht="28.8">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7"/>
      <c r="M41" s="1140"/>
      <c r="N41" s="1140"/>
      <c r="O41" s="1140"/>
      <c r="P41" s="3197"/>
      <c r="Q41" s="775" t="str">
        <f t="shared" si="11"/>
        <v>单套/主力户型建筑面积</v>
      </c>
      <c r="R41" s="776" t="s">
        <v>21</v>
      </c>
      <c r="S41" s="777">
        <f t="shared" si="12"/>
        <v>100</v>
      </c>
      <c r="T41" s="776" t="s">
        <v>21</v>
      </c>
      <c r="U41" s="777">
        <f t="shared" si="13"/>
        <v>100</v>
      </c>
      <c r="V41" s="776" t="s">
        <v>21</v>
      </c>
      <c r="W41" s="777">
        <f t="shared" si="14"/>
        <v>100</v>
      </c>
      <c r="X41" s="778"/>
      <c r="Y41" s="3199"/>
      <c r="Z41" s="779" t="str">
        <f t="shared" si="18"/>
        <v>单套/主力户型建筑面积</v>
      </c>
      <c r="AA41" s="1810">
        <f t="shared" si="15"/>
        <v>1</v>
      </c>
      <c r="AB41" s="1810">
        <f t="shared" si="16"/>
        <v>1</v>
      </c>
      <c r="AC41" s="1810">
        <f t="shared" si="17"/>
        <v>1</v>
      </c>
    </row>
    <row r="42" spans="1:29" ht="15">
      <c r="A42" s="471"/>
      <c r="B42" s="421" t="s">
        <v>2568</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197"/>
      <c r="Q42" s="1809" t="str">
        <f t="shared" si="11"/>
        <v>内部装修</v>
      </c>
      <c r="R42" s="773" t="s">
        <v>21</v>
      </c>
      <c r="S42" s="774">
        <f t="shared" si="12"/>
        <v>100</v>
      </c>
      <c r="T42" s="773" t="s">
        <v>21</v>
      </c>
      <c r="U42" s="774">
        <f t="shared" si="13"/>
        <v>100</v>
      </c>
      <c r="V42" s="773" t="s">
        <v>21</v>
      </c>
      <c r="W42" s="774">
        <f t="shared" si="14"/>
        <v>100</v>
      </c>
      <c r="X42" s="1812"/>
      <c r="Y42" s="3199"/>
      <c r="Z42" s="1813" t="str">
        <f t="shared" si="18"/>
        <v>内部装修</v>
      </c>
      <c r="AA42" s="1810">
        <f t="shared" si="15"/>
        <v>1</v>
      </c>
      <c r="AB42" s="1810">
        <f t="shared" si="16"/>
        <v>1</v>
      </c>
      <c r="AC42" s="1810">
        <f t="shared" si="17"/>
        <v>1</v>
      </c>
    </row>
    <row r="43" spans="1:29" ht="28.8">
      <c r="A43" s="471"/>
      <c r="B43" s="421" t="s">
        <v>2569</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197"/>
      <c r="Q43" s="1809" t="str">
        <f t="shared" si="11"/>
        <v>内部装修维护情况</v>
      </c>
      <c r="R43" s="773" t="s">
        <v>21</v>
      </c>
      <c r="S43" s="774">
        <f t="shared" si="12"/>
        <v>100</v>
      </c>
      <c r="T43" s="773" t="s">
        <v>21</v>
      </c>
      <c r="U43" s="774">
        <f t="shared" si="13"/>
        <v>100</v>
      </c>
      <c r="V43" s="773" t="s">
        <v>21</v>
      </c>
      <c r="W43" s="774">
        <f t="shared" si="14"/>
        <v>100</v>
      </c>
      <c r="X43" s="1812"/>
      <c r="Y43" s="3199"/>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1"/>
      <c r="M44" s="1132"/>
      <c r="N44" s="1132"/>
      <c r="O44" s="1132"/>
      <c r="P44" s="3197"/>
      <c r="Q44" s="1794">
        <f t="shared" si="11"/>
        <v>111</v>
      </c>
      <c r="R44" s="769" t="s">
        <v>21</v>
      </c>
      <c r="S44" s="770">
        <f t="shared" si="12"/>
        <v>100</v>
      </c>
      <c r="T44" s="769" t="s">
        <v>21</v>
      </c>
      <c r="U44" s="770">
        <f t="shared" si="13"/>
        <v>100</v>
      </c>
      <c r="V44" s="769" t="s">
        <v>21</v>
      </c>
      <c r="W44" s="770">
        <f t="shared" si="14"/>
        <v>100</v>
      </c>
      <c r="X44" s="771"/>
      <c r="Y44" s="3199"/>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197"/>
      <c r="Q45" s="1809">
        <f t="shared" si="11"/>
        <v>111</v>
      </c>
      <c r="R45" s="773" t="s">
        <v>21</v>
      </c>
      <c r="S45" s="774">
        <f t="shared" si="12"/>
        <v>100</v>
      </c>
      <c r="T45" s="773" t="s">
        <v>21</v>
      </c>
      <c r="U45" s="774">
        <f t="shared" si="13"/>
        <v>100</v>
      </c>
      <c r="V45" s="773" t="s">
        <v>21</v>
      </c>
      <c r="W45" s="774">
        <f t="shared" si="14"/>
        <v>100</v>
      </c>
      <c r="X45" s="1812"/>
      <c r="Y45" s="3199"/>
      <c r="Z45" s="1813">
        <f t="shared" si="18"/>
        <v>111</v>
      </c>
      <c r="AA45" s="1810">
        <f t="shared" si="15"/>
        <v>1</v>
      </c>
      <c r="AB45" s="1810">
        <f t="shared" si="16"/>
        <v>1</v>
      </c>
      <c r="AC45" s="1810">
        <f t="shared" si="17"/>
        <v>1</v>
      </c>
    </row>
    <row r="46" spans="1:29" ht="15.6"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198"/>
      <c r="Q46" s="1809">
        <f t="shared" si="11"/>
        <v>111</v>
      </c>
      <c r="R46" s="773" t="s">
        <v>20</v>
      </c>
      <c r="S46" s="774">
        <f t="shared" si="12"/>
        <v>100</v>
      </c>
      <c r="T46" s="773" t="s">
        <v>20</v>
      </c>
      <c r="U46" s="774">
        <f t="shared" si="13"/>
        <v>100</v>
      </c>
      <c r="V46" s="773" t="s">
        <v>20</v>
      </c>
      <c r="W46" s="774">
        <f t="shared" si="14"/>
        <v>100</v>
      </c>
      <c r="X46" s="1812"/>
      <c r="Y46" s="3200"/>
      <c r="Z46" s="1813">
        <f t="shared" si="18"/>
        <v>111</v>
      </c>
      <c r="AA46" s="1810">
        <f t="shared" si="15"/>
        <v>1</v>
      </c>
      <c r="AB46" s="1810">
        <f t="shared" si="16"/>
        <v>1</v>
      </c>
      <c r="AC46" s="1810">
        <f t="shared" si="17"/>
        <v>1</v>
      </c>
    </row>
    <row r="47" spans="1:29" ht="14.4">
      <c r="A47" s="478" t="s">
        <v>2570</v>
      </c>
      <c r="B47" s="479"/>
      <c r="C47" s="1406" t="s">
        <v>19</v>
      </c>
      <c r="D47" s="1407"/>
      <c r="E47" s="1408"/>
      <c r="F47" s="1409"/>
      <c r="G47" s="1410"/>
      <c r="H47" s="1411"/>
      <c r="I47" s="1408"/>
      <c r="J47" s="1411"/>
      <c r="K47" s="2620"/>
      <c r="L47" s="1142"/>
      <c r="M47" s="1143"/>
      <c r="N47" s="1130"/>
      <c r="O47" s="1143"/>
      <c r="P47" s="3192" t="str">
        <f>A47</f>
        <v>成交单价（元/平方米）</v>
      </c>
      <c r="Q47" s="3192"/>
      <c r="R47" s="3193">
        <f>E47</f>
        <v>0</v>
      </c>
      <c r="S47" s="3193"/>
      <c r="T47" s="3193">
        <f>G47</f>
        <v>0</v>
      </c>
      <c r="U47" s="3193"/>
      <c r="V47" s="3193">
        <f>I47</f>
        <v>0</v>
      </c>
      <c r="W47" s="3193"/>
      <c r="X47" s="758"/>
      <c r="Y47" s="780"/>
      <c r="Z47" s="758"/>
      <c r="AA47" s="758"/>
      <c r="AB47" s="758"/>
      <c r="AC47" s="758"/>
    </row>
    <row r="48" spans="1:29" ht="15" thickBot="1">
      <c r="A48" s="485" t="s">
        <v>2571</v>
      </c>
      <c r="B48" s="486"/>
      <c r="C48" s="1412" t="e">
        <f>R49</f>
        <v>#DIV/0!</v>
      </c>
      <c r="D48" s="1413"/>
      <c r="E48" s="1414" t="e">
        <f>R48</f>
        <v>#DIV/0!</v>
      </c>
      <c r="F48" s="1414"/>
      <c r="G48" s="1412" t="e">
        <f>T48</f>
        <v>#DIV/0!</v>
      </c>
      <c r="H48" s="1413"/>
      <c r="I48" s="1414" t="e">
        <f>V48</f>
        <v>#DIV/0!</v>
      </c>
      <c r="J48" s="1413"/>
      <c r="K48" s="2621"/>
      <c r="L48" s="1142"/>
      <c r="M48" s="1143"/>
      <c r="N48" s="1143"/>
      <c r="O48" s="1143"/>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8"/>
      <c r="Y48" s="758"/>
      <c r="Z48" s="758"/>
      <c r="AA48" s="758"/>
      <c r="AB48" s="758"/>
      <c r="AC48" s="758"/>
    </row>
    <row r="49" spans="1:29" ht="15" thickBot="1">
      <c r="A49" s="491" t="s">
        <v>2572</v>
      </c>
      <c r="B49" s="492"/>
      <c r="C49" s="1415" t="e">
        <f>R49</f>
        <v>#DIV/0!</v>
      </c>
      <c r="D49" s="1416"/>
      <c r="E49" s="1416"/>
      <c r="F49" s="1416"/>
      <c r="G49" s="1416"/>
      <c r="H49" s="1416"/>
      <c r="I49" s="1416"/>
      <c r="J49" s="1416"/>
      <c r="K49" s="2622"/>
      <c r="L49" s="1142"/>
      <c r="M49" s="1143"/>
      <c r="N49" s="1143"/>
      <c r="O49" s="1143"/>
      <c r="P49" s="3189" t="str">
        <f>A49</f>
        <v>估价对象XX用房的比较价值（楼面单价，元/平方米）</v>
      </c>
      <c r="Q49" s="3190"/>
      <c r="R49" s="3191" t="e">
        <f>IF(F1="售价",ROUND(AVERAGE(R48:V48),0),ROUND(AVERAGE(R48:V48),1))</f>
        <v>#DIV/0!</v>
      </c>
      <c r="S49" s="3191"/>
      <c r="T49" s="3191"/>
      <c r="U49" s="3191"/>
      <c r="V49" s="3191"/>
      <c r="W49" s="319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2.2" thickBot="1">
      <c r="A57" s="762" t="s">
        <v>2576</v>
      </c>
      <c r="B57" s="758"/>
      <c r="C57" s="763"/>
      <c r="D57" s="763"/>
      <c r="E57" s="763"/>
      <c r="F57" s="764"/>
      <c r="G57" s="764"/>
      <c r="H57" s="763"/>
      <c r="I57" s="763"/>
      <c r="J57" s="763"/>
      <c r="K57" s="1159"/>
      <c r="L57" s="1160"/>
      <c r="M57" s="1158"/>
      <c r="N57" s="1158"/>
      <c r="O57" s="1158"/>
      <c r="P57" s="2625"/>
      <c r="Q57" s="503"/>
    </row>
    <row r="58" spans="1:29" s="507" customFormat="1" ht="14.4">
      <c r="A58" s="504" t="s">
        <v>2577</v>
      </c>
      <c r="B58" s="505"/>
      <c r="C58" s="1575" t="str">
        <f>YEAR(C7)&amp;"-"&amp;MONTH(C7)</f>
        <v>2020-4</v>
      </c>
      <c r="D58" s="1574">
        <f>EDATE(C58,-1)</f>
        <v>43891</v>
      </c>
      <c r="E58" s="1574">
        <f>EDATE(D58,-1)</f>
        <v>43862</v>
      </c>
      <c r="F58" s="1574">
        <f t="shared" ref="F58:O58" si="19">EDATE(E58,-1)</f>
        <v>43831</v>
      </c>
      <c r="G58" s="1574">
        <f t="shared" si="19"/>
        <v>43800</v>
      </c>
      <c r="H58" s="1574">
        <f t="shared" si="19"/>
        <v>43770</v>
      </c>
      <c r="I58" s="1574">
        <f t="shared" si="19"/>
        <v>43739</v>
      </c>
      <c r="J58" s="1574">
        <f t="shared" si="19"/>
        <v>43709</v>
      </c>
      <c r="K58" s="1574">
        <f t="shared" si="19"/>
        <v>43678</v>
      </c>
      <c r="L58" s="1574">
        <f t="shared" si="19"/>
        <v>43647</v>
      </c>
      <c r="M58" s="1574">
        <f t="shared" si="19"/>
        <v>43617</v>
      </c>
      <c r="N58" s="1574">
        <f t="shared" si="19"/>
        <v>43586</v>
      </c>
      <c r="O58" s="1574">
        <f t="shared" si="19"/>
        <v>43556</v>
      </c>
      <c r="P58" s="1569"/>
    </row>
    <row r="59" spans="1:29" s="117" customFormat="1">
      <c r="A59" s="508"/>
      <c r="B59" s="2626"/>
      <c r="C59" s="1572">
        <v>100</v>
      </c>
      <c r="D59" s="510"/>
      <c r="E59" s="511"/>
      <c r="F59" s="511"/>
      <c r="G59" s="511"/>
      <c r="H59" s="511"/>
      <c r="I59" s="511"/>
      <c r="J59" s="511"/>
      <c r="K59" s="511"/>
      <c r="L59" s="511"/>
      <c r="M59" s="512"/>
      <c r="N59" s="511"/>
      <c r="O59" s="512"/>
      <c r="P59" s="2627"/>
    </row>
    <row r="60" spans="1:29" s="117" customFormat="1" ht="15" thickBot="1">
      <c r="A60" s="514" t="s">
        <v>2578</v>
      </c>
      <c r="B60" s="515"/>
      <c r="C60" s="516"/>
      <c r="D60" s="517"/>
      <c r="E60" s="517"/>
      <c r="F60" s="517"/>
      <c r="G60" s="517"/>
      <c r="H60" s="517"/>
      <c r="I60" s="517"/>
      <c r="J60" s="517"/>
      <c r="K60" s="517"/>
      <c r="L60" s="517"/>
      <c r="M60" s="518"/>
      <c r="N60" s="517"/>
      <c r="O60" s="518"/>
      <c r="P60" s="2627"/>
      <c r="Q60" s="503"/>
    </row>
    <row r="61" spans="1:29" s="117" customFormat="1" ht="14.4">
      <c r="A61" s="520" t="s">
        <v>2579</v>
      </c>
      <c r="B61" s="509"/>
      <c r="C61" s="521" t="s">
        <v>2580</v>
      </c>
      <c r="D61" s="522"/>
      <c r="E61" s="522"/>
      <c r="F61" s="522"/>
      <c r="G61" s="522"/>
      <c r="H61" s="522"/>
      <c r="I61" s="522"/>
      <c r="J61" s="522"/>
      <c r="K61" s="522"/>
      <c r="L61" s="523"/>
      <c r="M61" s="524"/>
      <c r="N61" s="1150"/>
      <c r="O61" s="1150"/>
      <c r="P61" s="2628"/>
      <c r="Q61" s="503"/>
    </row>
    <row r="62" spans="1:29" s="117" customFormat="1" ht="14.4" thickBot="1">
      <c r="A62" s="520"/>
      <c r="B62" s="509"/>
      <c r="C62" s="510">
        <v>100</v>
      </c>
      <c r="D62" s="511"/>
      <c r="E62" s="511"/>
      <c r="F62" s="511"/>
      <c r="G62" s="511"/>
      <c r="H62" s="511"/>
      <c r="I62" s="511"/>
      <c r="J62" s="511"/>
      <c r="K62" s="511"/>
      <c r="L62" s="511"/>
      <c r="M62" s="513"/>
      <c r="N62" s="1150"/>
      <c r="O62" s="1150"/>
      <c r="P62" s="2627"/>
      <c r="Q62" s="503"/>
    </row>
    <row r="63" spans="1:29" ht="14.4">
      <c r="A63" s="526" t="s">
        <v>2581</v>
      </c>
      <c r="B63" s="527" t="s">
        <v>2547</v>
      </c>
      <c r="C63" s="528">
        <f>C9</f>
        <v>0</v>
      </c>
      <c r="D63" s="529"/>
      <c r="E63" s="529"/>
      <c r="F63" s="529"/>
      <c r="G63" s="529"/>
      <c r="H63" s="529"/>
      <c r="I63" s="529"/>
      <c r="J63" s="529"/>
      <c r="K63" s="530"/>
      <c r="L63" s="531"/>
      <c r="M63" s="532"/>
      <c r="N63" s="1151"/>
      <c r="O63" s="1151"/>
      <c r="P63" s="2629"/>
      <c r="Q63" s="503"/>
    </row>
    <row r="64" spans="1:29" ht="14.4" thickBot="1">
      <c r="A64" s="533"/>
      <c r="B64" s="534"/>
      <c r="C64" s="535">
        <v>100</v>
      </c>
      <c r="D64" s="535"/>
      <c r="E64" s="535"/>
      <c r="F64" s="535"/>
      <c r="G64" s="535"/>
      <c r="H64" s="535"/>
      <c r="I64" s="535"/>
      <c r="J64" s="535"/>
      <c r="K64" s="535"/>
      <c r="L64" s="535"/>
      <c r="M64" s="536"/>
      <c r="N64" s="1152"/>
      <c r="O64" s="1152"/>
      <c r="P64" s="2629"/>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51"/>
      <c r="O65" s="1151"/>
      <c r="P65" s="2629"/>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c r="A68" s="533"/>
      <c r="B68" s="547"/>
      <c r="C68" s="548"/>
      <c r="D68" s="548"/>
      <c r="E68" s="548"/>
      <c r="F68" s="548"/>
      <c r="G68" s="548"/>
      <c r="H68" s="548"/>
      <c r="I68" s="548"/>
      <c r="J68" s="548"/>
      <c r="K68" s="549"/>
      <c r="L68" s="550"/>
      <c r="M68" s="551"/>
      <c r="N68" s="1151"/>
      <c r="O68" s="1151"/>
      <c r="P68" s="2629"/>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4.4" thickTop="1">
      <c r="A70" s="552"/>
      <c r="B70" s="537">
        <f>B12</f>
        <v>111</v>
      </c>
      <c r="C70" s="553"/>
      <c r="D70" s="553"/>
      <c r="E70" s="553"/>
      <c r="F70" s="553"/>
      <c r="G70" s="553"/>
      <c r="H70" s="554"/>
      <c r="I70" s="554"/>
      <c r="J70" s="554"/>
      <c r="K70" s="554"/>
      <c r="L70" s="555"/>
      <c r="M70" s="556"/>
      <c r="N70" s="1153"/>
      <c r="O70" s="1153"/>
      <c r="P70" s="2630"/>
      <c r="Q70" s="558"/>
    </row>
    <row r="71" spans="1:17" s="470" customFormat="1" ht="14.4" thickBot="1">
      <c r="A71" s="552"/>
      <c r="B71" s="542"/>
      <c r="C71" s="559"/>
      <c r="D71" s="535"/>
      <c r="E71" s="535"/>
      <c r="F71" s="535"/>
      <c r="G71" s="535"/>
      <c r="H71" s="535"/>
      <c r="I71" s="535"/>
      <c r="J71" s="535"/>
      <c r="K71" s="535"/>
      <c r="L71" s="535"/>
      <c r="M71" s="536"/>
      <c r="N71" s="1152"/>
      <c r="O71" s="1152"/>
      <c r="P71" s="2630"/>
      <c r="Q71" s="558"/>
    </row>
    <row r="72" spans="1:17" s="470" customFormat="1" ht="14.4" thickTop="1">
      <c r="A72" s="552"/>
      <c r="B72" s="537">
        <f>B13</f>
        <v>111</v>
      </c>
      <c r="C72" s="553"/>
      <c r="D72" s="553"/>
      <c r="E72" s="553"/>
      <c r="F72" s="553"/>
      <c r="G72" s="553"/>
      <c r="H72" s="554"/>
      <c r="I72" s="554"/>
      <c r="J72" s="554"/>
      <c r="K72" s="554"/>
      <c r="L72" s="555"/>
      <c r="M72" s="556"/>
      <c r="N72" s="1153"/>
      <c r="O72" s="1153"/>
      <c r="P72" s="2631"/>
      <c r="Q72" s="560"/>
    </row>
    <row r="73" spans="1:17" s="470" customFormat="1" ht="14.4" thickBot="1">
      <c r="A73" s="552"/>
      <c r="B73" s="542"/>
      <c r="C73" s="559"/>
      <c r="D73" s="559"/>
      <c r="E73" s="559"/>
      <c r="F73" s="559"/>
      <c r="G73" s="559"/>
      <c r="H73" s="561"/>
      <c r="I73" s="561"/>
      <c r="J73" s="561"/>
      <c r="K73" s="561"/>
      <c r="L73" s="561"/>
      <c r="M73" s="562"/>
      <c r="N73" s="1153"/>
      <c r="O73" s="1153"/>
      <c r="P73" s="2630"/>
      <c r="Q73" s="558"/>
    </row>
    <row r="74" spans="1:17" s="470" customFormat="1" ht="14.4" thickTop="1">
      <c r="A74" s="552"/>
      <c r="B74" s="545">
        <f>B14</f>
        <v>111</v>
      </c>
      <c r="C74" s="553"/>
      <c r="D74" s="553"/>
      <c r="E74" s="553"/>
      <c r="F74" s="553"/>
      <c r="G74" s="522"/>
      <c r="H74" s="563"/>
      <c r="I74" s="563"/>
      <c r="J74" s="563"/>
      <c r="K74" s="563"/>
      <c r="L74" s="564"/>
      <c r="M74" s="565"/>
      <c r="N74" s="1153"/>
      <c r="O74" s="1153"/>
      <c r="P74" s="2632"/>
      <c r="Q74" s="558"/>
    </row>
    <row r="75" spans="1:17" s="470" customFormat="1" ht="14.4" thickBot="1">
      <c r="A75" s="567"/>
      <c r="B75" s="568"/>
      <c r="C75" s="569"/>
      <c r="D75" s="569"/>
      <c r="E75" s="569"/>
      <c r="F75" s="569"/>
      <c r="G75" s="569"/>
      <c r="H75" s="570"/>
      <c r="I75" s="570"/>
      <c r="J75" s="570"/>
      <c r="K75" s="570"/>
      <c r="L75" s="570"/>
      <c r="M75" s="571"/>
      <c r="N75" s="1153"/>
      <c r="O75" s="1153"/>
      <c r="P75" s="2630"/>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51"/>
      <c r="O76" s="1151"/>
      <c r="P76" s="263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51"/>
      <c r="O78" s="1151"/>
      <c r="P78" s="262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51"/>
      <c r="O80" s="1151"/>
      <c r="P80" s="262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 thickTop="1">
      <c r="A82" s="533"/>
      <c r="B82" s="545" t="s">
        <v>2093</v>
      </c>
      <c r="C82" s="538" t="s">
        <v>2597</v>
      </c>
      <c r="D82" s="538" t="s">
        <v>2598</v>
      </c>
      <c r="E82" s="538" t="s">
        <v>2599</v>
      </c>
      <c r="F82" s="538" t="s">
        <v>2600</v>
      </c>
      <c r="G82" s="538" t="s">
        <v>2601</v>
      </c>
      <c r="H82" s="538"/>
      <c r="I82" s="538"/>
      <c r="J82" s="538"/>
      <c r="K82" s="538"/>
      <c r="L82" s="538"/>
      <c r="M82" s="1381"/>
      <c r="N82" s="1152"/>
      <c r="O82" s="1152"/>
      <c r="P82" s="2629"/>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51"/>
      <c r="O84" s="1151"/>
      <c r="P84" s="262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 thickTop="1">
      <c r="A86" s="578"/>
      <c r="B86" s="537" t="s">
        <v>2603</v>
      </c>
      <c r="C86" s="553"/>
      <c r="D86" s="553"/>
      <c r="E86" s="553"/>
      <c r="F86" s="553"/>
      <c r="G86" s="553"/>
      <c r="H86" s="553"/>
      <c r="I86" s="553"/>
      <c r="J86" s="553"/>
      <c r="K86" s="553"/>
      <c r="L86" s="579"/>
      <c r="M86" s="580"/>
      <c r="N86" s="1150"/>
      <c r="O86" s="1150"/>
      <c r="P86" s="2629"/>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7" customFormat="1" ht="15" thickTop="1">
      <c r="A88" s="578"/>
      <c r="B88" s="537" t="s">
        <v>2604</v>
      </c>
      <c r="C88" s="553"/>
      <c r="D88" s="553"/>
      <c r="E88" s="553"/>
      <c r="F88" s="2634"/>
      <c r="G88" s="553"/>
      <c r="H88" s="553"/>
      <c r="I88" s="553"/>
      <c r="J88" s="553"/>
      <c r="K88" s="553"/>
      <c r="L88" s="553"/>
      <c r="M88" s="580"/>
      <c r="N88" s="1150"/>
      <c r="O88" s="1150"/>
      <c r="P88" s="2629"/>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4.4" thickTop="1">
      <c r="A90" s="552"/>
      <c r="B90" s="537">
        <f>B27</f>
        <v>111</v>
      </c>
      <c r="C90" s="553"/>
      <c r="D90" s="553"/>
      <c r="E90" s="553"/>
      <c r="F90" s="553"/>
      <c r="G90" s="553"/>
      <c r="H90" s="554"/>
      <c r="I90" s="554"/>
      <c r="J90" s="554"/>
      <c r="K90" s="554"/>
      <c r="L90" s="555"/>
      <c r="M90" s="556"/>
      <c r="N90" s="1153"/>
      <c r="O90" s="1153"/>
      <c r="P90" s="2630"/>
      <c r="Q90" s="558"/>
    </row>
    <row r="91" spans="1:17" s="470" customFormat="1" ht="14.4" thickBot="1">
      <c r="A91" s="552"/>
      <c r="B91" s="542"/>
      <c r="C91" s="559"/>
      <c r="D91" s="559"/>
      <c r="E91" s="559"/>
      <c r="F91" s="559"/>
      <c r="G91" s="559"/>
      <c r="H91" s="561"/>
      <c r="I91" s="561"/>
      <c r="J91" s="561"/>
      <c r="K91" s="561"/>
      <c r="L91" s="561"/>
      <c r="M91" s="562"/>
      <c r="N91" s="1153"/>
      <c r="O91" s="1153"/>
      <c r="P91" s="2630"/>
      <c r="Q91" s="558"/>
    </row>
    <row r="92" spans="1:17" ht="14.4" thickTop="1">
      <c r="A92" s="533"/>
      <c r="B92" s="537">
        <f>B28</f>
        <v>111</v>
      </c>
      <c r="C92" s="553"/>
      <c r="D92" s="553"/>
      <c r="E92" s="553"/>
      <c r="F92" s="553"/>
      <c r="G92" s="582"/>
      <c r="H92" s="582"/>
      <c r="I92" s="582"/>
      <c r="J92" s="582"/>
      <c r="K92" s="583"/>
      <c r="L92" s="584"/>
      <c r="M92" s="585"/>
      <c r="N92" s="1151"/>
      <c r="O92" s="1151"/>
      <c r="P92" s="2629"/>
      <c r="Q92" s="503"/>
    </row>
    <row r="93" spans="1:17" ht="14.4" thickBot="1">
      <c r="A93" s="533"/>
      <c r="B93" s="542"/>
      <c r="C93" s="559"/>
      <c r="D93" s="535"/>
      <c r="E93" s="535"/>
      <c r="F93" s="535"/>
      <c r="G93" s="535"/>
      <c r="H93" s="535"/>
      <c r="I93" s="535"/>
      <c r="J93" s="535"/>
      <c r="K93" s="535"/>
      <c r="L93" s="535"/>
      <c r="M93" s="536"/>
      <c r="N93" s="1152"/>
      <c r="O93" s="1152"/>
      <c r="P93" s="2629"/>
      <c r="Q93" s="503"/>
    </row>
    <row r="94" spans="1:17" ht="14.4" thickTop="1">
      <c r="A94" s="533"/>
      <c r="B94" s="537">
        <f>B29</f>
        <v>111</v>
      </c>
      <c r="C94" s="553"/>
      <c r="D94" s="553"/>
      <c r="E94" s="553"/>
      <c r="F94" s="553"/>
      <c r="G94" s="582"/>
      <c r="H94" s="582"/>
      <c r="I94" s="582"/>
      <c r="J94" s="582"/>
      <c r="K94" s="583"/>
      <c r="L94" s="584"/>
      <c r="M94" s="585"/>
      <c r="N94" s="1151"/>
      <c r="O94" s="1151"/>
      <c r="P94" s="2629"/>
      <c r="Q94" s="503"/>
    </row>
    <row r="95" spans="1:17" ht="14.4" thickBot="1">
      <c r="A95" s="533"/>
      <c r="B95" s="542"/>
      <c r="C95" s="559"/>
      <c r="D95" s="559"/>
      <c r="E95" s="559"/>
      <c r="F95" s="559"/>
      <c r="G95" s="535"/>
      <c r="H95" s="535"/>
      <c r="I95" s="535"/>
      <c r="J95" s="535"/>
      <c r="K95" s="535"/>
      <c r="L95" s="535"/>
      <c r="M95" s="536"/>
      <c r="N95" s="1152"/>
      <c r="O95" s="1152"/>
      <c r="P95" s="2629"/>
      <c r="Q95" s="503"/>
    </row>
    <row r="96" spans="1:17" ht="14.4" thickTop="1">
      <c r="A96" s="533"/>
      <c r="B96" s="537">
        <f>B30</f>
        <v>111</v>
      </c>
      <c r="C96" s="553"/>
      <c r="D96" s="553"/>
      <c r="E96" s="553"/>
      <c r="F96" s="553"/>
      <c r="G96" s="582"/>
      <c r="H96" s="582"/>
      <c r="I96" s="582"/>
      <c r="J96" s="582"/>
      <c r="K96" s="583"/>
      <c r="L96" s="584"/>
      <c r="M96" s="585"/>
      <c r="N96" s="1151"/>
      <c r="O96" s="1151"/>
      <c r="P96" s="2629"/>
      <c r="Q96" s="503"/>
    </row>
    <row r="97" spans="1:17" ht="14.4" thickBot="1">
      <c r="A97" s="533"/>
      <c r="B97" s="542"/>
      <c r="C97" s="569"/>
      <c r="D97" s="569"/>
      <c r="E97" s="569"/>
      <c r="F97" s="569"/>
      <c r="G97" s="535"/>
      <c r="H97" s="535"/>
      <c r="I97" s="535"/>
      <c r="J97" s="535"/>
      <c r="K97" s="535"/>
      <c r="L97" s="535"/>
      <c r="M97" s="536"/>
      <c r="N97" s="1152"/>
      <c r="O97" s="1152"/>
      <c r="P97" s="2629"/>
      <c r="Q97" s="503"/>
    </row>
    <row r="98" spans="1:17" ht="14.4" thickTop="1">
      <c r="A98" s="533"/>
      <c r="B98" s="545">
        <f>B31</f>
        <v>111</v>
      </c>
      <c r="C98" s="586"/>
      <c r="D98" s="586"/>
      <c r="E98" s="586"/>
      <c r="F98" s="586"/>
      <c r="G98" s="586"/>
      <c r="H98" s="586"/>
      <c r="I98" s="586"/>
      <c r="J98" s="586"/>
      <c r="K98" s="587"/>
      <c r="L98" s="588"/>
      <c r="M98" s="589"/>
      <c r="N98" s="1151"/>
      <c r="O98" s="1151"/>
      <c r="P98" s="2629"/>
      <c r="Q98" s="503"/>
    </row>
    <row r="99" spans="1:17" ht="14.4" thickBot="1">
      <c r="A99" s="2635"/>
      <c r="B99" s="568"/>
      <c r="C99" s="590"/>
      <c r="D99" s="590"/>
      <c r="E99" s="590"/>
      <c r="F99" s="590"/>
      <c r="G99" s="590"/>
      <c r="H99" s="590"/>
      <c r="I99" s="590"/>
      <c r="J99" s="590"/>
      <c r="K99" s="590"/>
      <c r="L99" s="590"/>
      <c r="M99" s="591"/>
      <c r="N99" s="1152"/>
      <c r="O99" s="1152"/>
      <c r="P99" s="2629"/>
      <c r="Q99" s="503"/>
    </row>
    <row r="100" spans="1:17" ht="14.4">
      <c r="A100" s="526" t="s">
        <v>2556</v>
      </c>
      <c r="B100" s="527" t="s">
        <v>2605</v>
      </c>
      <c r="C100" s="529"/>
      <c r="D100" s="529"/>
      <c r="E100" s="529"/>
      <c r="F100" s="529"/>
      <c r="G100" s="529"/>
      <c r="H100" s="529"/>
      <c r="I100" s="529"/>
      <c r="J100" s="529"/>
      <c r="K100" s="530"/>
      <c r="L100" s="531"/>
      <c r="M100" s="532"/>
      <c r="N100" s="1151"/>
      <c r="O100" s="1151"/>
      <c r="P100" s="2629"/>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4.4"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2607</v>
      </c>
      <c r="C105" s="553"/>
      <c r="D105" s="553"/>
      <c r="E105" s="582"/>
      <c r="F105" s="582"/>
      <c r="G105" s="582"/>
      <c r="H105" s="582"/>
      <c r="I105" s="582"/>
      <c r="J105" s="582"/>
      <c r="K105" s="583"/>
      <c r="L105" s="584"/>
      <c r="M105" s="585"/>
      <c r="N105" s="1151"/>
      <c r="O105" s="1151"/>
      <c r="P105" s="2629"/>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2608</v>
      </c>
      <c r="C107" s="582"/>
      <c r="D107" s="582"/>
      <c r="E107" s="582"/>
      <c r="F107" s="582"/>
      <c r="G107" s="582"/>
      <c r="H107" s="582"/>
      <c r="I107" s="582"/>
      <c r="J107" s="582"/>
      <c r="K107" s="583"/>
      <c r="L107" s="584"/>
      <c r="M107" s="585"/>
      <c r="N107" s="1151"/>
      <c r="O107" s="1151"/>
      <c r="P107" s="2629"/>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2609</v>
      </c>
      <c r="C109" s="553"/>
      <c r="D109" s="553"/>
      <c r="E109" s="553"/>
      <c r="F109" s="582"/>
      <c r="G109" s="582"/>
      <c r="H109" s="582"/>
      <c r="I109" s="582"/>
      <c r="J109" s="582"/>
      <c r="K109" s="583"/>
      <c r="L109" s="584"/>
      <c r="M109" s="585"/>
      <c r="N109" s="1151"/>
      <c r="O109" s="1151"/>
      <c r="P109" s="2629"/>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2610</v>
      </c>
      <c r="C114" s="553"/>
      <c r="D114" s="553"/>
      <c r="E114" s="582"/>
      <c r="F114" s="582"/>
      <c r="G114" s="582"/>
      <c r="H114" s="582"/>
      <c r="I114" s="582"/>
      <c r="J114" s="582"/>
      <c r="K114" s="583"/>
      <c r="L114" s="584"/>
      <c r="M114" s="585"/>
      <c r="N114" s="1151"/>
      <c r="O114" s="1151"/>
      <c r="P114" s="2629"/>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2611</v>
      </c>
      <c r="C116" s="553"/>
      <c r="D116" s="553"/>
      <c r="E116" s="553"/>
      <c r="F116" s="553"/>
      <c r="G116" s="553"/>
      <c r="H116" s="582"/>
      <c r="I116" s="582"/>
      <c r="J116" s="582"/>
      <c r="K116" s="583"/>
      <c r="L116" s="584"/>
      <c r="M116" s="585"/>
      <c r="N116" s="1151"/>
      <c r="O116" s="1151"/>
      <c r="P116" s="262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2612</v>
      </c>
      <c r="C118" s="582"/>
      <c r="D118" s="582"/>
      <c r="E118" s="582"/>
      <c r="F118" s="582"/>
      <c r="G118" s="582"/>
      <c r="H118" s="582"/>
      <c r="I118" s="582"/>
      <c r="J118" s="582"/>
      <c r="K118" s="583"/>
      <c r="L118" s="584"/>
      <c r="M118" s="585"/>
      <c r="N118" s="1151"/>
      <c r="O118" s="1151"/>
      <c r="P118" s="2629"/>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9.4" thickTop="1">
      <c r="A120" s="592"/>
      <c r="B120" s="537" t="s">
        <v>2567</v>
      </c>
      <c r="C120" s="553"/>
      <c r="D120" s="553"/>
      <c r="E120" s="553"/>
      <c r="F120" s="553"/>
      <c r="G120" s="553"/>
      <c r="H120" s="553"/>
      <c r="I120" s="553"/>
      <c r="J120" s="553"/>
      <c r="K120" s="553"/>
      <c r="L120" s="579"/>
      <c r="M120" s="580"/>
      <c r="N120" s="1153"/>
      <c r="O120" s="1153"/>
      <c r="P120" s="2630"/>
      <c r="Q120" s="558"/>
    </row>
    <row r="121" spans="1:17" s="470" customFormat="1" ht="14.4"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2613</v>
      </c>
      <c r="C122" s="553"/>
      <c r="D122" s="553"/>
      <c r="E122" s="553"/>
      <c r="F122" s="582"/>
      <c r="G122" s="582"/>
      <c r="H122" s="582"/>
      <c r="I122" s="582"/>
      <c r="J122" s="582"/>
      <c r="K122" s="583"/>
      <c r="L122" s="584"/>
      <c r="M122" s="585"/>
      <c r="N122" s="1151"/>
      <c r="O122" s="1151"/>
      <c r="P122" s="2629"/>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51"/>
      <c r="O124" s="1151"/>
      <c r="P124" s="263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0"/>
      <c r="Q127" s="558"/>
    </row>
    <row r="128" spans="1:17" ht="14.4" thickTop="1">
      <c r="A128" s="598"/>
      <c r="B128" s="537">
        <f>B45</f>
        <v>111</v>
      </c>
      <c r="C128" s="553"/>
      <c r="D128" s="553"/>
      <c r="E128" s="553"/>
      <c r="F128" s="553"/>
      <c r="G128" s="582"/>
      <c r="H128" s="582"/>
      <c r="I128" s="582"/>
      <c r="J128" s="582"/>
      <c r="K128" s="583"/>
      <c r="L128" s="584"/>
      <c r="M128" s="585"/>
      <c r="N128" s="1151"/>
      <c r="O128" s="1151"/>
      <c r="P128" s="2629"/>
      <c r="Q128" s="503"/>
    </row>
    <row r="129" spans="1:17" ht="14.4" thickBot="1">
      <c r="A129" s="533"/>
      <c r="B129" s="542"/>
      <c r="C129" s="559"/>
      <c r="D129" s="559"/>
      <c r="E129" s="559"/>
      <c r="F129" s="559"/>
      <c r="G129" s="535"/>
      <c r="H129" s="535"/>
      <c r="I129" s="535"/>
      <c r="J129" s="535"/>
      <c r="K129" s="535"/>
      <c r="L129" s="535"/>
      <c r="M129" s="536"/>
      <c r="N129" s="1152"/>
      <c r="O129" s="1152"/>
      <c r="P129" s="2629"/>
      <c r="Q129" s="503"/>
    </row>
    <row r="130" spans="1:17" ht="14.4" thickTop="1">
      <c r="A130" s="598"/>
      <c r="B130" s="545">
        <f>B46</f>
        <v>111</v>
      </c>
      <c r="C130" s="553"/>
      <c r="D130" s="553"/>
      <c r="E130" s="553"/>
      <c r="F130" s="553"/>
      <c r="G130" s="586"/>
      <c r="H130" s="586"/>
      <c r="I130" s="586"/>
      <c r="J130" s="586"/>
      <c r="K130" s="522"/>
      <c r="L130" s="523"/>
      <c r="M130" s="589"/>
      <c r="N130" s="1151"/>
      <c r="O130" s="1151"/>
      <c r="P130" s="2629"/>
      <c r="Q130" s="503"/>
    </row>
    <row r="131" spans="1:17" ht="14.4"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5" t="s">
        <v>2618</v>
      </c>
      <c r="D138" s="145" t="s">
        <v>2619</v>
      </c>
      <c r="E138" s="2644" t="s">
        <v>2620</v>
      </c>
      <c r="F138" s="2645" t="s">
        <v>2621</v>
      </c>
      <c r="G138" s="145" t="s">
        <v>2619</v>
      </c>
      <c r="H138" s="146" t="s">
        <v>2620</v>
      </c>
      <c r="I138" s="2646"/>
      <c r="J138" s="145" t="s">
        <v>2622</v>
      </c>
      <c r="K138" s="146" t="s">
        <v>2623</v>
      </c>
    </row>
    <row r="139" spans="1:17" ht="15">
      <c r="B139" s="1083">
        <v>6</v>
      </c>
      <c r="C139" s="1084">
        <v>96</v>
      </c>
      <c r="D139" s="2647" t="s">
        <v>2624</v>
      </c>
      <c r="E139" s="1085">
        <v>100</v>
      </c>
      <c r="F139" s="1086">
        <v>102.5</v>
      </c>
      <c r="G139" s="2647" t="s">
        <v>2624</v>
      </c>
      <c r="H139" s="1087">
        <v>105</v>
      </c>
      <c r="I139" s="2648" t="s">
        <v>2625</v>
      </c>
      <c r="J139" s="1084">
        <v>20</v>
      </c>
      <c r="K139" s="1088">
        <f>C145/(J139-2)</f>
        <v>4.0555555555555553E-3</v>
      </c>
    </row>
    <row r="140" spans="1:17" ht="15">
      <c r="B140" s="1089">
        <v>5</v>
      </c>
      <c r="C140" s="1090">
        <v>100</v>
      </c>
      <c r="D140" s="1090"/>
      <c r="E140" s="1091"/>
      <c r="F140" s="1092">
        <v>102</v>
      </c>
      <c r="G140" s="1090"/>
      <c r="H140" s="1093"/>
      <c r="I140" s="2649" t="s">
        <v>2626</v>
      </c>
      <c r="J140" s="314">
        <f>ROUNDUP((J139-1)/2,0)</f>
        <v>10</v>
      </c>
      <c r="K140" s="1094">
        <v>100</v>
      </c>
    </row>
    <row r="141" spans="1:17" ht="15">
      <c r="B141" s="1089">
        <v>4</v>
      </c>
      <c r="C141" s="1090">
        <v>102</v>
      </c>
      <c r="D141" s="1090"/>
      <c r="E141" s="1091"/>
      <c r="F141" s="1092">
        <v>101.5</v>
      </c>
      <c r="G141" s="1090"/>
      <c r="H141" s="1093"/>
      <c r="I141" s="2649" t="s">
        <v>2627</v>
      </c>
      <c r="J141" s="314">
        <v>1</v>
      </c>
      <c r="K141" s="1095">
        <f>ROUND(100+(J141-J140)*K139*100,1)</f>
        <v>96.4</v>
      </c>
    </row>
    <row r="142" spans="1:17" ht="15">
      <c r="B142" s="1089">
        <v>3</v>
      </c>
      <c r="C142" s="1090">
        <v>103</v>
      </c>
      <c r="D142" s="1090"/>
      <c r="E142" s="1091"/>
      <c r="F142" s="1092">
        <v>101</v>
      </c>
      <c r="G142" s="1090"/>
      <c r="H142" s="1093"/>
      <c r="I142" s="2649" t="s">
        <v>2628</v>
      </c>
      <c r="J142" s="314">
        <f>J139</f>
        <v>20</v>
      </c>
      <c r="K142" s="1096">
        <v>95</v>
      </c>
    </row>
    <row r="143" spans="1:17" ht="15">
      <c r="B143" s="1089">
        <v>2</v>
      </c>
      <c r="C143" s="1090">
        <v>100</v>
      </c>
      <c r="D143" s="1090"/>
      <c r="E143" s="1091"/>
      <c r="F143" s="1092">
        <v>100.5</v>
      </c>
      <c r="G143" s="1090"/>
      <c r="H143" s="1093"/>
      <c r="I143" s="2649" t="s">
        <v>2629</v>
      </c>
      <c r="J143" s="1090">
        <v>15</v>
      </c>
      <c r="K143" s="1095">
        <f>ROUND(100+(J143-J140)*K139*100,1)</f>
        <v>102</v>
      </c>
    </row>
    <row r="144" spans="1:17" ht="15">
      <c r="B144" s="1089">
        <v>1</v>
      </c>
      <c r="C144" s="1090">
        <v>98</v>
      </c>
      <c r="D144" s="2650" t="s">
        <v>2630</v>
      </c>
      <c r="E144" s="1091">
        <v>102</v>
      </c>
      <c r="F144" s="1097">
        <v>100</v>
      </c>
      <c r="G144" s="2650" t="s">
        <v>2630</v>
      </c>
      <c r="H144" s="1093">
        <v>105</v>
      </c>
      <c r="I144" s="2649" t="s">
        <v>2629</v>
      </c>
      <c r="J144" s="1090">
        <v>18</v>
      </c>
      <c r="K144" s="1095">
        <f>ROUND(100+(J144-J140)*K139*100,1)</f>
        <v>103.2</v>
      </c>
    </row>
    <row r="145" spans="2:11" ht="16.2" thickBot="1">
      <c r="B145" s="2651" t="s">
        <v>2631</v>
      </c>
      <c r="C145" s="1098">
        <f>ROUND(MAX(C139:C144)/MIN(C139:C144)-1,3)</f>
        <v>7.2999999999999995E-2</v>
      </c>
      <c r="D145" s="1099"/>
      <c r="E145" s="1099"/>
      <c r="F145" s="2652" t="s">
        <v>2632</v>
      </c>
      <c r="G145" s="2653"/>
      <c r="H145" s="2654"/>
      <c r="I145" s="2655" t="s">
        <v>2629</v>
      </c>
      <c r="J145" s="1100">
        <v>8</v>
      </c>
      <c r="K145" s="1101">
        <f>ROUND(100+(J145-J140)*K139*100,1)</f>
        <v>99.2</v>
      </c>
    </row>
    <row r="147" spans="2:11" ht="14.4">
      <c r="B147" s="2636" t="s">
        <v>2633</v>
      </c>
    </row>
    <row r="148" spans="2:11" ht="14.4">
      <c r="B148" s="2636"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2521</v>
      </c>
      <c r="B1" s="2581" t="s">
        <v>2635</v>
      </c>
      <c r="C1" s="1633" t="s">
        <v>2523</v>
      </c>
      <c r="D1" s="1620"/>
      <c r="E1" s="2656"/>
      <c r="F1" s="2583"/>
      <c r="G1" s="1630" t="s">
        <v>2636</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2320</v>
      </c>
      <c r="B2" s="1417" t="e">
        <f ca="1">IF(C2="——",ROUND(C49*D3/10000,0),ROUND(C49*D3/10000,0)-D2)</f>
        <v>#DIV/0!</v>
      </c>
      <c r="C2" s="2585"/>
      <c r="D2" s="1364" t="e">
        <f ca="1">SUMIF(INDIRECT("'"&amp;F2&amp;"'"&amp;"!A:A"),"承租人权益价值",INDIRECT("'"&amp;F2&amp;"'"&amp;"!c:c"))</f>
        <v>#REF!</v>
      </c>
      <c r="E2" s="2586" t="s">
        <v>2321</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2322</v>
      </c>
      <c r="B3" s="608" t="e">
        <f ca="1">IF(C2="——",C49,ROUND(B2*10000/D3,0))</f>
        <v>#DIV/0!</v>
      </c>
      <c r="C3" s="399" t="s">
        <v>2637</v>
      </c>
      <c r="D3" s="398">
        <f>IF(D1="",'数据-汇总表'!E3,SUMIF('数据-汇总表'!$C19:$C33,D1,'数据-汇总表'!$E19:$E33))</f>
        <v>1106.44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4.4">
      <c r="A4" s="400" t="s">
        <v>2638</v>
      </c>
      <c r="B4" s="401"/>
      <c r="C4" s="3207" t="s">
        <v>2639</v>
      </c>
      <c r="D4" s="3208"/>
      <c r="E4" s="3209" t="s">
        <v>2640</v>
      </c>
      <c r="F4" s="3210"/>
      <c r="G4" s="3207" t="s">
        <v>2641</v>
      </c>
      <c r="H4" s="3208"/>
      <c r="I4" s="3207" t="s">
        <v>2642</v>
      </c>
      <c r="J4" s="3208"/>
      <c r="K4" s="609" t="s">
        <v>2643</v>
      </c>
      <c r="L4" s="1129"/>
      <c r="M4" s="1130"/>
      <c r="N4" s="1130"/>
      <c r="O4" s="1130"/>
      <c r="P4" s="3211" t="s">
        <v>2644</v>
      </c>
      <c r="Q4" s="3212"/>
      <c r="R4" s="3217" t="s">
        <v>2640</v>
      </c>
      <c r="S4" s="3218"/>
      <c r="T4" s="3217" t="s">
        <v>2641</v>
      </c>
      <c r="U4" s="3218"/>
      <c r="V4" s="3223" t="s">
        <v>2642</v>
      </c>
      <c r="W4" s="3223"/>
      <c r="X4" s="1812"/>
      <c r="Y4" s="3217" t="s">
        <v>2644</v>
      </c>
      <c r="Z4" s="3218"/>
      <c r="AA4" s="3204" t="s">
        <v>2640</v>
      </c>
      <c r="AB4" s="3223" t="s">
        <v>2641</v>
      </c>
      <c r="AC4" s="3204" t="s">
        <v>2642</v>
      </c>
    </row>
    <row r="5" spans="1:29">
      <c r="A5" s="403"/>
      <c r="B5" s="404"/>
      <c r="C5" s="3226" t="s">
        <v>2535</v>
      </c>
      <c r="D5" s="3227"/>
      <c r="E5" s="3233" t="s">
        <v>2536</v>
      </c>
      <c r="F5" s="3234"/>
      <c r="G5" s="3226" t="s">
        <v>2537</v>
      </c>
      <c r="H5" s="3227"/>
      <c r="I5" s="3226" t="s">
        <v>2538</v>
      </c>
      <c r="J5" s="3227"/>
      <c r="K5" s="609"/>
      <c r="L5" s="1129"/>
      <c r="M5" s="1130"/>
      <c r="N5" s="1130"/>
      <c r="O5" s="1130"/>
      <c r="P5" s="3213"/>
      <c r="Q5" s="3214"/>
      <c r="R5" s="3219"/>
      <c r="S5" s="3220"/>
      <c r="T5" s="3219"/>
      <c r="U5" s="3220"/>
      <c r="V5" s="3223"/>
      <c r="W5" s="3223"/>
      <c r="X5" s="1812"/>
      <c r="Y5" s="3219"/>
      <c r="Z5" s="3220"/>
      <c r="AA5" s="3205"/>
      <c r="AB5" s="3223"/>
      <c r="AC5" s="3205"/>
    </row>
    <row r="6" spans="1:29" ht="15" thickBot="1">
      <c r="A6" s="405"/>
      <c r="B6" s="406"/>
      <c r="C6" s="3224" t="s">
        <v>2539</v>
      </c>
      <c r="D6" s="3225"/>
      <c r="E6" s="3231" t="s">
        <v>2539</v>
      </c>
      <c r="F6" s="3232"/>
      <c r="G6" s="3224" t="s">
        <v>2539</v>
      </c>
      <c r="H6" s="3225"/>
      <c r="I6" s="3224" t="s">
        <v>2539</v>
      </c>
      <c r="J6" s="3225"/>
      <c r="K6" s="609" t="s">
        <v>2540</v>
      </c>
      <c r="L6" s="1129"/>
      <c r="M6" s="1130"/>
      <c r="N6" s="1130"/>
      <c r="O6" s="1130"/>
      <c r="P6" s="3215"/>
      <c r="Q6" s="3216"/>
      <c r="R6" s="3219"/>
      <c r="S6" s="3220"/>
      <c r="T6" s="3221"/>
      <c r="U6" s="3222"/>
      <c r="V6" s="3223"/>
      <c r="W6" s="3223"/>
      <c r="X6" s="1812"/>
      <c r="Y6" s="3221"/>
      <c r="Z6" s="3222"/>
      <c r="AA6" s="3206"/>
      <c r="AB6" s="3223"/>
      <c r="AC6" s="3206"/>
    </row>
    <row r="7" spans="1:29" s="117" customFormat="1" ht="15" thickBot="1">
      <c r="A7" s="407" t="s">
        <v>2541</v>
      </c>
      <c r="B7" s="408"/>
      <c r="C7" s="409">
        <f>'数据-取费表'!B2</f>
        <v>43942</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28" t="s">
        <v>2542</v>
      </c>
      <c r="Q7" s="3230"/>
      <c r="R7" s="769" t="s">
        <v>17</v>
      </c>
      <c r="S7" s="770">
        <f t="shared" ref="S7:S15" si="0">F7</f>
        <v>0</v>
      </c>
      <c r="T7" s="769" t="s">
        <v>17</v>
      </c>
      <c r="U7" s="770">
        <f t="shared" ref="U7:U15" si="1">H7</f>
        <v>0</v>
      </c>
      <c r="V7" s="769" t="s">
        <v>17</v>
      </c>
      <c r="W7" s="770">
        <f t="shared" ref="W7:W15" si="2">J7</f>
        <v>0</v>
      </c>
      <c r="X7" s="771"/>
      <c r="Y7" s="3228" t="s">
        <v>2542</v>
      </c>
      <c r="Z7" s="3229"/>
      <c r="AA7" s="772" t="e">
        <f>D7/F7</f>
        <v>#DIV/0!</v>
      </c>
      <c r="AB7" s="772" t="e">
        <f>D7/H7</f>
        <v>#DIV/0!</v>
      </c>
      <c r="AC7" s="772" t="e">
        <f>D7/J7</f>
        <v>#DIV/0!</v>
      </c>
    </row>
    <row r="8" spans="1:29" s="117" customFormat="1" ht="15" thickBot="1">
      <c r="A8" s="407" t="s">
        <v>2543</v>
      </c>
      <c r="B8" s="408"/>
      <c r="C8" s="413" t="s">
        <v>2645</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28" t="s">
        <v>2545</v>
      </c>
      <c r="Q8" s="3229"/>
      <c r="R8" s="769" t="s">
        <v>17</v>
      </c>
      <c r="S8" s="770">
        <f t="shared" si="0"/>
        <v>0</v>
      </c>
      <c r="T8" s="769" t="s">
        <v>17</v>
      </c>
      <c r="U8" s="770">
        <f t="shared" si="1"/>
        <v>0</v>
      </c>
      <c r="V8" s="769" t="s">
        <v>17</v>
      </c>
      <c r="W8" s="770">
        <f t="shared" si="2"/>
        <v>0</v>
      </c>
      <c r="X8" s="771"/>
      <c r="Y8" s="3228" t="s">
        <v>2545</v>
      </c>
      <c r="Z8" s="3229"/>
      <c r="AA8" s="772" t="e">
        <f t="shared" ref="AA8:AA46" si="3">D8/F8</f>
        <v>#DIV/0!</v>
      </c>
      <c r="AB8" s="772" t="e">
        <f t="shared" ref="AB8:AB46" si="4">D8/H8</f>
        <v>#DIV/0!</v>
      </c>
      <c r="AC8" s="772" t="e">
        <f t="shared" ref="AC8:AC46" si="5">D8/J8</f>
        <v>#DIV/0!</v>
      </c>
    </row>
    <row r="9" spans="1:29" s="117" customFormat="1" ht="14.4">
      <c r="A9" s="414" t="s">
        <v>2546</v>
      </c>
      <c r="B9" s="71" t="s">
        <v>2547</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03" t="s">
        <v>2548</v>
      </c>
      <c r="Q9" s="1794" t="str">
        <f t="shared" ref="Q9:Q15" si="6">B9</f>
        <v>用途</v>
      </c>
      <c r="R9" s="769" t="s">
        <v>17</v>
      </c>
      <c r="S9" s="770">
        <f t="shared" si="0"/>
        <v>100</v>
      </c>
      <c r="T9" s="769" t="s">
        <v>17</v>
      </c>
      <c r="U9" s="770">
        <f t="shared" si="1"/>
        <v>100</v>
      </c>
      <c r="V9" s="769" t="s">
        <v>17</v>
      </c>
      <c r="W9" s="770">
        <f t="shared" si="2"/>
        <v>100</v>
      </c>
      <c r="X9" s="771"/>
      <c r="Y9" s="3017" t="s">
        <v>2549</v>
      </c>
      <c r="Z9" s="55" t="str">
        <f t="shared" ref="Z9:Z15" si="7">Q9</f>
        <v>用途</v>
      </c>
      <c r="AA9" s="772">
        <f t="shared" si="3"/>
        <v>1</v>
      </c>
      <c r="AB9" s="772">
        <f t="shared" si="4"/>
        <v>1</v>
      </c>
      <c r="AC9" s="772">
        <f t="shared" si="5"/>
        <v>1</v>
      </c>
    </row>
    <row r="10" spans="1:29" s="426" customFormat="1" ht="28.8">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03"/>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03"/>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03"/>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03"/>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6"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03"/>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69">
      <c r="A15" s="439" t="s">
        <v>2552</v>
      </c>
      <c r="B15" s="69" t="s">
        <v>2646</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01" t="s">
        <v>2553</v>
      </c>
      <c r="Q15" s="1809" t="str">
        <f t="shared" si="6"/>
        <v>商业繁华度</v>
      </c>
      <c r="R15" s="773" t="s">
        <v>17</v>
      </c>
      <c r="S15" s="774">
        <f t="shared" si="0"/>
        <v>100</v>
      </c>
      <c r="T15" s="773" t="s">
        <v>17</v>
      </c>
      <c r="U15" s="774">
        <f t="shared" si="1"/>
        <v>100</v>
      </c>
      <c r="V15" s="773" t="s">
        <v>17</v>
      </c>
      <c r="W15" s="774">
        <f t="shared" si="2"/>
        <v>100</v>
      </c>
      <c r="X15" s="1812"/>
      <c r="Y15" s="3194" t="s">
        <v>2553</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02"/>
      <c r="Q16" s="1809"/>
      <c r="R16" s="773"/>
      <c r="S16" s="774"/>
      <c r="T16" s="773"/>
      <c r="U16" s="774"/>
      <c r="V16" s="773"/>
      <c r="W16" s="774"/>
      <c r="X16" s="1812"/>
      <c r="Y16" s="3195"/>
      <c r="Z16" s="1813"/>
      <c r="AA16" s="1810">
        <v>1</v>
      </c>
      <c r="AB16" s="1810">
        <v>1</v>
      </c>
      <c r="AC16" s="1810">
        <v>1</v>
      </c>
    </row>
    <row r="17" spans="1:29" ht="82.8">
      <c r="A17" s="427"/>
      <c r="B17" s="450" t="s">
        <v>2092</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02"/>
      <c r="Q17" s="1809" t="str">
        <f>B17</f>
        <v>交通便捷度</v>
      </c>
      <c r="R17" s="773" t="s">
        <v>17</v>
      </c>
      <c r="S17" s="774">
        <f>F17</f>
        <v>100</v>
      </c>
      <c r="T17" s="773" t="s">
        <v>17</v>
      </c>
      <c r="U17" s="774">
        <f>H17</f>
        <v>100</v>
      </c>
      <c r="V17" s="773" t="s">
        <v>17</v>
      </c>
      <c r="W17" s="774">
        <f>J17</f>
        <v>100</v>
      </c>
      <c r="X17" s="1812"/>
      <c r="Y17" s="3195"/>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202"/>
      <c r="Q18" s="1809"/>
      <c r="R18" s="773"/>
      <c r="S18" s="774"/>
      <c r="T18" s="773"/>
      <c r="U18" s="774"/>
      <c r="V18" s="773"/>
      <c r="W18" s="774"/>
      <c r="X18" s="1812"/>
      <c r="Y18" s="3195"/>
      <c r="Z18" s="1813"/>
      <c r="AA18" s="1810">
        <v>1</v>
      </c>
      <c r="AB18" s="1810">
        <v>1</v>
      </c>
      <c r="AC18" s="1810">
        <v>1</v>
      </c>
    </row>
    <row r="19" spans="1:29" ht="41.4">
      <c r="A19" s="427"/>
      <c r="B19" s="450" t="s">
        <v>2647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02"/>
      <c r="Q19" s="1809" t="str">
        <f>B19</f>
        <v>公共配套设施</v>
      </c>
      <c r="R19" s="773" t="s">
        <v>17</v>
      </c>
      <c r="S19" s="774">
        <f>F19</f>
        <v>100</v>
      </c>
      <c r="T19" s="773" t="s">
        <v>17</v>
      </c>
      <c r="U19" s="774">
        <f>H19</f>
        <v>100</v>
      </c>
      <c r="V19" s="773" t="s">
        <v>17</v>
      </c>
      <c r="W19" s="774">
        <f>J19</f>
        <v>100</v>
      </c>
      <c r="X19" s="1812"/>
      <c r="Y19" s="3195"/>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202"/>
      <c r="Q20" s="1809"/>
      <c r="R20" s="773"/>
      <c r="S20" s="774"/>
      <c r="T20" s="773"/>
      <c r="U20" s="774"/>
      <c r="V20" s="773"/>
      <c r="W20" s="774"/>
      <c r="X20" s="1812"/>
      <c r="Y20" s="3195"/>
      <c r="Z20" s="1813"/>
      <c r="AA20" s="1810">
        <v>1</v>
      </c>
      <c r="AB20" s="1810">
        <v>1</v>
      </c>
      <c r="AC20" s="1810">
        <v>1</v>
      </c>
    </row>
    <row r="21" spans="1:29" ht="27.6">
      <c r="A21" s="427"/>
      <c r="B21" s="1383" t="s">
        <v>2648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02"/>
      <c r="Q21" s="1809" t="str">
        <f>B21</f>
        <v>基础设施水平</v>
      </c>
      <c r="R21" s="773" t="s">
        <v>17</v>
      </c>
      <c r="S21" s="774">
        <f>F21</f>
        <v>100</v>
      </c>
      <c r="T21" s="773" t="s">
        <v>17</v>
      </c>
      <c r="U21" s="774">
        <f>H21</f>
        <v>100</v>
      </c>
      <c r="V21" s="773" t="s">
        <v>17</v>
      </c>
      <c r="W21" s="774">
        <f>J21</f>
        <v>100</v>
      </c>
      <c r="X21" s="1812"/>
      <c r="Y21" s="3195"/>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202"/>
      <c r="Q22" s="1809"/>
      <c r="R22" s="773"/>
      <c r="S22" s="774"/>
      <c r="T22" s="773"/>
      <c r="U22" s="774"/>
      <c r="V22" s="773"/>
      <c r="W22" s="774"/>
      <c r="X22" s="1812"/>
      <c r="Y22" s="3195"/>
      <c r="Z22" s="1813"/>
      <c r="AA22" s="1810">
        <v>1</v>
      </c>
      <c r="AB22" s="1810">
        <v>1</v>
      </c>
      <c r="AC22" s="1810">
        <v>1</v>
      </c>
    </row>
    <row r="23" spans="1:29" ht="55.2">
      <c r="A23" s="427"/>
      <c r="B23" s="450" t="s">
        <v>2097</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02"/>
      <c r="Q23" s="1809" t="str">
        <f>B23</f>
        <v>自然及人文环境</v>
      </c>
      <c r="R23" s="773" t="s">
        <v>17</v>
      </c>
      <c r="S23" s="774">
        <f>F23</f>
        <v>100</v>
      </c>
      <c r="T23" s="773" t="s">
        <v>17</v>
      </c>
      <c r="U23" s="774">
        <f>H23</f>
        <v>100</v>
      </c>
      <c r="V23" s="773" t="s">
        <v>17</v>
      </c>
      <c r="W23" s="774">
        <f>J23</f>
        <v>100</v>
      </c>
      <c r="X23" s="1812"/>
      <c r="Y23" s="3195"/>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202"/>
      <c r="Q24" s="1809"/>
      <c r="R24" s="773"/>
      <c r="S24" s="774"/>
      <c r="T24" s="773"/>
      <c r="U24" s="774"/>
      <c r="V24" s="773"/>
      <c r="W24" s="774"/>
      <c r="X24" s="1812"/>
      <c r="Y24" s="3195"/>
      <c r="Z24" s="1813"/>
      <c r="AA24" s="1810">
        <v>1</v>
      </c>
      <c r="AB24" s="1810">
        <v>1</v>
      </c>
      <c r="AC24" s="1810">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02"/>
      <c r="Q25" s="1809" t="str">
        <f t="shared" ref="Q25:Q46" si="11">B25</f>
        <v>临街状况</v>
      </c>
      <c r="R25" s="773" t="s">
        <v>17</v>
      </c>
      <c r="S25" s="774">
        <f>F25</f>
        <v>100</v>
      </c>
      <c r="T25" s="773" t="s">
        <v>17</v>
      </c>
      <c r="U25" s="774">
        <f>H25</f>
        <v>100</v>
      </c>
      <c r="V25" s="773" t="s">
        <v>17</v>
      </c>
      <c r="W25" s="774">
        <f>J25</f>
        <v>100</v>
      </c>
      <c r="X25" s="1812"/>
      <c r="Y25" s="3195"/>
      <c r="Z25" s="1813" t="str">
        <f>Q25</f>
        <v>临街状况</v>
      </c>
      <c r="AA25" s="1810">
        <f t="shared" si="3"/>
        <v>1</v>
      </c>
      <c r="AB25" s="1810">
        <f t="shared" si="4"/>
        <v>1</v>
      </c>
      <c r="AC25" s="1810">
        <f t="shared" si="5"/>
        <v>1</v>
      </c>
    </row>
    <row r="26" spans="1:29" ht="15">
      <c r="A26" s="427"/>
      <c r="B26" s="1385" t="s">
        <v>2650</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02"/>
      <c r="Q26" s="1809" t="str">
        <f t="shared" si="11"/>
        <v>平面位置/可视性</v>
      </c>
      <c r="R26" s="773" t="s">
        <v>17</v>
      </c>
      <c r="S26" s="774">
        <f>F26</f>
        <v>100</v>
      </c>
      <c r="T26" s="773" t="s">
        <v>17</v>
      </c>
      <c r="U26" s="774">
        <f>H26</f>
        <v>100</v>
      </c>
      <c r="V26" s="773" t="s">
        <v>17</v>
      </c>
      <c r="W26" s="774">
        <f>J26</f>
        <v>100</v>
      </c>
      <c r="X26" s="1812"/>
      <c r="Y26" s="3195"/>
      <c r="Z26" s="1813" t="str">
        <f>Q26</f>
        <v>平面位置/可视性</v>
      </c>
      <c r="AA26" s="1810">
        <f t="shared" si="3"/>
        <v>1</v>
      </c>
      <c r="AB26" s="1810">
        <f t="shared" si="4"/>
        <v>1</v>
      </c>
      <c r="AC26" s="1810">
        <f t="shared" si="5"/>
        <v>1</v>
      </c>
    </row>
    <row r="27" spans="1:29" s="117" customFormat="1" ht="15">
      <c r="A27" s="430"/>
      <c r="B27" s="450" t="s">
        <v>2651</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202"/>
      <c r="Q27" s="1794" t="str">
        <f t="shared" si="11"/>
        <v>人流量</v>
      </c>
      <c r="R27" s="769" t="s">
        <v>17</v>
      </c>
      <c r="S27" s="770">
        <f>F27</f>
        <v>100</v>
      </c>
      <c r="T27" s="769" t="s">
        <v>17</v>
      </c>
      <c r="U27" s="770">
        <f>H27</f>
        <v>100</v>
      </c>
      <c r="V27" s="769" t="s">
        <v>17</v>
      </c>
      <c r="W27" s="770">
        <f>J27</f>
        <v>100</v>
      </c>
      <c r="X27" s="771"/>
      <c r="Y27" s="3195"/>
      <c r="Z27" s="55" t="str">
        <f>Q27</f>
        <v>人流量</v>
      </c>
      <c r="AA27" s="1810">
        <f>D27/F27</f>
        <v>1</v>
      </c>
      <c r="AB27" s="1810">
        <f>D27/H27</f>
        <v>1</v>
      </c>
      <c r="AC27" s="1810">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02"/>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95"/>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02"/>
      <c r="Q29" s="1809">
        <f t="shared" si="11"/>
        <v>111</v>
      </c>
      <c r="R29" s="773" t="s">
        <v>17</v>
      </c>
      <c r="S29" s="774">
        <f t="shared" si="12"/>
        <v>100</v>
      </c>
      <c r="T29" s="773" t="s">
        <v>17</v>
      </c>
      <c r="U29" s="774">
        <f t="shared" si="13"/>
        <v>100</v>
      </c>
      <c r="V29" s="773" t="s">
        <v>17</v>
      </c>
      <c r="W29" s="774">
        <f t="shared" si="14"/>
        <v>100</v>
      </c>
      <c r="X29" s="1812"/>
      <c r="Y29" s="3195"/>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02"/>
      <c r="Q30" s="1809">
        <f t="shared" si="11"/>
        <v>111</v>
      </c>
      <c r="R30" s="773" t="s">
        <v>17</v>
      </c>
      <c r="S30" s="774">
        <f t="shared" si="12"/>
        <v>100</v>
      </c>
      <c r="T30" s="773" t="s">
        <v>17</v>
      </c>
      <c r="U30" s="774">
        <f t="shared" si="13"/>
        <v>100</v>
      </c>
      <c r="V30" s="773" t="s">
        <v>17</v>
      </c>
      <c r="W30" s="774">
        <f t="shared" si="14"/>
        <v>100</v>
      </c>
      <c r="X30" s="1812"/>
      <c r="Y30" s="3195"/>
      <c r="Z30" s="1813">
        <f t="shared" si="15"/>
        <v>111</v>
      </c>
      <c r="AA30" s="1810">
        <f t="shared" si="3"/>
        <v>1</v>
      </c>
      <c r="AB30" s="1810">
        <f t="shared" si="4"/>
        <v>1</v>
      </c>
      <c r="AC30" s="1810">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02"/>
      <c r="Q31" s="1809">
        <f t="shared" si="11"/>
        <v>111</v>
      </c>
      <c r="R31" s="773" t="s">
        <v>17</v>
      </c>
      <c r="S31" s="774">
        <f t="shared" si="12"/>
        <v>100</v>
      </c>
      <c r="T31" s="773" t="s">
        <v>17</v>
      </c>
      <c r="U31" s="774">
        <f t="shared" si="13"/>
        <v>100</v>
      </c>
      <c r="V31" s="773" t="s">
        <v>17</v>
      </c>
      <c r="W31" s="774">
        <f t="shared" si="14"/>
        <v>100</v>
      </c>
      <c r="X31" s="1812"/>
      <c r="Y31" s="3195"/>
      <c r="Z31" s="1813">
        <f t="shared" si="15"/>
        <v>111</v>
      </c>
      <c r="AA31" s="1810">
        <f t="shared" si="3"/>
        <v>1</v>
      </c>
      <c r="AB31" s="1810">
        <f t="shared" si="4"/>
        <v>1</v>
      </c>
      <c r="AC31" s="1810">
        <f t="shared" si="5"/>
        <v>1</v>
      </c>
    </row>
    <row r="32" spans="1:29" ht="15">
      <c r="A32" s="439" t="s">
        <v>2556</v>
      </c>
      <c r="B32" s="71" t="s">
        <v>2653</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196" t="s">
        <v>2558</v>
      </c>
      <c r="Q32" s="1809" t="str">
        <f t="shared" si="11"/>
        <v>商业类型</v>
      </c>
      <c r="R32" s="773" t="s">
        <v>17</v>
      </c>
      <c r="S32" s="774">
        <f t="shared" si="12"/>
        <v>100</v>
      </c>
      <c r="T32" s="773" t="s">
        <v>17</v>
      </c>
      <c r="U32" s="774">
        <f t="shared" si="13"/>
        <v>100</v>
      </c>
      <c r="V32" s="773" t="s">
        <v>17</v>
      </c>
      <c r="W32" s="774">
        <f t="shared" si="14"/>
        <v>100</v>
      </c>
      <c r="X32" s="1812"/>
      <c r="Y32" s="3199" t="s">
        <v>2558</v>
      </c>
      <c r="Z32" s="1813" t="str">
        <f t="shared" si="15"/>
        <v>商业类型</v>
      </c>
      <c r="AA32" s="1810">
        <f t="shared" si="3"/>
        <v>1</v>
      </c>
      <c r="AB32" s="1810">
        <f t="shared" si="4"/>
        <v>1</v>
      </c>
      <c r="AC32" s="1810">
        <f t="shared" si="5"/>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197"/>
      <c r="Q33" s="775" t="str">
        <f t="shared" si="11"/>
        <v>项目建筑规模</v>
      </c>
      <c r="R33" s="776" t="s">
        <v>17</v>
      </c>
      <c r="S33" s="777" t="e">
        <f t="shared" si="12"/>
        <v>#N/A</v>
      </c>
      <c r="T33" s="776" t="s">
        <v>17</v>
      </c>
      <c r="U33" s="777" t="e">
        <f t="shared" si="13"/>
        <v>#N/A</v>
      </c>
      <c r="V33" s="776" t="s">
        <v>17</v>
      </c>
      <c r="W33" s="777" t="e">
        <f t="shared" si="14"/>
        <v>#N/A</v>
      </c>
      <c r="X33" s="778"/>
      <c r="Y33" s="3199"/>
      <c r="Z33" s="779" t="str">
        <f t="shared" si="15"/>
        <v>项目建筑规模</v>
      </c>
      <c r="AA33" s="1810" t="e">
        <f t="shared" si="3"/>
        <v>#N/A</v>
      </c>
      <c r="AB33" s="1810" t="e">
        <f t="shared" si="4"/>
        <v>#N/A</v>
      </c>
      <c r="AC33" s="1810" t="e">
        <f t="shared" si="5"/>
        <v>#N/A</v>
      </c>
    </row>
    <row r="34" spans="1:29" ht="15">
      <c r="A34" s="471"/>
      <c r="B34" s="421" t="s">
        <v>2560</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197"/>
      <c r="Q34" s="1809" t="str">
        <f t="shared" si="11"/>
        <v>建筑结构</v>
      </c>
      <c r="R34" s="773" t="s">
        <v>17</v>
      </c>
      <c r="S34" s="774">
        <f t="shared" si="12"/>
        <v>100</v>
      </c>
      <c r="T34" s="773" t="s">
        <v>17</v>
      </c>
      <c r="U34" s="774">
        <f t="shared" si="13"/>
        <v>100</v>
      </c>
      <c r="V34" s="773" t="s">
        <v>17</v>
      </c>
      <c r="W34" s="774">
        <f t="shared" si="14"/>
        <v>100</v>
      </c>
      <c r="X34" s="1812"/>
      <c r="Y34" s="3199"/>
      <c r="Z34" s="1813" t="str">
        <f t="shared" si="15"/>
        <v>建筑结构</v>
      </c>
      <c r="AA34" s="1810">
        <f t="shared" si="3"/>
        <v>1</v>
      </c>
      <c r="AB34" s="1810">
        <f t="shared" si="4"/>
        <v>1</v>
      </c>
      <c r="AC34" s="1810">
        <f t="shared" si="5"/>
        <v>1</v>
      </c>
    </row>
    <row r="35" spans="1:29" ht="15">
      <c r="A35" s="471"/>
      <c r="B35" s="421" t="s">
        <v>2654</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197"/>
      <c r="Q35" s="1809" t="str">
        <f t="shared" si="11"/>
        <v>公共部分装修</v>
      </c>
      <c r="R35" s="773" t="s">
        <v>17</v>
      </c>
      <c r="S35" s="774">
        <f t="shared" si="12"/>
        <v>100</v>
      </c>
      <c r="T35" s="773" t="s">
        <v>17</v>
      </c>
      <c r="U35" s="774">
        <f t="shared" si="13"/>
        <v>100</v>
      </c>
      <c r="V35" s="773" t="s">
        <v>17</v>
      </c>
      <c r="W35" s="774">
        <f t="shared" si="14"/>
        <v>100</v>
      </c>
      <c r="X35" s="1812"/>
      <c r="Y35" s="3199"/>
      <c r="Z35" s="1813" t="str">
        <f t="shared" si="15"/>
        <v>公共部分装修</v>
      </c>
      <c r="AA35" s="1810">
        <f t="shared" si="3"/>
        <v>1</v>
      </c>
      <c r="AB35" s="1810">
        <f t="shared" si="4"/>
        <v>1</v>
      </c>
      <c r="AC35" s="1810">
        <f t="shared" si="5"/>
        <v>1</v>
      </c>
    </row>
    <row r="36" spans="1:29" ht="15">
      <c r="A36" s="471"/>
      <c r="B36" s="421" t="s">
        <v>2655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197"/>
      <c r="Q36" s="1809" t="str">
        <f t="shared" si="11"/>
        <v>成新度</v>
      </c>
      <c r="R36" s="773" t="s">
        <v>17</v>
      </c>
      <c r="S36" s="774" t="e">
        <f t="shared" si="12"/>
        <v>#N/A</v>
      </c>
      <c r="T36" s="773" t="s">
        <v>17</v>
      </c>
      <c r="U36" s="774" t="e">
        <f t="shared" si="13"/>
        <v>#N/A</v>
      </c>
      <c r="V36" s="773" t="s">
        <v>17</v>
      </c>
      <c r="W36" s="774" t="e">
        <f t="shared" si="14"/>
        <v>#N/A</v>
      </c>
      <c r="X36" s="1812"/>
      <c r="Y36" s="3199"/>
      <c r="Z36" s="1813" t="str">
        <f t="shared" si="15"/>
        <v>成新度</v>
      </c>
      <c r="AA36" s="1810" t="e">
        <f t="shared" si="3"/>
        <v>#N/A</v>
      </c>
      <c r="AB36" s="1810" t="e">
        <f t="shared" si="4"/>
        <v>#N/A</v>
      </c>
      <c r="AC36" s="1810" t="e">
        <f t="shared" si="5"/>
        <v>#N/A</v>
      </c>
    </row>
    <row r="37" spans="1:29" s="117" customFormat="1" ht="15">
      <c r="A37" s="472"/>
      <c r="B37" s="421" t="s">
        <v>2656</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197"/>
      <c r="Q37" s="1794" t="str">
        <f t="shared" si="11"/>
        <v>市政基础设施</v>
      </c>
      <c r="R37" s="769" t="s">
        <v>17</v>
      </c>
      <c r="S37" s="770">
        <f t="shared" si="12"/>
        <v>100</v>
      </c>
      <c r="T37" s="769" t="s">
        <v>17</v>
      </c>
      <c r="U37" s="770">
        <f t="shared" si="13"/>
        <v>100</v>
      </c>
      <c r="V37" s="769" t="s">
        <v>17</v>
      </c>
      <c r="W37" s="770">
        <f t="shared" si="14"/>
        <v>100</v>
      </c>
      <c r="X37" s="771"/>
      <c r="Y37" s="3199"/>
      <c r="Z37" s="55" t="str">
        <f t="shared" si="15"/>
        <v>市政基础设施</v>
      </c>
      <c r="AA37" s="772">
        <f t="shared" si="3"/>
        <v>1</v>
      </c>
      <c r="AB37" s="772">
        <f t="shared" si="4"/>
        <v>1</v>
      </c>
      <c r="AC37" s="772">
        <f t="shared" si="5"/>
        <v>1</v>
      </c>
    </row>
    <row r="38" spans="1:29" ht="15">
      <c r="A38" s="471"/>
      <c r="B38" s="421" t="s">
        <v>2657</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197" t="s">
        <v>2558</v>
      </c>
      <c r="Q38" s="1809" t="str">
        <f t="shared" si="11"/>
        <v>业态</v>
      </c>
      <c r="R38" s="773" t="s">
        <v>17</v>
      </c>
      <c r="S38" s="774">
        <f t="shared" si="12"/>
        <v>100</v>
      </c>
      <c r="T38" s="773" t="s">
        <v>17</v>
      </c>
      <c r="U38" s="774">
        <f t="shared" si="13"/>
        <v>100</v>
      </c>
      <c r="V38" s="773" t="s">
        <v>17</v>
      </c>
      <c r="W38" s="774">
        <f t="shared" si="14"/>
        <v>100</v>
      </c>
      <c r="X38" s="1812"/>
      <c r="Y38" s="3199" t="s">
        <v>2558</v>
      </c>
      <c r="Z38" s="1813" t="str">
        <f t="shared" si="15"/>
        <v>业态</v>
      </c>
      <c r="AA38" s="1810">
        <f t="shared" si="3"/>
        <v>1</v>
      </c>
      <c r="AB38" s="1810">
        <f t="shared" si="4"/>
        <v>1</v>
      </c>
      <c r="AC38" s="1810">
        <f t="shared" si="5"/>
        <v>1</v>
      </c>
    </row>
    <row r="39" spans="1:29" ht="15">
      <c r="A39" s="471"/>
      <c r="B39" s="421" t="s">
        <v>2658</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197"/>
      <c r="Q39" s="1809" t="str">
        <f t="shared" si="11"/>
        <v>层高</v>
      </c>
      <c r="R39" s="773" t="s">
        <v>17</v>
      </c>
      <c r="S39" s="774">
        <f t="shared" si="12"/>
        <v>100</v>
      </c>
      <c r="T39" s="773" t="s">
        <v>17</v>
      </c>
      <c r="U39" s="774">
        <f t="shared" si="13"/>
        <v>100</v>
      </c>
      <c r="V39" s="773" t="s">
        <v>17</v>
      </c>
      <c r="W39" s="774">
        <f t="shared" si="14"/>
        <v>100</v>
      </c>
      <c r="X39" s="1812"/>
      <c r="Y39" s="3199"/>
      <c r="Z39" s="1813" t="str">
        <f t="shared" si="15"/>
        <v>层高</v>
      </c>
      <c r="AA39" s="1810">
        <f t="shared" si="3"/>
        <v>1</v>
      </c>
      <c r="AB39" s="1810">
        <f t="shared" si="4"/>
        <v>1</v>
      </c>
      <c r="AC39" s="1810">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97"/>
      <c r="Q40" s="1809" t="str">
        <f t="shared" si="11"/>
        <v>单套建筑面积</v>
      </c>
      <c r="R40" s="773" t="s">
        <v>17</v>
      </c>
      <c r="S40" s="774">
        <f t="shared" si="12"/>
        <v>100</v>
      </c>
      <c r="T40" s="773" t="s">
        <v>17</v>
      </c>
      <c r="U40" s="774">
        <f t="shared" si="13"/>
        <v>100</v>
      </c>
      <c r="V40" s="773" t="s">
        <v>17</v>
      </c>
      <c r="W40" s="774">
        <f t="shared" si="14"/>
        <v>100</v>
      </c>
      <c r="X40" s="1812"/>
      <c r="Y40" s="3199"/>
      <c r="Z40" s="1813" t="str">
        <f t="shared" si="15"/>
        <v>单套建筑面积</v>
      </c>
      <c r="AA40" s="1810">
        <f t="shared" si="3"/>
        <v>1</v>
      </c>
      <c r="AB40" s="1810">
        <f t="shared" si="4"/>
        <v>1</v>
      </c>
      <c r="AC40" s="1810">
        <f t="shared" si="5"/>
        <v>1</v>
      </c>
    </row>
    <row r="41" spans="1:29" s="470" customFormat="1" ht="15">
      <c r="A41" s="467"/>
      <c r="B41" s="1811"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197"/>
      <c r="Q41" s="775" t="str">
        <f t="shared" si="11"/>
        <v>进深比</v>
      </c>
      <c r="R41" s="776" t="s">
        <v>17</v>
      </c>
      <c r="S41" s="777">
        <f t="shared" si="12"/>
        <v>100</v>
      </c>
      <c r="T41" s="776" t="s">
        <v>17</v>
      </c>
      <c r="U41" s="777">
        <f t="shared" si="13"/>
        <v>100</v>
      </c>
      <c r="V41" s="776" t="s">
        <v>17</v>
      </c>
      <c r="W41" s="777">
        <f t="shared" si="14"/>
        <v>100</v>
      </c>
      <c r="X41" s="778"/>
      <c r="Y41" s="3199"/>
      <c r="Z41" s="779" t="str">
        <f t="shared" si="15"/>
        <v>进深比</v>
      </c>
      <c r="AA41" s="1810">
        <f t="shared" si="3"/>
        <v>1</v>
      </c>
      <c r="AB41" s="1810">
        <f t="shared" si="4"/>
        <v>1</v>
      </c>
      <c r="AC41" s="1810">
        <f t="shared" si="5"/>
        <v>1</v>
      </c>
    </row>
    <row r="42" spans="1:29" ht="15">
      <c r="A42" s="471"/>
      <c r="B42" s="421" t="s">
        <v>2661</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197"/>
      <c r="Q42" s="1809" t="str">
        <f t="shared" si="11"/>
        <v>内部装修</v>
      </c>
      <c r="R42" s="773" t="s">
        <v>17</v>
      </c>
      <c r="S42" s="774">
        <f t="shared" si="12"/>
        <v>100</v>
      </c>
      <c r="T42" s="773" t="s">
        <v>17</v>
      </c>
      <c r="U42" s="774">
        <f t="shared" si="13"/>
        <v>100</v>
      </c>
      <c r="V42" s="773" t="s">
        <v>17</v>
      </c>
      <c r="W42" s="774">
        <f t="shared" si="14"/>
        <v>100</v>
      </c>
      <c r="X42" s="1812"/>
      <c r="Y42" s="3199"/>
      <c r="Z42" s="1813" t="str">
        <f t="shared" si="15"/>
        <v>内部装修</v>
      </c>
      <c r="AA42" s="1810">
        <f t="shared" si="3"/>
        <v>1</v>
      </c>
      <c r="AB42" s="1810">
        <f t="shared" si="4"/>
        <v>1</v>
      </c>
      <c r="AC42" s="1810">
        <f t="shared" si="5"/>
        <v>1</v>
      </c>
    </row>
    <row r="43" spans="1:29" ht="28.8">
      <c r="A43" s="471"/>
      <c r="B43" s="421" t="s">
        <v>2569</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197"/>
      <c r="Q43" s="1809" t="str">
        <f t="shared" si="11"/>
        <v>内部装修维护情况</v>
      </c>
      <c r="R43" s="773" t="s">
        <v>17</v>
      </c>
      <c r="S43" s="774">
        <f t="shared" si="12"/>
        <v>100</v>
      </c>
      <c r="T43" s="773" t="s">
        <v>17</v>
      </c>
      <c r="U43" s="774">
        <f t="shared" si="13"/>
        <v>100</v>
      </c>
      <c r="V43" s="773" t="s">
        <v>17</v>
      </c>
      <c r="W43" s="774">
        <f t="shared" si="14"/>
        <v>100</v>
      </c>
      <c r="X43" s="1812"/>
      <c r="Y43" s="3199"/>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97"/>
      <c r="Q44" s="1794">
        <f t="shared" si="11"/>
        <v>111</v>
      </c>
      <c r="R44" s="769" t="s">
        <v>17</v>
      </c>
      <c r="S44" s="770">
        <f t="shared" si="12"/>
        <v>100</v>
      </c>
      <c r="T44" s="769" t="s">
        <v>17</v>
      </c>
      <c r="U44" s="770">
        <f t="shared" si="13"/>
        <v>100</v>
      </c>
      <c r="V44" s="769" t="s">
        <v>17</v>
      </c>
      <c r="W44" s="770">
        <f t="shared" si="14"/>
        <v>100</v>
      </c>
      <c r="X44" s="771"/>
      <c r="Y44" s="3199"/>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97"/>
      <c r="Q45" s="1809">
        <f t="shared" si="11"/>
        <v>111</v>
      </c>
      <c r="R45" s="773" t="s">
        <v>17</v>
      </c>
      <c r="S45" s="774">
        <f t="shared" si="12"/>
        <v>100</v>
      </c>
      <c r="T45" s="773" t="s">
        <v>17</v>
      </c>
      <c r="U45" s="774">
        <f t="shared" si="13"/>
        <v>100</v>
      </c>
      <c r="V45" s="773" t="s">
        <v>17</v>
      </c>
      <c r="W45" s="774">
        <f t="shared" si="14"/>
        <v>100</v>
      </c>
      <c r="X45" s="1812"/>
      <c r="Y45" s="3199"/>
      <c r="Z45" s="1813">
        <f t="shared" si="15"/>
        <v>111</v>
      </c>
      <c r="AA45" s="1810">
        <f t="shared" si="3"/>
        <v>1</v>
      </c>
      <c r="AB45" s="1810">
        <f t="shared" si="4"/>
        <v>1</v>
      </c>
      <c r="AC45" s="1810">
        <f t="shared" si="5"/>
        <v>1</v>
      </c>
    </row>
    <row r="46" spans="1:29" ht="15.6"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98"/>
      <c r="Q46" s="1809">
        <f t="shared" si="11"/>
        <v>111</v>
      </c>
      <c r="R46" s="773" t="s">
        <v>17</v>
      </c>
      <c r="S46" s="774">
        <f t="shared" si="12"/>
        <v>100</v>
      </c>
      <c r="T46" s="773" t="s">
        <v>17</v>
      </c>
      <c r="U46" s="774">
        <f t="shared" si="13"/>
        <v>100</v>
      </c>
      <c r="V46" s="773" t="s">
        <v>17</v>
      </c>
      <c r="W46" s="774">
        <f t="shared" si="14"/>
        <v>100</v>
      </c>
      <c r="X46" s="1812"/>
      <c r="Y46" s="3200"/>
      <c r="Z46" s="1813">
        <f t="shared" si="15"/>
        <v>111</v>
      </c>
      <c r="AA46" s="1810">
        <f t="shared" si="3"/>
        <v>1</v>
      </c>
      <c r="AB46" s="1810">
        <f t="shared" si="4"/>
        <v>1</v>
      </c>
      <c r="AC46" s="1810">
        <f t="shared" si="5"/>
        <v>1</v>
      </c>
    </row>
    <row r="47" spans="1:29" ht="14.4">
      <c r="A47" s="478" t="s">
        <v>2570</v>
      </c>
      <c r="B47" s="479"/>
      <c r="C47" s="1406" t="s">
        <v>1</v>
      </c>
      <c r="D47" s="1407"/>
      <c r="E47" s="1408"/>
      <c r="F47" s="1409"/>
      <c r="G47" s="1410"/>
      <c r="H47" s="1411"/>
      <c r="I47" s="1408"/>
      <c r="J47" s="1411"/>
      <c r="K47" s="782"/>
      <c r="L47" s="1142"/>
      <c r="M47" s="1143"/>
      <c r="N47" s="1130"/>
      <c r="O47" s="1143"/>
      <c r="P47" s="3192" t="str">
        <f>A47</f>
        <v>成交单价（元/平方米）</v>
      </c>
      <c r="Q47" s="3192"/>
      <c r="R47" s="3223">
        <f>E47</f>
        <v>0</v>
      </c>
      <c r="S47" s="3223"/>
      <c r="T47" s="3223">
        <f>G47</f>
        <v>0</v>
      </c>
      <c r="U47" s="3223"/>
      <c r="V47" s="3223">
        <f>I47</f>
        <v>0</v>
      </c>
      <c r="W47" s="3223"/>
      <c r="X47" s="758"/>
      <c r="Y47" s="780"/>
      <c r="Z47" s="758"/>
      <c r="AA47" s="758"/>
      <c r="AB47" s="758"/>
      <c r="AC47" s="758"/>
    </row>
    <row r="48" spans="1:29" ht="15" thickBot="1">
      <c r="A48" s="485" t="s">
        <v>2662</v>
      </c>
      <c r="B48" s="486"/>
      <c r="C48" s="1412" t="e">
        <f>R49</f>
        <v>#DIV/0!</v>
      </c>
      <c r="D48" s="1413"/>
      <c r="E48" s="1414" t="e">
        <f>R48</f>
        <v>#DIV/0!</v>
      </c>
      <c r="F48" s="1414"/>
      <c r="G48" s="1412" t="e">
        <f>T48</f>
        <v>#DIV/0!</v>
      </c>
      <c r="H48" s="1413"/>
      <c r="I48" s="1414" t="e">
        <f>V48</f>
        <v>#DIV/0!</v>
      </c>
      <c r="J48" s="1413"/>
      <c r="K48" s="783"/>
      <c r="L48" s="1142"/>
      <c r="M48" s="1143"/>
      <c r="N48" s="1130"/>
      <c r="O48" s="1143"/>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8"/>
      <c r="Y48" s="758"/>
      <c r="Z48" s="758"/>
      <c r="AA48" s="758"/>
      <c r="AB48" s="758"/>
      <c r="AC48" s="758"/>
    </row>
    <row r="49" spans="1:29" ht="15" thickBot="1">
      <c r="A49" s="491" t="s">
        <v>2663</v>
      </c>
      <c r="B49" s="492"/>
      <c r="C49" s="1416" t="e">
        <f>R49</f>
        <v>#DIV/0!</v>
      </c>
      <c r="D49" s="1416"/>
      <c r="E49" s="1416"/>
      <c r="F49" s="1416"/>
      <c r="G49" s="1416"/>
      <c r="H49" s="1416"/>
      <c r="I49" s="1416"/>
      <c r="J49" s="1416"/>
      <c r="K49" s="784"/>
      <c r="L49" s="1142"/>
      <c r="M49" s="1143"/>
      <c r="N49" s="1130"/>
      <c r="O49" s="1143"/>
      <c r="P49" s="3189" t="str">
        <f>A49</f>
        <v>估价对象XX用房的比较价值（楼面单价，元/平方米）</v>
      </c>
      <c r="Q49" s="3190"/>
      <c r="R49" s="3191" t="e">
        <f>IF(F1="售价",ROUND(AVERAGE(R48:V48),0),ROUND(AVERAGE(R48:V48),1))</f>
        <v>#DIV/0!</v>
      </c>
      <c r="S49" s="3191"/>
      <c r="T49" s="3191"/>
      <c r="U49" s="3191"/>
      <c r="V49" s="3191"/>
      <c r="W49" s="319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2667</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4.4">
      <c r="A58" s="504" t="s">
        <v>2541</v>
      </c>
      <c r="B58" s="505"/>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c r="A59" s="508"/>
      <c r="B59" s="509"/>
      <c r="C59" s="1572">
        <v>100</v>
      </c>
      <c r="D59" s="511"/>
      <c r="E59" s="511"/>
      <c r="F59" s="511"/>
      <c r="G59" s="511"/>
      <c r="H59" s="511"/>
      <c r="I59" s="511"/>
      <c r="J59" s="511"/>
      <c r="K59" s="511"/>
      <c r="L59" s="511"/>
      <c r="M59" s="512"/>
      <c r="N59" s="511"/>
      <c r="O59" s="512"/>
      <c r="P59" s="2627"/>
    </row>
    <row r="60" spans="1:29" s="117" customFormat="1" ht="15" thickBot="1">
      <c r="A60" s="514" t="s">
        <v>2578</v>
      </c>
      <c r="B60" s="515"/>
      <c r="C60" s="516"/>
      <c r="D60" s="517"/>
      <c r="E60" s="517"/>
      <c r="F60" s="517"/>
      <c r="G60" s="517"/>
      <c r="H60" s="517"/>
      <c r="I60" s="517"/>
      <c r="J60" s="517"/>
      <c r="K60" s="517"/>
      <c r="L60" s="517"/>
      <c r="M60" s="518"/>
      <c r="N60" s="517"/>
      <c r="O60" s="518"/>
      <c r="P60" s="2627"/>
      <c r="Q60" s="503"/>
    </row>
    <row r="61" spans="1:29" s="117" customFormat="1" ht="14.4">
      <c r="A61" s="520" t="s">
        <v>2543</v>
      </c>
      <c r="B61" s="509"/>
      <c r="C61" s="521" t="s">
        <v>2645</v>
      </c>
      <c r="D61" s="522"/>
      <c r="E61" s="522"/>
      <c r="F61" s="522"/>
      <c r="G61" s="522"/>
      <c r="H61" s="522"/>
      <c r="I61" s="522"/>
      <c r="J61" s="522"/>
      <c r="K61" s="522"/>
      <c r="L61" s="523"/>
      <c r="M61" s="524"/>
      <c r="N61" s="1150"/>
      <c r="O61" s="1150"/>
      <c r="P61" s="2628"/>
      <c r="Q61" s="503"/>
    </row>
    <row r="62" spans="1:29" s="117" customFormat="1" ht="14.4" thickBot="1">
      <c r="A62" s="520"/>
      <c r="B62" s="509"/>
      <c r="C62" s="510">
        <v>100</v>
      </c>
      <c r="D62" s="511"/>
      <c r="E62" s="511"/>
      <c r="F62" s="511"/>
      <c r="G62" s="511"/>
      <c r="H62" s="511"/>
      <c r="I62" s="511"/>
      <c r="J62" s="511"/>
      <c r="K62" s="511"/>
      <c r="L62" s="511"/>
      <c r="M62" s="513"/>
      <c r="N62" s="1150"/>
      <c r="O62" s="1150"/>
      <c r="P62" s="2627"/>
      <c r="Q62" s="503"/>
    </row>
    <row r="63" spans="1:29" ht="14.4">
      <c r="A63" s="526" t="s">
        <v>2581</v>
      </c>
      <c r="B63" s="527" t="s">
        <v>2547</v>
      </c>
      <c r="C63" s="528">
        <f>C9</f>
        <v>0</v>
      </c>
      <c r="D63" s="529"/>
      <c r="E63" s="529"/>
      <c r="F63" s="529"/>
      <c r="G63" s="529"/>
      <c r="H63" s="529"/>
      <c r="I63" s="529"/>
      <c r="J63" s="529"/>
      <c r="K63" s="530"/>
      <c r="L63" s="531"/>
      <c r="M63" s="532"/>
      <c r="N63" s="1151"/>
      <c r="O63" s="1151"/>
      <c r="P63" s="2629"/>
      <c r="Q63" s="503"/>
    </row>
    <row r="64" spans="1:29" ht="14.4" thickBot="1">
      <c r="A64" s="533"/>
      <c r="B64" s="534"/>
      <c r="C64" s="535">
        <v>100</v>
      </c>
      <c r="D64" s="535"/>
      <c r="E64" s="535"/>
      <c r="F64" s="535"/>
      <c r="G64" s="535"/>
      <c r="H64" s="535"/>
      <c r="I64" s="535"/>
      <c r="J64" s="535"/>
      <c r="K64" s="535"/>
      <c r="L64" s="535"/>
      <c r="M64" s="536"/>
      <c r="N64" s="1152"/>
      <c r="O64" s="1152"/>
      <c r="P64" s="2629"/>
      <c r="Q64" s="503"/>
    </row>
    <row r="65" spans="1:17" ht="29.4" thickTop="1">
      <c r="A65" s="533"/>
      <c r="B65" s="537" t="s">
        <v>2550</v>
      </c>
      <c r="C65" s="538" t="s">
        <v>2582</v>
      </c>
      <c r="D65" s="538" t="s">
        <v>2583</v>
      </c>
      <c r="E65" s="538" t="s">
        <v>2584</v>
      </c>
      <c r="F65" s="538" t="s">
        <v>2585</v>
      </c>
      <c r="G65" s="538" t="s">
        <v>2586</v>
      </c>
      <c r="H65" s="538" t="s">
        <v>2587</v>
      </c>
      <c r="I65" s="538" t="s">
        <v>2588</v>
      </c>
      <c r="J65" s="538"/>
      <c r="K65" s="539"/>
      <c r="L65" s="540"/>
      <c r="M65" s="541"/>
      <c r="N65" s="1151"/>
      <c r="O65" s="1151"/>
      <c r="P65" s="2629"/>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 thickTop="1">
      <c r="A67" s="533"/>
      <c r="B67" s="545" t="s">
        <v>2551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c r="A68" s="533"/>
      <c r="B68" s="547"/>
      <c r="C68" s="548"/>
      <c r="D68" s="548"/>
      <c r="E68" s="548"/>
      <c r="F68" s="548"/>
      <c r="G68" s="548"/>
      <c r="H68" s="548"/>
      <c r="I68" s="548"/>
      <c r="J68" s="548"/>
      <c r="K68" s="549"/>
      <c r="L68" s="550"/>
      <c r="M68" s="551"/>
      <c r="N68" s="1151"/>
      <c r="O68" s="1151"/>
      <c r="P68" s="2629"/>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4.4" thickTop="1">
      <c r="A70" s="552"/>
      <c r="B70" s="537">
        <f>B12</f>
        <v>111</v>
      </c>
      <c r="C70" s="553"/>
      <c r="D70" s="553"/>
      <c r="E70" s="553"/>
      <c r="F70" s="553"/>
      <c r="G70" s="553"/>
      <c r="H70" s="554"/>
      <c r="I70" s="554"/>
      <c r="J70" s="554"/>
      <c r="K70" s="554"/>
      <c r="L70" s="555"/>
      <c r="M70" s="556"/>
      <c r="N70" s="1153"/>
      <c r="O70" s="1153"/>
      <c r="P70" s="2630"/>
      <c r="Q70" s="558"/>
    </row>
    <row r="71" spans="1:17" s="470" customFormat="1" ht="14.4" thickBot="1">
      <c r="A71" s="552"/>
      <c r="B71" s="542"/>
      <c r="C71" s="559"/>
      <c r="D71" s="535"/>
      <c r="E71" s="535"/>
      <c r="F71" s="535"/>
      <c r="G71" s="535"/>
      <c r="H71" s="535"/>
      <c r="I71" s="535"/>
      <c r="J71" s="535"/>
      <c r="K71" s="535"/>
      <c r="L71" s="535"/>
      <c r="M71" s="536"/>
      <c r="N71" s="1152"/>
      <c r="O71" s="1152"/>
      <c r="P71" s="2630"/>
      <c r="Q71" s="558"/>
    </row>
    <row r="72" spans="1:17" s="470" customFormat="1" ht="14.4" thickTop="1">
      <c r="A72" s="552"/>
      <c r="B72" s="537">
        <f>B13</f>
        <v>111</v>
      </c>
      <c r="C72" s="553"/>
      <c r="D72" s="553"/>
      <c r="E72" s="553"/>
      <c r="F72" s="553"/>
      <c r="G72" s="553"/>
      <c r="H72" s="554"/>
      <c r="I72" s="554"/>
      <c r="J72" s="554"/>
      <c r="K72" s="554"/>
      <c r="L72" s="555"/>
      <c r="M72" s="556"/>
      <c r="N72" s="1153"/>
      <c r="O72" s="1153"/>
      <c r="P72" s="2631"/>
      <c r="Q72" s="560"/>
    </row>
    <row r="73" spans="1:17" s="470" customFormat="1" ht="14.4" thickBot="1">
      <c r="A73" s="552"/>
      <c r="B73" s="542"/>
      <c r="C73" s="559"/>
      <c r="D73" s="535"/>
      <c r="E73" s="535"/>
      <c r="F73" s="535"/>
      <c r="G73" s="559"/>
      <c r="H73" s="561"/>
      <c r="I73" s="561"/>
      <c r="J73" s="561"/>
      <c r="K73" s="561"/>
      <c r="L73" s="561"/>
      <c r="M73" s="562"/>
      <c r="N73" s="1153"/>
      <c r="O73" s="1153"/>
      <c r="P73" s="2630"/>
      <c r="Q73" s="558"/>
    </row>
    <row r="74" spans="1:17" s="470" customFormat="1" ht="14.4" thickTop="1">
      <c r="A74" s="552"/>
      <c r="B74" s="545">
        <f>B14</f>
        <v>111</v>
      </c>
      <c r="C74" s="553"/>
      <c r="D74" s="553"/>
      <c r="E74" s="553"/>
      <c r="F74" s="553"/>
      <c r="G74" s="522"/>
      <c r="H74" s="563"/>
      <c r="I74" s="563"/>
      <c r="J74" s="563"/>
      <c r="K74" s="563"/>
      <c r="L74" s="564"/>
      <c r="M74" s="565"/>
      <c r="N74" s="1153"/>
      <c r="O74" s="1153"/>
      <c r="P74" s="2632"/>
      <c r="Q74" s="558"/>
    </row>
    <row r="75" spans="1:17" s="470" customFormat="1" ht="14.4" thickBot="1">
      <c r="A75" s="567"/>
      <c r="B75" s="568"/>
      <c r="C75" s="569"/>
      <c r="D75" s="569"/>
      <c r="E75" s="569"/>
      <c r="F75" s="569"/>
      <c r="G75" s="569"/>
      <c r="H75" s="570"/>
      <c r="I75" s="570"/>
      <c r="J75" s="570"/>
      <c r="K75" s="570"/>
      <c r="L75" s="570"/>
      <c r="M75" s="571"/>
      <c r="N75" s="1153"/>
      <c r="O75" s="1153"/>
      <c r="P75" s="2630"/>
      <c r="Q75" s="558"/>
    </row>
    <row r="76" spans="1:17" ht="14.4">
      <c r="A76" s="526" t="s">
        <v>2552</v>
      </c>
      <c r="B76" s="527" t="s">
        <v>2589</v>
      </c>
      <c r="C76" s="572" t="s">
        <v>2590</v>
      </c>
      <c r="D76" s="572" t="s">
        <v>2591</v>
      </c>
      <c r="E76" s="572" t="s">
        <v>2592</v>
      </c>
      <c r="F76" s="572" t="s">
        <v>2593</v>
      </c>
      <c r="G76" s="572" t="s">
        <v>2594</v>
      </c>
      <c r="H76" s="528"/>
      <c r="I76" s="528"/>
      <c r="J76" s="528"/>
      <c r="K76" s="573"/>
      <c r="L76" s="574"/>
      <c r="M76" s="575"/>
      <c r="N76" s="1151"/>
      <c r="O76" s="1151"/>
      <c r="P76" s="263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 thickTop="1">
      <c r="A78" s="533"/>
      <c r="B78" s="537" t="s">
        <v>2595</v>
      </c>
      <c r="C78" s="577" t="s">
        <v>2590</v>
      </c>
      <c r="D78" s="577" t="s">
        <v>2591</v>
      </c>
      <c r="E78" s="577" t="s">
        <v>2592</v>
      </c>
      <c r="F78" s="577" t="s">
        <v>2593</v>
      </c>
      <c r="G78" s="577" t="s">
        <v>2594</v>
      </c>
      <c r="H78" s="538"/>
      <c r="I78" s="538"/>
      <c r="J78" s="538"/>
      <c r="K78" s="539"/>
      <c r="L78" s="540"/>
      <c r="M78" s="541"/>
      <c r="N78" s="1151"/>
      <c r="O78" s="1151"/>
      <c r="P78" s="262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 thickTop="1">
      <c r="A80" s="533"/>
      <c r="B80" s="537" t="s">
        <v>2596</v>
      </c>
      <c r="C80" s="577" t="s">
        <v>2590</v>
      </c>
      <c r="D80" s="577" t="s">
        <v>2591</v>
      </c>
      <c r="E80" s="577" t="s">
        <v>2592</v>
      </c>
      <c r="F80" s="577" t="s">
        <v>2593</v>
      </c>
      <c r="G80" s="577" t="s">
        <v>2594</v>
      </c>
      <c r="H80" s="538"/>
      <c r="I80" s="538"/>
      <c r="J80" s="538"/>
      <c r="K80" s="539"/>
      <c r="L80" s="540"/>
      <c r="M80" s="541"/>
      <c r="N80" s="1151"/>
      <c r="O80" s="1151"/>
      <c r="P80" s="262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 thickTop="1">
      <c r="A82" s="533"/>
      <c r="B82" s="545" t="s">
        <v>2648</v>
      </c>
      <c r="C82" s="659" t="s">
        <v>2668</v>
      </c>
      <c r="D82" s="659" t="s">
        <v>2669</v>
      </c>
      <c r="E82" s="659" t="s">
        <v>2670</v>
      </c>
      <c r="F82" s="659" t="s">
        <v>2671</v>
      </c>
      <c r="G82" s="659" t="s">
        <v>2672</v>
      </c>
      <c r="H82" s="538"/>
      <c r="I82" s="538"/>
      <c r="J82" s="538"/>
      <c r="K82" s="538"/>
      <c r="L82" s="538"/>
      <c r="M82" s="1381"/>
      <c r="N82" s="1152"/>
      <c r="O82" s="1152"/>
      <c r="P82" s="2629"/>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 thickTop="1">
      <c r="A84" s="533"/>
      <c r="B84" s="537" t="s">
        <v>2602</v>
      </c>
      <c r="C84" s="577" t="s">
        <v>2590</v>
      </c>
      <c r="D84" s="577" t="s">
        <v>2591</v>
      </c>
      <c r="E84" s="577" t="s">
        <v>2592</v>
      </c>
      <c r="F84" s="577" t="s">
        <v>2593</v>
      </c>
      <c r="G84" s="577" t="s">
        <v>2594</v>
      </c>
      <c r="H84" s="538"/>
      <c r="I84" s="538"/>
      <c r="J84" s="538"/>
      <c r="K84" s="539"/>
      <c r="L84" s="540"/>
      <c r="M84" s="541"/>
      <c r="N84" s="1151"/>
      <c r="O84" s="1151"/>
      <c r="P84" s="262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 thickTop="1">
      <c r="A86" s="578"/>
      <c r="B86" s="537" t="s">
        <v>2673</v>
      </c>
      <c r="C86" s="553"/>
      <c r="D86" s="553"/>
      <c r="E86" s="553"/>
      <c r="F86" s="553"/>
      <c r="G86" s="553"/>
      <c r="H86" s="553"/>
      <c r="I86" s="553"/>
      <c r="J86" s="553"/>
      <c r="K86" s="553"/>
      <c r="L86" s="579"/>
      <c r="M86" s="580"/>
      <c r="N86" s="1150"/>
      <c r="O86" s="1150"/>
      <c r="P86" s="2629"/>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7" customFormat="1" ht="14.4"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7" customFormat="1" ht="14.4" thickBot="1">
      <c r="A89" s="578"/>
      <c r="B89" s="542"/>
      <c r="C89" s="559"/>
      <c r="D89" s="535"/>
      <c r="E89" s="535"/>
      <c r="F89" s="535"/>
      <c r="G89" s="535"/>
      <c r="H89" s="535"/>
      <c r="I89" s="535"/>
      <c r="J89" s="535"/>
      <c r="K89" s="535"/>
      <c r="L89" s="535"/>
      <c r="M89" s="535"/>
      <c r="N89" s="1152"/>
      <c r="O89" s="1152"/>
      <c r="P89" s="2629"/>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4.4" thickTop="1">
      <c r="A92" s="533"/>
      <c r="B92" s="537" t="str">
        <f>B28</f>
        <v>楼层</v>
      </c>
      <c r="C92" s="553"/>
      <c r="D92" s="553"/>
      <c r="E92" s="553"/>
      <c r="F92" s="553"/>
      <c r="G92" s="553"/>
      <c r="H92" s="553"/>
      <c r="I92" s="553"/>
      <c r="J92" s="553"/>
      <c r="K92" s="553"/>
      <c r="L92" s="579"/>
      <c r="M92" s="580"/>
      <c r="N92" s="1151"/>
      <c r="O92" s="1151"/>
      <c r="P92" s="2629"/>
      <c r="Q92" s="503"/>
    </row>
    <row r="93" spans="1:17" ht="14.4" thickBot="1">
      <c r="A93" s="533"/>
      <c r="B93" s="542"/>
      <c r="C93" s="535"/>
      <c r="D93" s="535"/>
      <c r="E93" s="535"/>
      <c r="F93" s="535"/>
      <c r="G93" s="535"/>
      <c r="H93" s="535"/>
      <c r="I93" s="535"/>
      <c r="J93" s="535"/>
      <c r="K93" s="535"/>
      <c r="L93" s="535"/>
      <c r="M93" s="536"/>
      <c r="N93" s="1152"/>
      <c r="O93" s="1152"/>
      <c r="P93" s="2629"/>
      <c r="Q93" s="503"/>
    </row>
    <row r="94" spans="1:17" ht="14.4" thickTop="1">
      <c r="A94" s="533"/>
      <c r="B94" s="537">
        <f>B29</f>
        <v>111</v>
      </c>
      <c r="C94" s="553"/>
      <c r="D94" s="553"/>
      <c r="E94" s="553"/>
      <c r="F94" s="553"/>
      <c r="G94" s="582"/>
      <c r="H94" s="582"/>
      <c r="I94" s="582"/>
      <c r="J94" s="582"/>
      <c r="K94" s="583"/>
      <c r="L94" s="584"/>
      <c r="M94" s="585"/>
      <c r="N94" s="1151"/>
      <c r="O94" s="1151"/>
      <c r="P94" s="2629"/>
      <c r="Q94" s="503"/>
    </row>
    <row r="95" spans="1:17" ht="14.4" thickBot="1">
      <c r="A95" s="533"/>
      <c r="B95" s="542"/>
      <c r="C95" s="559"/>
      <c r="D95" s="535"/>
      <c r="E95" s="535"/>
      <c r="F95" s="535"/>
      <c r="G95" s="535"/>
      <c r="H95" s="535"/>
      <c r="I95" s="535"/>
      <c r="J95" s="535"/>
      <c r="K95" s="535"/>
      <c r="L95" s="535"/>
      <c r="M95" s="536"/>
      <c r="N95" s="1152"/>
      <c r="O95" s="1152"/>
      <c r="P95" s="2629"/>
      <c r="Q95" s="503"/>
    </row>
    <row r="96" spans="1:17" ht="14.4" thickTop="1">
      <c r="A96" s="533"/>
      <c r="B96" s="537">
        <f>B30</f>
        <v>111</v>
      </c>
      <c r="C96" s="553"/>
      <c r="D96" s="553"/>
      <c r="E96" s="553"/>
      <c r="F96" s="553"/>
      <c r="G96" s="582"/>
      <c r="H96" s="582"/>
      <c r="I96" s="582"/>
      <c r="J96" s="582"/>
      <c r="K96" s="583"/>
      <c r="L96" s="584"/>
      <c r="M96" s="585"/>
      <c r="N96" s="1151"/>
      <c r="O96" s="1151"/>
      <c r="P96" s="2629"/>
      <c r="Q96" s="503"/>
    </row>
    <row r="97" spans="1:17" ht="14.4" thickBot="1">
      <c r="A97" s="533"/>
      <c r="B97" s="542"/>
      <c r="C97" s="559"/>
      <c r="D97" s="535"/>
      <c r="E97" s="535"/>
      <c r="F97" s="535"/>
      <c r="G97" s="535"/>
      <c r="H97" s="535"/>
      <c r="I97" s="535"/>
      <c r="J97" s="535"/>
      <c r="K97" s="535"/>
      <c r="L97" s="535"/>
      <c r="M97" s="536"/>
      <c r="N97" s="1152"/>
      <c r="O97" s="1152"/>
      <c r="P97" s="2629"/>
      <c r="Q97" s="503"/>
    </row>
    <row r="98" spans="1:17" ht="14.4" thickTop="1">
      <c r="A98" s="533"/>
      <c r="B98" s="545">
        <f>B31</f>
        <v>111</v>
      </c>
      <c r="C98" s="553"/>
      <c r="D98" s="553"/>
      <c r="E98" s="553"/>
      <c r="F98" s="553"/>
      <c r="G98" s="586"/>
      <c r="H98" s="586"/>
      <c r="I98" s="586"/>
      <c r="J98" s="586"/>
      <c r="K98" s="587"/>
      <c r="L98" s="588"/>
      <c r="M98" s="589"/>
      <c r="N98" s="1151"/>
      <c r="O98" s="1151"/>
      <c r="P98" s="2629"/>
      <c r="Q98" s="503"/>
    </row>
    <row r="99" spans="1:17" ht="14.4" thickBot="1">
      <c r="A99" s="2635"/>
      <c r="B99" s="568"/>
      <c r="C99" s="569"/>
      <c r="D99" s="569"/>
      <c r="E99" s="569"/>
      <c r="F99" s="569"/>
      <c r="G99" s="590"/>
      <c r="H99" s="590"/>
      <c r="I99" s="590"/>
      <c r="J99" s="590"/>
      <c r="K99" s="590"/>
      <c r="L99" s="590"/>
      <c r="M99" s="591"/>
      <c r="N99" s="1152"/>
      <c r="O99" s="1152"/>
      <c r="P99" s="2629"/>
      <c r="Q99" s="503"/>
    </row>
    <row r="100" spans="1:17" ht="14.4">
      <c r="A100" s="526" t="s">
        <v>2556</v>
      </c>
      <c r="B100" s="527" t="s">
        <v>2674</v>
      </c>
      <c r="C100" s="529"/>
      <c r="D100" s="529"/>
      <c r="E100" s="529"/>
      <c r="F100" s="529"/>
      <c r="G100" s="529"/>
      <c r="H100" s="529"/>
      <c r="I100" s="529"/>
      <c r="J100" s="529"/>
      <c r="K100" s="530"/>
      <c r="L100" s="531"/>
      <c r="M100" s="532"/>
      <c r="N100" s="1151"/>
      <c r="O100" s="1151"/>
      <c r="P100" s="2629"/>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 thickTop="1">
      <c r="A102" s="533"/>
      <c r="B102" s="537" t="s">
        <v>2606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4.4"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2607</v>
      </c>
      <c r="C105" s="553"/>
      <c r="D105" s="553"/>
      <c r="E105" s="582"/>
      <c r="F105" s="582"/>
      <c r="G105" s="582"/>
      <c r="H105" s="582"/>
      <c r="I105" s="582"/>
      <c r="J105" s="582"/>
      <c r="K105" s="583"/>
      <c r="L105" s="584"/>
      <c r="M105" s="585"/>
      <c r="N105" s="1151"/>
      <c r="O105" s="1151"/>
      <c r="P105" s="2629"/>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2609</v>
      </c>
      <c r="C107" s="553"/>
      <c r="D107" s="553"/>
      <c r="E107" s="553"/>
      <c r="F107" s="582"/>
      <c r="G107" s="582"/>
      <c r="H107" s="582"/>
      <c r="I107" s="582"/>
      <c r="J107" s="582"/>
      <c r="K107" s="583"/>
      <c r="L107" s="584"/>
      <c r="M107" s="585"/>
      <c r="N107" s="1151"/>
      <c r="O107" s="1151"/>
      <c r="P107" s="2629"/>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2611</v>
      </c>
      <c r="C112" s="553"/>
      <c r="D112" s="553"/>
      <c r="E112" s="553"/>
      <c r="F112" s="553"/>
      <c r="G112" s="553"/>
      <c r="H112" s="582"/>
      <c r="I112" s="582"/>
      <c r="J112" s="582"/>
      <c r="K112" s="583"/>
      <c r="L112" s="584"/>
      <c r="M112" s="585"/>
      <c r="N112" s="1153"/>
      <c r="O112" s="1153"/>
      <c r="P112" s="2630"/>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2675</v>
      </c>
      <c r="C114" s="553"/>
      <c r="D114" s="553"/>
      <c r="E114" s="582"/>
      <c r="F114" s="582"/>
      <c r="G114" s="582"/>
      <c r="H114" s="582"/>
      <c r="I114" s="582"/>
      <c r="J114" s="582"/>
      <c r="K114" s="583"/>
      <c r="L114" s="584"/>
      <c r="M114" s="585"/>
      <c r="N114" s="1151"/>
      <c r="O114" s="1151"/>
      <c r="P114" s="2629"/>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2676</v>
      </c>
      <c r="C116" s="553"/>
      <c r="D116" s="553"/>
      <c r="E116" s="553"/>
      <c r="F116" s="553"/>
      <c r="G116" s="553"/>
      <c r="H116" s="582"/>
      <c r="I116" s="582"/>
      <c r="J116" s="582"/>
      <c r="K116" s="583"/>
      <c r="L116" s="584"/>
      <c r="M116" s="585"/>
      <c r="N116" s="1151"/>
      <c r="O116" s="1151"/>
      <c r="P116" s="262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2677</v>
      </c>
      <c r="C118" s="626"/>
      <c r="D118" s="626"/>
      <c r="E118" s="626"/>
      <c r="F118" s="626"/>
      <c r="G118" s="626"/>
      <c r="H118" s="554"/>
      <c r="I118" s="554"/>
      <c r="J118" s="554"/>
      <c r="K118" s="554"/>
      <c r="L118" s="555"/>
      <c r="M118" s="556"/>
      <c r="N118" s="1151"/>
      <c r="O118" s="1151"/>
      <c r="P118" s="2629"/>
      <c r="Q118" s="503"/>
    </row>
    <row r="119" spans="1:17" ht="14.4"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2678</v>
      </c>
      <c r="C120" s="582"/>
      <c r="D120" s="582"/>
      <c r="E120" s="582"/>
      <c r="F120" s="582"/>
      <c r="G120" s="554"/>
      <c r="H120" s="554"/>
      <c r="I120" s="554"/>
      <c r="J120" s="554"/>
      <c r="K120" s="554"/>
      <c r="L120" s="555"/>
      <c r="M120" s="556"/>
      <c r="N120" s="1153"/>
      <c r="O120" s="1153"/>
      <c r="P120" s="2630"/>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2613</v>
      </c>
      <c r="C122" s="553"/>
      <c r="D122" s="553"/>
      <c r="E122" s="553"/>
      <c r="F122" s="582"/>
      <c r="G122" s="582"/>
      <c r="H122" s="582"/>
      <c r="I122" s="582"/>
      <c r="J122" s="582"/>
      <c r="K122" s="583"/>
      <c r="L122" s="584"/>
      <c r="M122" s="585"/>
      <c r="N122" s="1151"/>
      <c r="O122" s="1151"/>
      <c r="P122" s="2629"/>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29.4" thickTop="1">
      <c r="A124" s="598"/>
      <c r="B124" s="537" t="s">
        <v>2614</v>
      </c>
      <c r="C124" s="577" t="s">
        <v>2590</v>
      </c>
      <c r="D124" s="577" t="s">
        <v>2591</v>
      </c>
      <c r="E124" s="577" t="s">
        <v>2592</v>
      </c>
      <c r="F124" s="577" t="s">
        <v>2593</v>
      </c>
      <c r="G124" s="577" t="s">
        <v>2594</v>
      </c>
      <c r="H124" s="538"/>
      <c r="I124" s="538"/>
      <c r="J124" s="538"/>
      <c r="K124" s="539"/>
      <c r="L124" s="540"/>
      <c r="M124" s="541"/>
      <c r="N124" s="1151"/>
      <c r="O124" s="1151"/>
      <c r="P124" s="263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0"/>
      <c r="Q127" s="558"/>
    </row>
    <row r="128" spans="1:17" ht="14.4" thickTop="1">
      <c r="A128" s="598"/>
      <c r="B128" s="537">
        <f>B45</f>
        <v>111</v>
      </c>
      <c r="C128" s="553"/>
      <c r="D128" s="553"/>
      <c r="E128" s="553"/>
      <c r="F128" s="553"/>
      <c r="G128" s="582"/>
      <c r="H128" s="582"/>
      <c r="I128" s="582"/>
      <c r="J128" s="582"/>
      <c r="K128" s="583"/>
      <c r="L128" s="584"/>
      <c r="M128" s="585"/>
      <c r="N128" s="1151"/>
      <c r="O128" s="1151"/>
      <c r="P128" s="2629"/>
      <c r="Q128" s="503"/>
    </row>
    <row r="129" spans="1:17" ht="14.4" thickBot="1">
      <c r="A129" s="533"/>
      <c r="B129" s="542"/>
      <c r="C129" s="559"/>
      <c r="D129" s="535"/>
      <c r="E129" s="535"/>
      <c r="F129" s="535"/>
      <c r="G129" s="535"/>
      <c r="H129" s="535"/>
      <c r="I129" s="535"/>
      <c r="J129" s="535"/>
      <c r="K129" s="535"/>
      <c r="L129" s="535"/>
      <c r="M129" s="536"/>
      <c r="N129" s="1152"/>
      <c r="O129" s="1152"/>
      <c r="P129" s="2629"/>
      <c r="Q129" s="503"/>
    </row>
    <row r="130" spans="1:17" ht="14.4" thickTop="1">
      <c r="A130" s="598"/>
      <c r="B130" s="545">
        <f>B46</f>
        <v>111</v>
      </c>
      <c r="C130" s="553"/>
      <c r="D130" s="553"/>
      <c r="E130" s="553"/>
      <c r="F130" s="553"/>
      <c r="G130" s="586"/>
      <c r="H130" s="586"/>
      <c r="I130" s="586"/>
      <c r="J130" s="586"/>
      <c r="K130" s="522"/>
      <c r="L130" s="523"/>
      <c r="M130" s="589"/>
      <c r="N130" s="1151"/>
      <c r="O130" s="1151"/>
      <c r="P130" s="2629"/>
      <c r="Q130" s="503"/>
    </row>
    <row r="131" spans="1:17" ht="14.4"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2521</v>
      </c>
      <c r="B1" s="2668" t="s">
        <v>2679</v>
      </c>
      <c r="C1" s="1619" t="s">
        <v>2523</v>
      </c>
      <c r="D1" s="1620"/>
      <c r="E1" s="1629"/>
      <c r="F1" s="2583"/>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2320</v>
      </c>
      <c r="B2" s="1417" t="e">
        <f ca="1">IF(C2="——",ROUND(C50*D3/10000,0),ROUND(C50*D3/10000,0)-D2)</f>
        <v>#DIV/0!</v>
      </c>
      <c r="C2" s="2585"/>
      <c r="D2" s="1364" t="e">
        <f ca="1">SUMIF(INDIRECT("'"&amp;F2&amp;"'"&amp;"!A:A"),"承租人权益价值",INDIRECT("'"&amp;F2&amp;"'"&amp;"!c:c"))</f>
        <v>#REF!</v>
      </c>
      <c r="E2" s="2586" t="s">
        <v>2321</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2322</v>
      </c>
      <c r="B3" s="608" t="e">
        <f ca="1">IF(C2="——",C50,ROUND(B2*10000/D3,0))</f>
        <v>#DIV/0!</v>
      </c>
      <c r="C3" s="399" t="s">
        <v>2637</v>
      </c>
      <c r="D3" s="398">
        <f>IF(D1="",'数据-汇总表'!E3,SUMIF('数据-汇总表'!$C19:$C33,D1,'数据-汇总表'!$E19:$E33))</f>
        <v>1106.44</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2638</v>
      </c>
      <c r="B4" s="401"/>
      <c r="C4" s="3207" t="s">
        <v>2639</v>
      </c>
      <c r="D4" s="3208"/>
      <c r="E4" s="3209" t="s">
        <v>2640</v>
      </c>
      <c r="F4" s="3210"/>
      <c r="G4" s="3207" t="s">
        <v>2641</v>
      </c>
      <c r="H4" s="3208"/>
      <c r="I4" s="3207" t="s">
        <v>2642</v>
      </c>
      <c r="J4" s="3208"/>
      <c r="K4" s="609" t="s">
        <v>2643</v>
      </c>
      <c r="L4" s="1129"/>
      <c r="M4" s="1130"/>
      <c r="N4" s="1130"/>
      <c r="O4" s="1130"/>
      <c r="P4" s="3241" t="s">
        <v>2644</v>
      </c>
      <c r="Q4" s="3242"/>
      <c r="R4" s="3245" t="s">
        <v>2640</v>
      </c>
      <c r="S4" s="3246"/>
      <c r="T4" s="3245" t="s">
        <v>2641</v>
      </c>
      <c r="U4" s="3246"/>
      <c r="V4" s="3247" t="s">
        <v>2642</v>
      </c>
      <c r="W4" s="3247"/>
      <c r="X4" s="2669"/>
      <c r="Y4" s="3245" t="s">
        <v>2644</v>
      </c>
      <c r="Z4" s="3246"/>
      <c r="AA4" s="3249" t="s">
        <v>2640</v>
      </c>
      <c r="AB4" s="3249" t="s">
        <v>2641</v>
      </c>
      <c r="AC4" s="3238" t="s">
        <v>2642</v>
      </c>
    </row>
    <row r="5" spans="1:29">
      <c r="A5" s="403"/>
      <c r="B5" s="404"/>
      <c r="C5" s="3226" t="s">
        <v>2535</v>
      </c>
      <c r="D5" s="3227"/>
      <c r="E5" s="3233" t="s">
        <v>2536</v>
      </c>
      <c r="F5" s="3234"/>
      <c r="G5" s="3226" t="s">
        <v>2537</v>
      </c>
      <c r="H5" s="3227"/>
      <c r="I5" s="3226" t="s">
        <v>2538</v>
      </c>
      <c r="J5" s="3227"/>
      <c r="K5" s="609"/>
      <c r="L5" s="1129"/>
      <c r="M5" s="1130"/>
      <c r="N5" s="1130"/>
      <c r="O5" s="1130"/>
      <c r="P5" s="3243"/>
      <c r="Q5" s="3214"/>
      <c r="R5" s="3219"/>
      <c r="S5" s="3220"/>
      <c r="T5" s="3219"/>
      <c r="U5" s="3220"/>
      <c r="V5" s="3223"/>
      <c r="W5" s="3223"/>
      <c r="X5" s="1812"/>
      <c r="Y5" s="3219"/>
      <c r="Z5" s="3220"/>
      <c r="AA5" s="3205"/>
      <c r="AB5" s="3205"/>
      <c r="AC5" s="3239"/>
    </row>
    <row r="6" spans="1:29" ht="15" thickBot="1">
      <c r="A6" s="405"/>
      <c r="B6" s="406"/>
      <c r="C6" s="3224" t="s">
        <v>2539</v>
      </c>
      <c r="D6" s="3225"/>
      <c r="E6" s="3231" t="s">
        <v>2539</v>
      </c>
      <c r="F6" s="3232"/>
      <c r="G6" s="3224" t="s">
        <v>2539</v>
      </c>
      <c r="H6" s="3225"/>
      <c r="I6" s="3224" t="s">
        <v>2539</v>
      </c>
      <c r="J6" s="3225"/>
      <c r="K6" s="609" t="s">
        <v>2540</v>
      </c>
      <c r="L6" s="1129"/>
      <c r="M6" s="1130"/>
      <c r="N6" s="1130"/>
      <c r="O6" s="1130"/>
      <c r="P6" s="3244"/>
      <c r="Q6" s="3216"/>
      <c r="R6" s="3219"/>
      <c r="S6" s="3220"/>
      <c r="T6" s="3221"/>
      <c r="U6" s="3222"/>
      <c r="V6" s="3223"/>
      <c r="W6" s="3223"/>
      <c r="X6" s="1812"/>
      <c r="Y6" s="3221"/>
      <c r="Z6" s="3222"/>
      <c r="AA6" s="3206"/>
      <c r="AB6" s="3206"/>
      <c r="AC6" s="3240"/>
    </row>
    <row r="7" spans="1:29" s="117" customFormat="1" ht="15" thickBot="1">
      <c r="A7" s="407" t="s">
        <v>2541</v>
      </c>
      <c r="B7" s="408"/>
      <c r="C7" s="409">
        <f>'数据-取费表'!B2</f>
        <v>43942</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48" t="s">
        <v>2542</v>
      </c>
      <c r="Q7" s="3230"/>
      <c r="R7" s="769" t="s">
        <v>17</v>
      </c>
      <c r="S7" s="770">
        <f t="shared" ref="S7:S15" si="0">F7</f>
        <v>0</v>
      </c>
      <c r="T7" s="769" t="s">
        <v>17</v>
      </c>
      <c r="U7" s="770">
        <f t="shared" ref="U7:U15" si="1">H7</f>
        <v>0</v>
      </c>
      <c r="V7" s="769" t="s">
        <v>17</v>
      </c>
      <c r="W7" s="770">
        <f t="shared" ref="W7:W15" si="2">J7</f>
        <v>0</v>
      </c>
      <c r="X7" s="771"/>
      <c r="Y7" s="3228" t="s">
        <v>2542</v>
      </c>
      <c r="Z7" s="3229"/>
      <c r="AA7" s="772" t="e">
        <f>D7/F7</f>
        <v>#DIV/0!</v>
      </c>
      <c r="AB7" s="772" t="e">
        <f>D7/H7</f>
        <v>#DIV/0!</v>
      </c>
      <c r="AC7" s="2670" t="e">
        <f>D7/J7</f>
        <v>#DIV/0!</v>
      </c>
    </row>
    <row r="8" spans="1:29" s="117" customFormat="1" ht="1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48" t="s">
        <v>2545</v>
      </c>
      <c r="Q8" s="3229"/>
      <c r="R8" s="769" t="s">
        <v>17</v>
      </c>
      <c r="S8" s="770">
        <f t="shared" si="0"/>
        <v>0</v>
      </c>
      <c r="T8" s="769" t="s">
        <v>17</v>
      </c>
      <c r="U8" s="770">
        <f t="shared" si="1"/>
        <v>0</v>
      </c>
      <c r="V8" s="769" t="s">
        <v>17</v>
      </c>
      <c r="W8" s="770">
        <f t="shared" si="2"/>
        <v>0</v>
      </c>
      <c r="X8" s="771"/>
      <c r="Y8" s="3228" t="s">
        <v>2545</v>
      </c>
      <c r="Z8" s="3229"/>
      <c r="AA8" s="772" t="e">
        <f t="shared" ref="AA8:AA47" si="3">D8/F8</f>
        <v>#DIV/0!</v>
      </c>
      <c r="AB8" s="772" t="e">
        <f t="shared" ref="AB8:AB47" si="4">D8/H8</f>
        <v>#DIV/0!</v>
      </c>
      <c r="AC8" s="2670" t="e">
        <f t="shared" ref="AC8:AC47" si="5">D8/J8</f>
        <v>#DIV/0!</v>
      </c>
    </row>
    <row r="9" spans="1:29" s="117" customFormat="1" ht="14.4">
      <c r="A9" s="414" t="s">
        <v>2546</v>
      </c>
      <c r="B9" s="71" t="s">
        <v>2547</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03" t="s">
        <v>2548</v>
      </c>
      <c r="Q9" s="1794" t="str">
        <f t="shared" ref="Q9:Q15" si="6">B9</f>
        <v>用途</v>
      </c>
      <c r="R9" s="769" t="s">
        <v>17</v>
      </c>
      <c r="S9" s="770">
        <f t="shared" si="0"/>
        <v>100</v>
      </c>
      <c r="T9" s="769" t="s">
        <v>17</v>
      </c>
      <c r="U9" s="770">
        <f t="shared" si="1"/>
        <v>100</v>
      </c>
      <c r="V9" s="769" t="s">
        <v>17</v>
      </c>
      <c r="W9" s="770">
        <f t="shared" si="2"/>
        <v>100</v>
      </c>
      <c r="X9" s="771"/>
      <c r="Y9" s="3017" t="s">
        <v>2549</v>
      </c>
      <c r="Z9" s="55" t="str">
        <f t="shared" ref="Z9:Z15" si="7">Q9</f>
        <v>用途</v>
      </c>
      <c r="AA9" s="772">
        <f t="shared" si="3"/>
        <v>1</v>
      </c>
      <c r="AB9" s="772">
        <f t="shared" si="4"/>
        <v>1</v>
      </c>
      <c r="AC9" s="2670">
        <f t="shared" si="5"/>
        <v>1</v>
      </c>
    </row>
    <row r="10" spans="1:29" s="426" customFormat="1" ht="28.8">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03"/>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2670">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03"/>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1"/>
      <c r="M12" s="1132"/>
      <c r="N12" s="1132"/>
      <c r="O12" s="1132"/>
      <c r="P12" s="3203"/>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9"/>
      <c r="M13" s="1130"/>
      <c r="N13" s="1130"/>
      <c r="O13" s="1130"/>
      <c r="P13" s="3203"/>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2670">
        <f t="shared" si="5"/>
        <v>1</v>
      </c>
    </row>
    <row r="14" spans="1:29" ht="15.6"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203"/>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2670">
        <f t="shared" si="5"/>
        <v>1</v>
      </c>
    </row>
    <row r="15" spans="1:29" ht="69">
      <c r="A15" s="439" t="s">
        <v>2552</v>
      </c>
      <c r="B15" s="628" t="s">
        <v>2680</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01" t="s">
        <v>2553</v>
      </c>
      <c r="Q15" s="1809" t="str">
        <f t="shared" si="6"/>
        <v>办公集聚程度</v>
      </c>
      <c r="R15" s="773" t="s">
        <v>17</v>
      </c>
      <c r="S15" s="774">
        <f t="shared" si="0"/>
        <v>100</v>
      </c>
      <c r="T15" s="773" t="s">
        <v>17</v>
      </c>
      <c r="U15" s="774">
        <f t="shared" si="1"/>
        <v>100</v>
      </c>
      <c r="V15" s="773" t="s">
        <v>17</v>
      </c>
      <c r="W15" s="774">
        <f t="shared" si="2"/>
        <v>100</v>
      </c>
      <c r="X15" s="1812"/>
      <c r="Y15" s="3194" t="s">
        <v>2553</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202"/>
      <c r="Q16" s="1809"/>
      <c r="R16" s="773"/>
      <c r="S16" s="774"/>
      <c r="T16" s="773"/>
      <c r="U16" s="774"/>
      <c r="V16" s="773"/>
      <c r="W16" s="774"/>
      <c r="X16" s="1812"/>
      <c r="Y16" s="3195"/>
      <c r="Z16" s="1813"/>
      <c r="AA16" s="1810">
        <v>1</v>
      </c>
      <c r="AB16" s="1810">
        <v>1</v>
      </c>
      <c r="AC16" s="2673">
        <v>1</v>
      </c>
    </row>
    <row r="17" spans="1:29" ht="82.8">
      <c r="A17" s="427"/>
      <c r="B17" s="630" t="s">
        <v>2092</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02"/>
      <c r="Q17" s="1809" t="str">
        <f>B17</f>
        <v>交通便捷度</v>
      </c>
      <c r="R17" s="773" t="s">
        <v>17</v>
      </c>
      <c r="S17" s="774">
        <f>F17</f>
        <v>100</v>
      </c>
      <c r="T17" s="773" t="s">
        <v>17</v>
      </c>
      <c r="U17" s="774">
        <f>H17</f>
        <v>100</v>
      </c>
      <c r="V17" s="773" t="s">
        <v>17</v>
      </c>
      <c r="W17" s="774">
        <f>J17</f>
        <v>100</v>
      </c>
      <c r="X17" s="1812"/>
      <c r="Y17" s="3195"/>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202"/>
      <c r="Q18" s="1809"/>
      <c r="R18" s="773"/>
      <c r="S18" s="774"/>
      <c r="T18" s="773"/>
      <c r="U18" s="774"/>
      <c r="V18" s="773"/>
      <c r="W18" s="774"/>
      <c r="X18" s="1812"/>
      <c r="Y18" s="3195"/>
      <c r="Z18" s="1813"/>
      <c r="AA18" s="1810">
        <v>1</v>
      </c>
      <c r="AB18" s="1810">
        <v>1</v>
      </c>
      <c r="AC18" s="2673">
        <v>1</v>
      </c>
    </row>
    <row r="19" spans="1:29" ht="41.4">
      <c r="A19" s="427"/>
      <c r="B19" s="630" t="s">
        <v>2681</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02"/>
      <c r="Q19" s="1809" t="str">
        <f>B19</f>
        <v>公共配套设施</v>
      </c>
      <c r="R19" s="773" t="s">
        <v>17</v>
      </c>
      <c r="S19" s="774">
        <f>F19</f>
        <v>100</v>
      </c>
      <c r="T19" s="773" t="s">
        <v>17</v>
      </c>
      <c r="U19" s="774">
        <f>H19</f>
        <v>100</v>
      </c>
      <c r="V19" s="773" t="s">
        <v>17</v>
      </c>
      <c r="W19" s="774">
        <f>J19</f>
        <v>100</v>
      </c>
      <c r="X19" s="1812"/>
      <c r="Y19" s="3195"/>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202"/>
      <c r="Q20" s="1809"/>
      <c r="R20" s="773"/>
      <c r="S20" s="774"/>
      <c r="T20" s="773"/>
      <c r="U20" s="774"/>
      <c r="V20" s="773"/>
      <c r="W20" s="774"/>
      <c r="X20" s="1812"/>
      <c r="Y20" s="3195"/>
      <c r="Z20" s="1813"/>
      <c r="AA20" s="1810">
        <v>1</v>
      </c>
      <c r="AB20" s="1810">
        <v>1</v>
      </c>
      <c r="AC20" s="2673">
        <v>1</v>
      </c>
    </row>
    <row r="21" spans="1:29" ht="27.6">
      <c r="A21" s="427"/>
      <c r="B21" s="632" t="s">
        <v>2682</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02"/>
      <c r="Q21" s="1809" t="str">
        <f>B21</f>
        <v>基础设施水平</v>
      </c>
      <c r="R21" s="773" t="s">
        <v>17</v>
      </c>
      <c r="S21" s="774">
        <f>F21</f>
        <v>100</v>
      </c>
      <c r="T21" s="773" t="s">
        <v>17</v>
      </c>
      <c r="U21" s="774">
        <f>H21</f>
        <v>100</v>
      </c>
      <c r="V21" s="773" t="s">
        <v>17</v>
      </c>
      <c r="W21" s="774">
        <f>J21</f>
        <v>100</v>
      </c>
      <c r="X21" s="1812"/>
      <c r="Y21" s="3195"/>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202"/>
      <c r="Q22" s="1809"/>
      <c r="R22" s="773"/>
      <c r="S22" s="774"/>
      <c r="T22" s="773"/>
      <c r="U22" s="774"/>
      <c r="V22" s="773"/>
      <c r="W22" s="774"/>
      <c r="X22" s="1812"/>
      <c r="Y22" s="3195"/>
      <c r="Z22" s="1813"/>
      <c r="AA22" s="1810">
        <v>1</v>
      </c>
      <c r="AB22" s="1810">
        <v>1</v>
      </c>
      <c r="AC22" s="2673">
        <v>1</v>
      </c>
    </row>
    <row r="23" spans="1:29" ht="55.2">
      <c r="A23" s="427"/>
      <c r="B23" s="630" t="s">
        <v>2683</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02"/>
      <c r="Q23" s="1809" t="str">
        <f>B23</f>
        <v>环境质量</v>
      </c>
      <c r="R23" s="773" t="s">
        <v>17</v>
      </c>
      <c r="S23" s="774">
        <f>F23</f>
        <v>100</v>
      </c>
      <c r="T23" s="773" t="s">
        <v>17</v>
      </c>
      <c r="U23" s="774">
        <f>H23</f>
        <v>100</v>
      </c>
      <c r="V23" s="773" t="s">
        <v>17</v>
      </c>
      <c r="W23" s="774">
        <f>J23</f>
        <v>100</v>
      </c>
      <c r="X23" s="1812"/>
      <c r="Y23" s="3195"/>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202"/>
      <c r="Q24" s="1809"/>
      <c r="R24" s="773"/>
      <c r="S24" s="774"/>
      <c r="T24" s="773"/>
      <c r="U24" s="774"/>
      <c r="V24" s="773"/>
      <c r="W24" s="774"/>
      <c r="X24" s="1812"/>
      <c r="Y24" s="3195"/>
      <c r="Z24" s="1813"/>
      <c r="AA24" s="1810">
        <v>1</v>
      </c>
      <c r="AB24" s="1810">
        <v>1</v>
      </c>
      <c r="AC24" s="2673">
        <v>1</v>
      </c>
    </row>
    <row r="25" spans="1:29" ht="28.8">
      <c r="A25" s="403"/>
      <c r="B25" s="630" t="s">
        <v>2684</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202"/>
      <c r="Q25" s="1809" t="str">
        <f>B25</f>
        <v>毗邻道路的类型与等级</v>
      </c>
      <c r="R25" s="773" t="s">
        <v>17</v>
      </c>
      <c r="S25" s="774">
        <f>F25</f>
        <v>100</v>
      </c>
      <c r="T25" s="773" t="s">
        <v>17</v>
      </c>
      <c r="U25" s="774">
        <f>H25</f>
        <v>100</v>
      </c>
      <c r="V25" s="773" t="s">
        <v>17</v>
      </c>
      <c r="W25" s="774">
        <f>J25</f>
        <v>100</v>
      </c>
      <c r="X25" s="1812"/>
      <c r="Y25" s="3195"/>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202"/>
      <c r="Q26" s="1809"/>
      <c r="R26" s="773"/>
      <c r="S26" s="774"/>
      <c r="T26" s="773"/>
      <c r="U26" s="774"/>
      <c r="V26" s="773"/>
      <c r="W26" s="774"/>
      <c r="X26" s="1812"/>
      <c r="Y26" s="3195"/>
      <c r="Z26" s="1813"/>
      <c r="AA26" s="1810">
        <v>1</v>
      </c>
      <c r="AB26" s="1810">
        <v>1</v>
      </c>
      <c r="AC26" s="2673">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02"/>
      <c r="Q27" s="1809" t="str">
        <f t="shared" ref="Q27:Q47" si="11">B27</f>
        <v>楼层</v>
      </c>
      <c r="R27" s="773" t="s">
        <v>17</v>
      </c>
      <c r="S27" s="774">
        <f>F27</f>
        <v>100</v>
      </c>
      <c r="T27" s="773" t="s">
        <v>17</v>
      </c>
      <c r="U27" s="774">
        <f>H27</f>
        <v>100</v>
      </c>
      <c r="V27" s="773" t="s">
        <v>17</v>
      </c>
      <c r="W27" s="774">
        <f>J27</f>
        <v>100</v>
      </c>
      <c r="X27" s="1812"/>
      <c r="Y27" s="3195"/>
      <c r="Z27" s="1813" t="str">
        <f>Q27</f>
        <v>楼层</v>
      </c>
      <c r="AA27" s="1810">
        <f t="shared" si="3"/>
        <v>1</v>
      </c>
      <c r="AB27" s="1810">
        <f t="shared" si="4"/>
        <v>1</v>
      </c>
      <c r="AC27" s="2673">
        <f t="shared" si="5"/>
        <v>1</v>
      </c>
    </row>
    <row r="28" spans="1:29" s="117" customFormat="1" ht="15">
      <c r="A28" s="430"/>
      <c r="B28" s="630" t="s">
        <v>2685</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202"/>
      <c r="Q28" s="1794" t="str">
        <f t="shared" si="11"/>
        <v>朝向</v>
      </c>
      <c r="R28" s="769" t="s">
        <v>17</v>
      </c>
      <c r="S28" s="770">
        <f>F28</f>
        <v>100</v>
      </c>
      <c r="T28" s="769" t="s">
        <v>17</v>
      </c>
      <c r="U28" s="770">
        <f>H28</f>
        <v>100</v>
      </c>
      <c r="V28" s="769" t="s">
        <v>17</v>
      </c>
      <c r="W28" s="770">
        <f>J28</f>
        <v>100</v>
      </c>
      <c r="X28" s="771"/>
      <c r="Y28" s="3195"/>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202"/>
      <c r="Q29" s="1809">
        <f t="shared" si="11"/>
        <v>111</v>
      </c>
      <c r="R29" s="773" t="s">
        <v>17</v>
      </c>
      <c r="S29" s="774">
        <f t="shared" ref="S29:S47" si="12">F29</f>
        <v>100</v>
      </c>
      <c r="T29" s="773" t="s">
        <v>17</v>
      </c>
      <c r="U29" s="774">
        <f t="shared" ref="U29:U47" si="13">H29</f>
        <v>100</v>
      </c>
      <c r="V29" s="773" t="s">
        <v>17</v>
      </c>
      <c r="W29" s="774">
        <f t="shared" ref="W29:W47" si="14">J29</f>
        <v>100</v>
      </c>
      <c r="X29" s="1812"/>
      <c r="Y29" s="3195"/>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202"/>
      <c r="Q30" s="1809">
        <f t="shared" si="11"/>
        <v>111</v>
      </c>
      <c r="R30" s="773" t="s">
        <v>17</v>
      </c>
      <c r="S30" s="774">
        <f t="shared" si="12"/>
        <v>100</v>
      </c>
      <c r="T30" s="773" t="s">
        <v>17</v>
      </c>
      <c r="U30" s="774">
        <f t="shared" si="13"/>
        <v>100</v>
      </c>
      <c r="V30" s="773" t="s">
        <v>17</v>
      </c>
      <c r="W30" s="774">
        <f t="shared" si="14"/>
        <v>100</v>
      </c>
      <c r="X30" s="1812"/>
      <c r="Y30" s="3195"/>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202"/>
      <c r="Q31" s="1809">
        <f t="shared" si="11"/>
        <v>111</v>
      </c>
      <c r="R31" s="773" t="s">
        <v>17</v>
      </c>
      <c r="S31" s="774">
        <f t="shared" si="12"/>
        <v>100</v>
      </c>
      <c r="T31" s="773" t="s">
        <v>17</v>
      </c>
      <c r="U31" s="774">
        <f t="shared" si="13"/>
        <v>100</v>
      </c>
      <c r="V31" s="773" t="s">
        <v>17</v>
      </c>
      <c r="W31" s="774">
        <f t="shared" si="14"/>
        <v>100</v>
      </c>
      <c r="X31" s="1812"/>
      <c r="Y31" s="3195"/>
      <c r="Z31" s="1813">
        <f t="shared" si="15"/>
        <v>111</v>
      </c>
      <c r="AA31" s="1810">
        <f t="shared" si="3"/>
        <v>1</v>
      </c>
      <c r="AB31" s="1810">
        <f t="shared" si="4"/>
        <v>1</v>
      </c>
      <c r="AC31" s="2673">
        <f t="shared" si="5"/>
        <v>1</v>
      </c>
    </row>
    <row r="32" spans="1:29" ht="15.6"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202"/>
      <c r="Q32" s="1809">
        <f t="shared" si="11"/>
        <v>111</v>
      </c>
      <c r="R32" s="773" t="s">
        <v>17</v>
      </c>
      <c r="S32" s="774">
        <f t="shared" si="12"/>
        <v>100</v>
      </c>
      <c r="T32" s="773" t="s">
        <v>17</v>
      </c>
      <c r="U32" s="774">
        <f t="shared" si="13"/>
        <v>100</v>
      </c>
      <c r="V32" s="773" t="s">
        <v>17</v>
      </c>
      <c r="W32" s="774">
        <f t="shared" si="14"/>
        <v>100</v>
      </c>
      <c r="X32" s="1812"/>
      <c r="Y32" s="3195"/>
      <c r="Z32" s="1813">
        <f t="shared" si="15"/>
        <v>111</v>
      </c>
      <c r="AA32" s="1810">
        <f t="shared" si="3"/>
        <v>1</v>
      </c>
      <c r="AB32" s="1810">
        <f t="shared" si="4"/>
        <v>1</v>
      </c>
      <c r="AC32" s="2673">
        <f t="shared" si="5"/>
        <v>1</v>
      </c>
    </row>
    <row r="33" spans="1:29" ht="15">
      <c r="A33" s="439" t="s">
        <v>2556</v>
      </c>
      <c r="B33" s="71" t="s">
        <v>2686</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196" t="s">
        <v>2558</v>
      </c>
      <c r="Q33" s="1809" t="str">
        <f t="shared" si="11"/>
        <v>建筑类型</v>
      </c>
      <c r="R33" s="773" t="s">
        <v>17</v>
      </c>
      <c r="S33" s="774">
        <f t="shared" si="12"/>
        <v>100</v>
      </c>
      <c r="T33" s="773" t="s">
        <v>17</v>
      </c>
      <c r="U33" s="774">
        <f t="shared" si="13"/>
        <v>100</v>
      </c>
      <c r="V33" s="773" t="s">
        <v>17</v>
      </c>
      <c r="W33" s="774">
        <f t="shared" si="14"/>
        <v>100</v>
      </c>
      <c r="X33" s="1812"/>
      <c r="Y33" s="3199" t="s">
        <v>2558</v>
      </c>
      <c r="Z33" s="1813" t="str">
        <f t="shared" si="15"/>
        <v>建筑类型</v>
      </c>
      <c r="AA33" s="1810">
        <f t="shared" si="3"/>
        <v>1</v>
      </c>
      <c r="AB33" s="1810">
        <f t="shared" si="4"/>
        <v>1</v>
      </c>
      <c r="AC33" s="2673">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197"/>
      <c r="Q34" s="775" t="str">
        <f t="shared" si="11"/>
        <v>项目建筑规模</v>
      </c>
      <c r="R34" s="776" t="s">
        <v>17</v>
      </c>
      <c r="S34" s="777" t="e">
        <f t="shared" si="12"/>
        <v>#N/A</v>
      </c>
      <c r="T34" s="776" t="s">
        <v>17</v>
      </c>
      <c r="U34" s="777" t="e">
        <f t="shared" si="13"/>
        <v>#N/A</v>
      </c>
      <c r="V34" s="776" t="s">
        <v>17</v>
      </c>
      <c r="W34" s="777" t="e">
        <f t="shared" si="14"/>
        <v>#N/A</v>
      </c>
      <c r="X34" s="778"/>
      <c r="Y34" s="3199"/>
      <c r="Z34" s="779" t="str">
        <f t="shared" si="15"/>
        <v>项目建筑规模</v>
      </c>
      <c r="AA34" s="1810" t="e">
        <f t="shared" si="3"/>
        <v>#N/A</v>
      </c>
      <c r="AB34" s="1810" t="e">
        <f t="shared" si="4"/>
        <v>#N/A</v>
      </c>
      <c r="AC34" s="2673"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197"/>
      <c r="Q35" s="1809" t="str">
        <f t="shared" si="11"/>
        <v>建筑结构</v>
      </c>
      <c r="R35" s="773" t="s">
        <v>17</v>
      </c>
      <c r="S35" s="774">
        <f t="shared" si="12"/>
        <v>100</v>
      </c>
      <c r="T35" s="773" t="s">
        <v>17</v>
      </c>
      <c r="U35" s="774">
        <f t="shared" si="13"/>
        <v>100</v>
      </c>
      <c r="V35" s="773" t="s">
        <v>17</v>
      </c>
      <c r="W35" s="774">
        <f t="shared" si="14"/>
        <v>100</v>
      </c>
      <c r="X35" s="1812"/>
      <c r="Y35" s="3199"/>
      <c r="Z35" s="1813" t="str">
        <f t="shared" si="15"/>
        <v>建筑结构</v>
      </c>
      <c r="AA35" s="1810">
        <f t="shared" si="3"/>
        <v>1</v>
      </c>
      <c r="AB35" s="1810">
        <f t="shared" si="4"/>
        <v>1</v>
      </c>
      <c r="AC35" s="2673">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197"/>
      <c r="Q36" s="1809" t="str">
        <f t="shared" si="11"/>
        <v>公共部分装修</v>
      </c>
      <c r="R36" s="773" t="s">
        <v>17</v>
      </c>
      <c r="S36" s="774">
        <f t="shared" si="12"/>
        <v>100</v>
      </c>
      <c r="T36" s="773" t="s">
        <v>17</v>
      </c>
      <c r="U36" s="774">
        <f t="shared" si="13"/>
        <v>100</v>
      </c>
      <c r="V36" s="773" t="s">
        <v>17</v>
      </c>
      <c r="W36" s="774">
        <f t="shared" si="14"/>
        <v>100</v>
      </c>
      <c r="X36" s="1812"/>
      <c r="Y36" s="3199"/>
      <c r="Z36" s="1813" t="str">
        <f t="shared" si="15"/>
        <v>公共部分装修</v>
      </c>
      <c r="AA36" s="1810">
        <f t="shared" si="3"/>
        <v>1</v>
      </c>
      <c r="AB36" s="1810">
        <f t="shared" si="4"/>
        <v>1</v>
      </c>
      <c r="AC36" s="2673">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197"/>
      <c r="Q37" s="1809" t="str">
        <f t="shared" si="11"/>
        <v>成新度</v>
      </c>
      <c r="R37" s="773" t="s">
        <v>17</v>
      </c>
      <c r="S37" s="774" t="e">
        <f t="shared" si="12"/>
        <v>#N/A</v>
      </c>
      <c r="T37" s="773" t="s">
        <v>17</v>
      </c>
      <c r="U37" s="774" t="e">
        <f t="shared" si="13"/>
        <v>#N/A</v>
      </c>
      <c r="V37" s="773" t="s">
        <v>17</v>
      </c>
      <c r="W37" s="774" t="e">
        <f t="shared" si="14"/>
        <v>#N/A</v>
      </c>
      <c r="X37" s="1812"/>
      <c r="Y37" s="3199"/>
      <c r="Z37" s="1813" t="str">
        <f t="shared" si="15"/>
        <v>成新度</v>
      </c>
      <c r="AA37" s="1810" t="e">
        <f t="shared" si="3"/>
        <v>#N/A</v>
      </c>
      <c r="AB37" s="1810" t="e">
        <f t="shared" si="4"/>
        <v>#N/A</v>
      </c>
      <c r="AC37" s="2673" t="e">
        <f t="shared" si="5"/>
        <v>#N/A</v>
      </c>
    </row>
    <row r="38" spans="1:29" s="117"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197"/>
      <c r="Q38" s="1794" t="str">
        <f t="shared" si="11"/>
        <v>写字楼等级</v>
      </c>
      <c r="R38" s="769" t="s">
        <v>17</v>
      </c>
      <c r="S38" s="770">
        <f t="shared" si="12"/>
        <v>100</v>
      </c>
      <c r="T38" s="769" t="s">
        <v>17</v>
      </c>
      <c r="U38" s="770">
        <f t="shared" si="13"/>
        <v>100</v>
      </c>
      <c r="V38" s="769" t="s">
        <v>17</v>
      </c>
      <c r="W38" s="770">
        <f t="shared" si="14"/>
        <v>100</v>
      </c>
      <c r="X38" s="771"/>
      <c r="Y38" s="3199"/>
      <c r="Z38" s="55" t="str">
        <f t="shared" si="15"/>
        <v>写字楼等级</v>
      </c>
      <c r="AA38" s="772">
        <f t="shared" si="3"/>
        <v>1</v>
      </c>
      <c r="AB38" s="772">
        <f t="shared" si="4"/>
        <v>1</v>
      </c>
      <c r="AC38" s="2670">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197" t="s">
        <v>2558</v>
      </c>
      <c r="Q39" s="1809" t="str">
        <f t="shared" si="11"/>
        <v>物业管理</v>
      </c>
      <c r="R39" s="773" t="s">
        <v>17</v>
      </c>
      <c r="S39" s="774">
        <f t="shared" si="12"/>
        <v>100</v>
      </c>
      <c r="T39" s="773" t="s">
        <v>17</v>
      </c>
      <c r="U39" s="774">
        <f t="shared" si="13"/>
        <v>100</v>
      </c>
      <c r="V39" s="773" t="s">
        <v>17</v>
      </c>
      <c r="W39" s="774">
        <f t="shared" si="14"/>
        <v>100</v>
      </c>
      <c r="X39" s="1812"/>
      <c r="Y39" s="3199" t="s">
        <v>2558</v>
      </c>
      <c r="Z39" s="1813" t="str">
        <f t="shared" si="15"/>
        <v>物业管理</v>
      </c>
      <c r="AA39" s="1810">
        <f t="shared" si="3"/>
        <v>1</v>
      </c>
      <c r="AB39" s="1810">
        <f t="shared" si="4"/>
        <v>1</v>
      </c>
      <c r="AC39" s="2673">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197"/>
      <c r="Q40" s="1809" t="str">
        <f t="shared" si="11"/>
        <v>市政基础设施</v>
      </c>
      <c r="R40" s="773" t="s">
        <v>17</v>
      </c>
      <c r="S40" s="774">
        <f t="shared" si="12"/>
        <v>100</v>
      </c>
      <c r="T40" s="773" t="s">
        <v>17</v>
      </c>
      <c r="U40" s="774">
        <f t="shared" si="13"/>
        <v>100</v>
      </c>
      <c r="V40" s="773" t="s">
        <v>17</v>
      </c>
      <c r="W40" s="774">
        <f t="shared" si="14"/>
        <v>100</v>
      </c>
      <c r="X40" s="1812"/>
      <c r="Y40" s="3199"/>
      <c r="Z40" s="1813" t="str">
        <f t="shared" si="15"/>
        <v>市政基础设施</v>
      </c>
      <c r="AA40" s="1810">
        <f t="shared" si="3"/>
        <v>1</v>
      </c>
      <c r="AB40" s="1810">
        <f t="shared" si="4"/>
        <v>1</v>
      </c>
      <c r="AC40" s="2673">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197"/>
      <c r="Q41" s="1809" t="str">
        <f t="shared" si="11"/>
        <v>层高</v>
      </c>
      <c r="R41" s="773" t="s">
        <v>17</v>
      </c>
      <c r="S41" s="774">
        <f t="shared" si="12"/>
        <v>100</v>
      </c>
      <c r="T41" s="773" t="s">
        <v>17</v>
      </c>
      <c r="U41" s="774">
        <f t="shared" si="13"/>
        <v>100</v>
      </c>
      <c r="V41" s="773" t="s">
        <v>17</v>
      </c>
      <c r="W41" s="774">
        <f t="shared" si="14"/>
        <v>100</v>
      </c>
      <c r="X41" s="1812"/>
      <c r="Y41" s="3199"/>
      <c r="Z41" s="1813" t="str">
        <f t="shared" si="15"/>
        <v>层高</v>
      </c>
      <c r="AA41" s="1810">
        <f t="shared" si="3"/>
        <v>1</v>
      </c>
      <c r="AB41" s="1810">
        <f t="shared" si="4"/>
        <v>1</v>
      </c>
      <c r="AC41" s="2673">
        <f t="shared" si="5"/>
        <v>1</v>
      </c>
    </row>
    <row r="42" spans="1:29" s="470" customFormat="1" ht="15">
      <c r="A42" s="467"/>
      <c r="B42" s="1811"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197"/>
      <c r="Q42" s="775" t="str">
        <f t="shared" si="11"/>
        <v>单套建筑面积</v>
      </c>
      <c r="R42" s="776" t="s">
        <v>17</v>
      </c>
      <c r="S42" s="777">
        <f t="shared" si="12"/>
        <v>100</v>
      </c>
      <c r="T42" s="776" t="s">
        <v>17</v>
      </c>
      <c r="U42" s="777">
        <f t="shared" si="13"/>
        <v>100</v>
      </c>
      <c r="V42" s="776" t="s">
        <v>17</v>
      </c>
      <c r="W42" s="777">
        <f t="shared" si="14"/>
        <v>100</v>
      </c>
      <c r="X42" s="778"/>
      <c r="Y42" s="3199"/>
      <c r="Z42" s="779" t="str">
        <f t="shared" si="15"/>
        <v>单套建筑面积</v>
      </c>
      <c r="AA42" s="1810">
        <f t="shared" si="3"/>
        <v>1</v>
      </c>
      <c r="AB42" s="1810">
        <f t="shared" si="4"/>
        <v>1</v>
      </c>
      <c r="AC42" s="2673">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197"/>
      <c r="Q43" s="1809" t="str">
        <f t="shared" si="11"/>
        <v>内部装修</v>
      </c>
      <c r="R43" s="773" t="s">
        <v>17</v>
      </c>
      <c r="S43" s="774">
        <f t="shared" si="12"/>
        <v>100</v>
      </c>
      <c r="T43" s="773" t="s">
        <v>17</v>
      </c>
      <c r="U43" s="774">
        <f t="shared" si="13"/>
        <v>100</v>
      </c>
      <c r="V43" s="773" t="s">
        <v>17</v>
      </c>
      <c r="W43" s="774">
        <f t="shared" si="14"/>
        <v>100</v>
      </c>
      <c r="X43" s="1812"/>
      <c r="Y43" s="3199"/>
      <c r="Z43" s="1813" t="str">
        <f t="shared" si="15"/>
        <v>内部装修</v>
      </c>
      <c r="AA43" s="1810">
        <f t="shared" si="3"/>
        <v>1</v>
      </c>
      <c r="AB43" s="1810">
        <f t="shared" si="4"/>
        <v>1</v>
      </c>
      <c r="AC43" s="2673">
        <f t="shared" si="5"/>
        <v>1</v>
      </c>
    </row>
    <row r="44" spans="1:29" ht="28.8">
      <c r="A44" s="471"/>
      <c r="B44" s="421" t="s">
        <v>2569</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197"/>
      <c r="Q44" s="1809" t="str">
        <f t="shared" si="11"/>
        <v>内部装修维护情况</v>
      </c>
      <c r="R44" s="773" t="s">
        <v>17</v>
      </c>
      <c r="S44" s="774">
        <f t="shared" si="12"/>
        <v>100</v>
      </c>
      <c r="T44" s="773" t="s">
        <v>17</v>
      </c>
      <c r="U44" s="774">
        <f t="shared" si="13"/>
        <v>100</v>
      </c>
      <c r="V44" s="773" t="s">
        <v>17</v>
      </c>
      <c r="W44" s="774">
        <f t="shared" si="14"/>
        <v>100</v>
      </c>
      <c r="X44" s="1812"/>
      <c r="Y44" s="3199"/>
      <c r="Z44" s="1813" t="str">
        <f t="shared" si="15"/>
        <v>内部装修维护情况</v>
      </c>
      <c r="AA44" s="1810">
        <f t="shared" si="3"/>
        <v>1</v>
      </c>
      <c r="AB44" s="1810">
        <f t="shared" si="4"/>
        <v>1</v>
      </c>
      <c r="AC44" s="2673">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197"/>
      <c r="Q45" s="1794">
        <f t="shared" si="11"/>
        <v>111</v>
      </c>
      <c r="R45" s="769" t="s">
        <v>17</v>
      </c>
      <c r="S45" s="770">
        <f t="shared" si="12"/>
        <v>100</v>
      </c>
      <c r="T45" s="769" t="s">
        <v>17</v>
      </c>
      <c r="U45" s="770">
        <f t="shared" si="13"/>
        <v>100</v>
      </c>
      <c r="V45" s="769" t="s">
        <v>17</v>
      </c>
      <c r="W45" s="770">
        <f t="shared" si="14"/>
        <v>100</v>
      </c>
      <c r="X45" s="771"/>
      <c r="Y45" s="3199"/>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197"/>
      <c r="Q46" s="1809">
        <f t="shared" si="11"/>
        <v>111</v>
      </c>
      <c r="R46" s="773" t="s">
        <v>17</v>
      </c>
      <c r="S46" s="774">
        <f t="shared" si="12"/>
        <v>100</v>
      </c>
      <c r="T46" s="773" t="s">
        <v>17</v>
      </c>
      <c r="U46" s="774">
        <f t="shared" si="13"/>
        <v>100</v>
      </c>
      <c r="V46" s="773" t="s">
        <v>17</v>
      </c>
      <c r="W46" s="774">
        <f t="shared" si="14"/>
        <v>100</v>
      </c>
      <c r="X46" s="1812"/>
      <c r="Y46" s="3199"/>
      <c r="Z46" s="1813">
        <f t="shared" si="15"/>
        <v>111</v>
      </c>
      <c r="AA46" s="1810">
        <f t="shared" si="3"/>
        <v>1</v>
      </c>
      <c r="AB46" s="1810">
        <f t="shared" si="4"/>
        <v>1</v>
      </c>
      <c r="AC46" s="2673">
        <f t="shared" si="5"/>
        <v>1</v>
      </c>
    </row>
    <row r="47" spans="1:29" ht="15.6"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198"/>
      <c r="Q47" s="1809">
        <f t="shared" si="11"/>
        <v>111</v>
      </c>
      <c r="R47" s="773" t="s">
        <v>17</v>
      </c>
      <c r="S47" s="774">
        <f t="shared" si="12"/>
        <v>100</v>
      </c>
      <c r="T47" s="773" t="s">
        <v>17</v>
      </c>
      <c r="U47" s="774">
        <f t="shared" si="13"/>
        <v>100</v>
      </c>
      <c r="V47" s="773" t="s">
        <v>17</v>
      </c>
      <c r="W47" s="774">
        <f t="shared" si="14"/>
        <v>100</v>
      </c>
      <c r="X47" s="1812"/>
      <c r="Y47" s="3200"/>
      <c r="Z47" s="1813">
        <f t="shared" si="15"/>
        <v>111</v>
      </c>
      <c r="AA47" s="1810">
        <f t="shared" si="3"/>
        <v>1</v>
      </c>
      <c r="AB47" s="1810">
        <f t="shared" si="4"/>
        <v>1</v>
      </c>
      <c r="AC47" s="2673">
        <f t="shared" si="5"/>
        <v>1</v>
      </c>
    </row>
    <row r="48" spans="1:29" ht="14.4">
      <c r="A48" s="478" t="s">
        <v>2570</v>
      </c>
      <c r="B48" s="479"/>
      <c r="C48" s="1406" t="s">
        <v>1</v>
      </c>
      <c r="D48" s="1407"/>
      <c r="E48" s="1408"/>
      <c r="F48" s="1409"/>
      <c r="G48" s="1410"/>
      <c r="H48" s="1411"/>
      <c r="I48" s="1408"/>
      <c r="J48" s="484"/>
      <c r="K48" s="782"/>
      <c r="L48" s="1142"/>
      <c r="M48" s="1130"/>
      <c r="N48" s="1130"/>
      <c r="O48" s="1130"/>
      <c r="P48" s="3203" t="str">
        <f>A48</f>
        <v>成交单价（元/平方米）</v>
      </c>
      <c r="Q48" s="3192"/>
      <c r="R48" s="3193">
        <f>E48</f>
        <v>0</v>
      </c>
      <c r="S48" s="3193"/>
      <c r="T48" s="3193">
        <f>G48</f>
        <v>0</v>
      </c>
      <c r="U48" s="3193"/>
      <c r="V48" s="3193">
        <f>I48</f>
        <v>0</v>
      </c>
      <c r="W48" s="3193"/>
      <c r="X48" s="445"/>
      <c r="Y48" s="780"/>
      <c r="Z48" s="445"/>
      <c r="AA48" s="445"/>
      <c r="AB48" s="445"/>
      <c r="AC48" s="629"/>
    </row>
    <row r="49" spans="1:29" ht="15" thickBot="1">
      <c r="A49" s="485" t="s">
        <v>2662</v>
      </c>
      <c r="B49" s="486"/>
      <c r="C49" s="1412" t="e">
        <f>R50</f>
        <v>#DIV/0!</v>
      </c>
      <c r="D49" s="1413"/>
      <c r="E49" s="1414" t="e">
        <f>R49</f>
        <v>#DIV/0!</v>
      </c>
      <c r="F49" s="1414"/>
      <c r="G49" s="1412" t="e">
        <f>T49</f>
        <v>#DIV/0!</v>
      </c>
      <c r="H49" s="1413"/>
      <c r="I49" s="1414" t="e">
        <f>V49</f>
        <v>#DIV/0!</v>
      </c>
      <c r="J49" s="488"/>
      <c r="K49" s="783"/>
      <c r="L49" s="1142"/>
      <c r="M49" s="1130"/>
      <c r="N49" s="1130"/>
      <c r="O49" s="1130"/>
      <c r="P49" s="3203" t="str">
        <f>A49</f>
        <v>比较价值（元/平方米）</v>
      </c>
      <c r="Q49" s="3192"/>
      <c r="R49" s="3193" t="e">
        <f>IF(F1="售价",ROUND(PRODUCT(R48,AA7:AA47),0),ROUND(PRODUCT(R48,AA7:AA47),1))</f>
        <v>#DIV/0!</v>
      </c>
      <c r="S49" s="3193"/>
      <c r="T49" s="3193" t="e">
        <f>IF(F1="售价",ROUND(PRODUCT(T48,AB7:AB47),0),ROUND(PRODUCT(T48,AB7:AB47),1))</f>
        <v>#DIV/0!</v>
      </c>
      <c r="U49" s="3193"/>
      <c r="V49" s="3193" t="e">
        <f>IF(F1="售价",ROUND(PRODUCT(V48,AC7:AC47),0),ROUND(PRODUCT(V48,AC7:AC47),1))</f>
        <v>#DIV/0!</v>
      </c>
      <c r="W49" s="3193"/>
      <c r="X49" s="445"/>
      <c r="Y49" s="445"/>
      <c r="Z49" s="445"/>
      <c r="AA49" s="445"/>
      <c r="AB49" s="445"/>
      <c r="AC49" s="629"/>
    </row>
    <row r="50" spans="1:29" ht="15" thickBot="1">
      <c r="A50" s="491" t="s">
        <v>2663</v>
      </c>
      <c r="B50" s="492"/>
      <c r="C50" s="1416" t="e">
        <f>R50</f>
        <v>#DIV/0!</v>
      </c>
      <c r="D50" s="1416"/>
      <c r="E50" s="1416"/>
      <c r="F50" s="1416"/>
      <c r="G50" s="1416"/>
      <c r="H50" s="1416"/>
      <c r="I50" s="1416"/>
      <c r="J50" s="493"/>
      <c r="K50" s="784"/>
      <c r="L50" s="1142"/>
      <c r="M50" s="1130"/>
      <c r="N50" s="1130"/>
      <c r="O50" s="1130"/>
      <c r="P50" s="3235" t="str">
        <f>A50</f>
        <v>估价对象XX用房的比较价值（楼面单价，元/平方米）</v>
      </c>
      <c r="Q50" s="3236"/>
      <c r="R50" s="3237" t="e">
        <f>IF(F1="售价",ROUND(AVERAGE(R49:V49),0),ROUND(AVERAGE(R49:V49),1))</f>
        <v>#DIV/0!</v>
      </c>
      <c r="S50" s="3237"/>
      <c r="T50" s="3237"/>
      <c r="U50" s="3237"/>
      <c r="V50" s="3237"/>
      <c r="W50" s="3237"/>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2.2" thickBot="1">
      <c r="A58" s="762" t="s">
        <v>2667</v>
      </c>
      <c r="B58" s="758"/>
      <c r="C58" s="763"/>
      <c r="D58" s="763"/>
      <c r="E58" s="763"/>
      <c r="F58" s="764"/>
      <c r="G58" s="764"/>
      <c r="H58" s="763"/>
      <c r="I58" s="763"/>
      <c r="J58" s="763"/>
      <c r="K58" s="765"/>
      <c r="L58" s="1160"/>
      <c r="M58" s="1158"/>
      <c r="N58" s="1158"/>
      <c r="O58" s="1158"/>
      <c r="P58" s="2680"/>
      <c r="Q58" s="503"/>
    </row>
    <row r="59" spans="1:29" s="507" customFormat="1" ht="14.4">
      <c r="A59" s="504" t="s">
        <v>2541</v>
      </c>
      <c r="B59" s="505"/>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c r="A60" s="508"/>
      <c r="B60" s="509"/>
      <c r="C60" s="1572">
        <v>100</v>
      </c>
      <c r="D60" s="511"/>
      <c r="E60" s="511"/>
      <c r="F60" s="511"/>
      <c r="G60" s="511"/>
      <c r="H60" s="511"/>
      <c r="I60" s="511"/>
      <c r="J60" s="511"/>
      <c r="K60" s="511"/>
      <c r="L60" s="511"/>
      <c r="M60" s="512"/>
      <c r="N60" s="511"/>
      <c r="O60" s="512"/>
      <c r="P60" s="2681"/>
    </row>
    <row r="61" spans="1:29" s="117" customFormat="1" ht="15" thickBot="1">
      <c r="A61" s="514" t="s">
        <v>2578</v>
      </c>
      <c r="B61" s="515"/>
      <c r="C61" s="516"/>
      <c r="D61" s="517"/>
      <c r="E61" s="517"/>
      <c r="F61" s="517"/>
      <c r="G61" s="517"/>
      <c r="H61" s="517"/>
      <c r="I61" s="517"/>
      <c r="J61" s="517"/>
      <c r="K61" s="517"/>
      <c r="L61" s="517"/>
      <c r="M61" s="518"/>
      <c r="N61" s="517"/>
      <c r="O61" s="518"/>
      <c r="P61" s="2681"/>
      <c r="Q61" s="503"/>
    </row>
    <row r="62" spans="1:29" s="117" customFormat="1" ht="14.4">
      <c r="A62" s="520" t="s">
        <v>2543</v>
      </c>
      <c r="B62" s="509"/>
      <c r="C62" s="521" t="s">
        <v>2645</v>
      </c>
      <c r="D62" s="522"/>
      <c r="E62" s="522"/>
      <c r="F62" s="522"/>
      <c r="G62" s="522"/>
      <c r="H62" s="522"/>
      <c r="I62" s="522"/>
      <c r="J62" s="522"/>
      <c r="K62" s="522"/>
      <c r="L62" s="523"/>
      <c r="M62" s="524"/>
      <c r="N62" s="1150"/>
      <c r="O62" s="1150"/>
      <c r="P62" s="2682"/>
      <c r="Q62" s="503"/>
    </row>
    <row r="63" spans="1:29" s="117" customFormat="1" ht="14.4" thickBot="1">
      <c r="A63" s="520"/>
      <c r="B63" s="509"/>
      <c r="C63" s="510">
        <v>100</v>
      </c>
      <c r="D63" s="511"/>
      <c r="E63" s="511"/>
      <c r="F63" s="511"/>
      <c r="G63" s="511"/>
      <c r="H63" s="511"/>
      <c r="I63" s="511"/>
      <c r="J63" s="511"/>
      <c r="K63" s="511"/>
      <c r="L63" s="511"/>
      <c r="M63" s="513"/>
      <c r="N63" s="1150"/>
      <c r="O63" s="1150"/>
      <c r="P63" s="2681"/>
      <c r="Q63" s="503"/>
    </row>
    <row r="64" spans="1:29" ht="14.4">
      <c r="A64" s="526" t="s">
        <v>2581</v>
      </c>
      <c r="B64" s="527" t="s">
        <v>2547</v>
      </c>
      <c r="C64" s="528">
        <f>C9</f>
        <v>0</v>
      </c>
      <c r="D64" s="529"/>
      <c r="E64" s="529"/>
      <c r="F64" s="529"/>
      <c r="G64" s="529"/>
      <c r="H64" s="529"/>
      <c r="I64" s="529"/>
      <c r="J64" s="529"/>
      <c r="K64" s="530"/>
      <c r="L64" s="531"/>
      <c r="M64" s="532"/>
      <c r="N64" s="1151"/>
      <c r="O64" s="1151"/>
      <c r="P64" s="2683"/>
      <c r="Q64" s="503"/>
    </row>
    <row r="65" spans="1:17" ht="14.4" thickBot="1">
      <c r="A65" s="533"/>
      <c r="B65" s="534"/>
      <c r="C65" s="535">
        <v>100</v>
      </c>
      <c r="D65" s="535"/>
      <c r="E65" s="535"/>
      <c r="F65" s="535"/>
      <c r="G65" s="535"/>
      <c r="H65" s="535"/>
      <c r="I65" s="535"/>
      <c r="J65" s="535"/>
      <c r="K65" s="535"/>
      <c r="L65" s="535"/>
      <c r="M65" s="536"/>
      <c r="N65" s="1152"/>
      <c r="O65" s="1152"/>
      <c r="P65" s="2683"/>
      <c r="Q65" s="503"/>
    </row>
    <row r="66" spans="1:17" ht="29.4" thickTop="1">
      <c r="A66" s="533"/>
      <c r="B66" s="537" t="s">
        <v>2550</v>
      </c>
      <c r="C66" s="538" t="s">
        <v>2582</v>
      </c>
      <c r="D66" s="538" t="s">
        <v>2583</v>
      </c>
      <c r="E66" s="538" t="s">
        <v>2584</v>
      </c>
      <c r="F66" s="538" t="s">
        <v>2585</v>
      </c>
      <c r="G66" s="538" t="s">
        <v>2586</v>
      </c>
      <c r="H66" s="538" t="s">
        <v>2587</v>
      </c>
      <c r="I66" s="538" t="s">
        <v>2588</v>
      </c>
      <c r="J66" s="538"/>
      <c r="K66" s="539"/>
      <c r="L66" s="540"/>
      <c r="M66" s="541"/>
      <c r="N66" s="1151"/>
      <c r="O66" s="1151"/>
      <c r="P66" s="2683"/>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c r="A69" s="533"/>
      <c r="B69" s="547"/>
      <c r="C69" s="548"/>
      <c r="D69" s="548"/>
      <c r="E69" s="548"/>
      <c r="F69" s="548"/>
      <c r="G69" s="548"/>
      <c r="H69" s="548"/>
      <c r="I69" s="548"/>
      <c r="J69" s="548"/>
      <c r="K69" s="549"/>
      <c r="L69" s="550"/>
      <c r="M69" s="551"/>
      <c r="N69" s="1151"/>
      <c r="O69" s="1151"/>
      <c r="P69" s="2683"/>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4.4" thickTop="1">
      <c r="A71" s="552"/>
      <c r="B71" s="537">
        <f>B12</f>
        <v>111</v>
      </c>
      <c r="C71" s="553"/>
      <c r="D71" s="553"/>
      <c r="E71" s="553"/>
      <c r="F71" s="553"/>
      <c r="G71" s="553"/>
      <c r="H71" s="554"/>
      <c r="I71" s="554"/>
      <c r="J71" s="554"/>
      <c r="K71" s="554"/>
      <c r="L71" s="555"/>
      <c r="M71" s="556"/>
      <c r="N71" s="1153"/>
      <c r="O71" s="1153"/>
      <c r="P71" s="2684"/>
      <c r="Q71" s="558"/>
    </row>
    <row r="72" spans="1:17" s="470" customFormat="1" ht="14.4" thickBot="1">
      <c r="A72" s="552"/>
      <c r="B72" s="542"/>
      <c r="C72" s="559"/>
      <c r="D72" s="535"/>
      <c r="E72" s="535"/>
      <c r="F72" s="535"/>
      <c r="G72" s="535"/>
      <c r="H72" s="535"/>
      <c r="I72" s="535"/>
      <c r="J72" s="535"/>
      <c r="K72" s="535"/>
      <c r="L72" s="535"/>
      <c r="M72" s="536"/>
      <c r="N72" s="1152"/>
      <c r="O72" s="1152"/>
      <c r="P72" s="2684"/>
      <c r="Q72" s="558"/>
    </row>
    <row r="73" spans="1:17" s="470" customFormat="1" ht="14.4" thickTop="1">
      <c r="A73" s="552"/>
      <c r="B73" s="537">
        <f>B13</f>
        <v>111</v>
      </c>
      <c r="C73" s="553"/>
      <c r="D73" s="553"/>
      <c r="E73" s="553"/>
      <c r="F73" s="553"/>
      <c r="G73" s="553"/>
      <c r="H73" s="554"/>
      <c r="I73" s="554"/>
      <c r="J73" s="554"/>
      <c r="K73" s="554"/>
      <c r="L73" s="555"/>
      <c r="M73" s="556"/>
      <c r="N73" s="1153"/>
      <c r="O73" s="1153"/>
      <c r="P73" s="2685"/>
      <c r="Q73" s="560"/>
    </row>
    <row r="74" spans="1:17" s="470" customFormat="1" ht="14.4" thickBot="1">
      <c r="A74" s="552"/>
      <c r="B74" s="542"/>
      <c r="C74" s="559"/>
      <c r="D74" s="559"/>
      <c r="E74" s="559"/>
      <c r="F74" s="559"/>
      <c r="G74" s="559"/>
      <c r="H74" s="561"/>
      <c r="I74" s="561"/>
      <c r="J74" s="561"/>
      <c r="K74" s="561"/>
      <c r="L74" s="561"/>
      <c r="M74" s="562"/>
      <c r="N74" s="1153"/>
      <c r="O74" s="1153"/>
      <c r="P74" s="2684"/>
      <c r="Q74" s="558"/>
    </row>
    <row r="75" spans="1:17" s="470" customFormat="1" ht="14.4" thickTop="1">
      <c r="A75" s="552"/>
      <c r="B75" s="545">
        <f>B14</f>
        <v>111</v>
      </c>
      <c r="C75" s="522"/>
      <c r="D75" s="522"/>
      <c r="E75" s="522"/>
      <c r="F75" s="522"/>
      <c r="G75" s="522"/>
      <c r="H75" s="563"/>
      <c r="I75" s="563"/>
      <c r="J75" s="563"/>
      <c r="K75" s="563"/>
      <c r="L75" s="564"/>
      <c r="M75" s="565"/>
      <c r="N75" s="1153"/>
      <c r="O75" s="1153"/>
      <c r="P75" s="2686"/>
      <c r="Q75" s="558"/>
    </row>
    <row r="76" spans="1:17" s="470" customFormat="1" ht="14.4" thickBot="1">
      <c r="A76" s="567"/>
      <c r="B76" s="568"/>
      <c r="C76" s="569"/>
      <c r="D76" s="569"/>
      <c r="E76" s="569"/>
      <c r="F76" s="569"/>
      <c r="G76" s="569"/>
      <c r="H76" s="570"/>
      <c r="I76" s="570"/>
      <c r="J76" s="570"/>
      <c r="K76" s="570"/>
      <c r="L76" s="570"/>
      <c r="M76" s="571"/>
      <c r="N76" s="1153"/>
      <c r="O76" s="1153"/>
      <c r="P76" s="2684"/>
      <c r="Q76" s="558"/>
    </row>
    <row r="77" spans="1:17" ht="14.4">
      <c r="A77" s="526" t="s">
        <v>2552</v>
      </c>
      <c r="B77" s="527" t="s">
        <v>2690</v>
      </c>
      <c r="C77" s="572" t="s">
        <v>2590</v>
      </c>
      <c r="D77" s="572" t="s">
        <v>2591</v>
      </c>
      <c r="E77" s="572" t="s">
        <v>2592</v>
      </c>
      <c r="F77" s="572" t="s">
        <v>2593</v>
      </c>
      <c r="G77" s="572" t="s">
        <v>2594</v>
      </c>
      <c r="H77" s="528"/>
      <c r="I77" s="528"/>
      <c r="J77" s="528"/>
      <c r="K77" s="573"/>
      <c r="L77" s="574"/>
      <c r="M77" s="575"/>
      <c r="N77" s="1151"/>
      <c r="O77" s="1151"/>
      <c r="P77" s="2687"/>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 thickTop="1">
      <c r="A79" s="533"/>
      <c r="B79" s="537" t="s">
        <v>2595</v>
      </c>
      <c r="C79" s="577" t="s">
        <v>2590</v>
      </c>
      <c r="D79" s="577" t="s">
        <v>2591</v>
      </c>
      <c r="E79" s="577" t="s">
        <v>2592</v>
      </c>
      <c r="F79" s="577" t="s">
        <v>2593</v>
      </c>
      <c r="G79" s="577" t="s">
        <v>2594</v>
      </c>
      <c r="H79" s="538"/>
      <c r="I79" s="538"/>
      <c r="J79" s="538"/>
      <c r="K79" s="539"/>
      <c r="L79" s="540"/>
      <c r="M79" s="541"/>
      <c r="N79" s="1151"/>
      <c r="O79" s="1151"/>
      <c r="P79" s="2683"/>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 thickTop="1">
      <c r="A81" s="533"/>
      <c r="B81" s="537" t="s">
        <v>2596</v>
      </c>
      <c r="C81" s="577" t="s">
        <v>2590</v>
      </c>
      <c r="D81" s="577" t="s">
        <v>2591</v>
      </c>
      <c r="E81" s="577" t="s">
        <v>2592</v>
      </c>
      <c r="F81" s="577" t="s">
        <v>2593</v>
      </c>
      <c r="G81" s="577" t="s">
        <v>2594</v>
      </c>
      <c r="H81" s="538"/>
      <c r="I81" s="538"/>
      <c r="J81" s="538"/>
      <c r="K81" s="539"/>
      <c r="L81" s="540"/>
      <c r="M81" s="541"/>
      <c r="N81" s="1151"/>
      <c r="O81" s="1151"/>
      <c r="P81" s="2683"/>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 thickTop="1">
      <c r="A83" s="533"/>
      <c r="B83" s="545" t="s">
        <v>2682</v>
      </c>
      <c r="C83" s="659" t="s">
        <v>2668</v>
      </c>
      <c r="D83" s="659" t="s">
        <v>2669</v>
      </c>
      <c r="E83" s="659" t="s">
        <v>2670</v>
      </c>
      <c r="F83" s="659" t="s">
        <v>2671</v>
      </c>
      <c r="G83" s="659" t="s">
        <v>2672</v>
      </c>
      <c r="H83" s="538"/>
      <c r="I83" s="538"/>
      <c r="J83" s="538"/>
      <c r="K83" s="538"/>
      <c r="L83" s="538"/>
      <c r="M83" s="1381"/>
      <c r="N83" s="1152"/>
      <c r="O83" s="1152"/>
      <c r="P83" s="2683"/>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 thickTop="1">
      <c r="A85" s="533"/>
      <c r="B85" s="537" t="s">
        <v>2691</v>
      </c>
      <c r="C85" s="577" t="s">
        <v>2590</v>
      </c>
      <c r="D85" s="577" t="s">
        <v>2591</v>
      </c>
      <c r="E85" s="577" t="s">
        <v>2592</v>
      </c>
      <c r="F85" s="577" t="s">
        <v>2593</v>
      </c>
      <c r="G85" s="577" t="s">
        <v>2594</v>
      </c>
      <c r="H85" s="538"/>
      <c r="I85" s="538"/>
      <c r="J85" s="538"/>
      <c r="K85" s="539"/>
      <c r="L85" s="540"/>
      <c r="M85" s="541"/>
      <c r="N85" s="1151"/>
      <c r="O85" s="1151"/>
      <c r="P85" s="2683"/>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7" customFormat="1" ht="29.4" thickTop="1">
      <c r="A87" s="578"/>
      <c r="B87" s="537" t="s">
        <v>2692</v>
      </c>
      <c r="C87" s="553"/>
      <c r="D87" s="553"/>
      <c r="E87" s="553"/>
      <c r="F87" s="553"/>
      <c r="G87" s="553"/>
      <c r="H87" s="553"/>
      <c r="I87" s="553"/>
      <c r="J87" s="553"/>
      <c r="K87" s="553"/>
      <c r="L87" s="579"/>
      <c r="M87" s="580"/>
      <c r="N87" s="1150"/>
      <c r="O87" s="1150"/>
      <c r="P87" s="2683"/>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7" customFormat="1" ht="14.4" thickTop="1">
      <c r="A89" s="578"/>
      <c r="B89" s="537" t="str">
        <f>B27</f>
        <v>楼层</v>
      </c>
      <c r="C89" s="553"/>
      <c r="D89" s="553"/>
      <c r="E89" s="553"/>
      <c r="F89" s="2634"/>
      <c r="G89" s="553"/>
      <c r="H89" s="553"/>
      <c r="I89" s="553"/>
      <c r="J89" s="553"/>
      <c r="K89" s="553"/>
      <c r="L89" s="553"/>
      <c r="M89" s="580"/>
      <c r="N89" s="1150"/>
      <c r="O89" s="1150"/>
      <c r="P89" s="2683"/>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4.4" thickTop="1">
      <c r="A93" s="533"/>
      <c r="B93" s="537">
        <f>B29</f>
        <v>111</v>
      </c>
      <c r="C93" s="553"/>
      <c r="D93" s="553"/>
      <c r="E93" s="553"/>
      <c r="F93" s="553"/>
      <c r="G93" s="553"/>
      <c r="H93" s="553"/>
      <c r="I93" s="553"/>
      <c r="J93" s="553"/>
      <c r="K93" s="553"/>
      <c r="L93" s="579"/>
      <c r="M93" s="580"/>
      <c r="N93" s="1151"/>
      <c r="O93" s="1151"/>
      <c r="P93" s="2683"/>
      <c r="Q93" s="503"/>
    </row>
    <row r="94" spans="1:17" ht="14.4" thickBot="1">
      <c r="A94" s="533"/>
      <c r="B94" s="542"/>
      <c r="C94" s="559"/>
      <c r="D94" s="535"/>
      <c r="E94" s="535"/>
      <c r="F94" s="535"/>
      <c r="G94" s="535"/>
      <c r="H94" s="535"/>
      <c r="I94" s="535"/>
      <c r="J94" s="535"/>
      <c r="K94" s="535"/>
      <c r="L94" s="535"/>
      <c r="M94" s="536"/>
      <c r="N94" s="1152"/>
      <c r="O94" s="1152"/>
      <c r="P94" s="2683"/>
      <c r="Q94" s="503"/>
    </row>
    <row r="95" spans="1:17" ht="14.4" thickTop="1">
      <c r="A95" s="533"/>
      <c r="B95" s="537">
        <f>B30</f>
        <v>111</v>
      </c>
      <c r="C95" s="553"/>
      <c r="D95" s="553"/>
      <c r="E95" s="553"/>
      <c r="F95" s="553"/>
      <c r="G95" s="582"/>
      <c r="H95" s="582"/>
      <c r="I95" s="582"/>
      <c r="J95" s="582"/>
      <c r="K95" s="583"/>
      <c r="L95" s="584"/>
      <c r="M95" s="585"/>
      <c r="N95" s="1151"/>
      <c r="O95" s="1151"/>
      <c r="P95" s="2683"/>
      <c r="Q95" s="503"/>
    </row>
    <row r="96" spans="1:17" ht="14.4" thickBot="1">
      <c r="A96" s="533"/>
      <c r="B96" s="542"/>
      <c r="C96" s="559"/>
      <c r="D96" s="559"/>
      <c r="E96" s="559"/>
      <c r="F96" s="559"/>
      <c r="G96" s="535"/>
      <c r="H96" s="535"/>
      <c r="I96" s="535"/>
      <c r="J96" s="535"/>
      <c r="K96" s="535"/>
      <c r="L96" s="535"/>
      <c r="M96" s="536"/>
      <c r="N96" s="1152"/>
      <c r="O96" s="1152"/>
      <c r="P96" s="2683"/>
      <c r="Q96" s="503"/>
    </row>
    <row r="97" spans="1:17" ht="14.4" thickTop="1">
      <c r="A97" s="533"/>
      <c r="B97" s="537">
        <f>B31</f>
        <v>111</v>
      </c>
      <c r="C97" s="553"/>
      <c r="D97" s="553"/>
      <c r="E97" s="553"/>
      <c r="F97" s="553"/>
      <c r="G97" s="582"/>
      <c r="H97" s="582"/>
      <c r="I97" s="582"/>
      <c r="J97" s="582"/>
      <c r="K97" s="583"/>
      <c r="L97" s="584"/>
      <c r="M97" s="585"/>
      <c r="N97" s="1151"/>
      <c r="O97" s="1151"/>
      <c r="P97" s="2683"/>
      <c r="Q97" s="503"/>
    </row>
    <row r="98" spans="1:17" ht="14.4" thickBot="1">
      <c r="A98" s="533"/>
      <c r="B98" s="542"/>
      <c r="C98" s="559"/>
      <c r="D98" s="535"/>
      <c r="E98" s="535"/>
      <c r="F98" s="535"/>
      <c r="G98" s="535"/>
      <c r="H98" s="535"/>
      <c r="I98" s="535"/>
      <c r="J98" s="535"/>
      <c r="K98" s="535"/>
      <c r="L98" s="535"/>
      <c r="M98" s="536"/>
      <c r="N98" s="1152"/>
      <c r="O98" s="1152"/>
      <c r="P98" s="2683"/>
      <c r="Q98" s="503"/>
    </row>
    <row r="99" spans="1:17" ht="14.4" thickTop="1">
      <c r="A99" s="533"/>
      <c r="B99" s="545">
        <f>B32</f>
        <v>111</v>
      </c>
      <c r="C99" s="522"/>
      <c r="D99" s="522"/>
      <c r="E99" s="522"/>
      <c r="F99" s="522"/>
      <c r="G99" s="586"/>
      <c r="H99" s="586"/>
      <c r="I99" s="586"/>
      <c r="J99" s="586"/>
      <c r="K99" s="587"/>
      <c r="L99" s="588"/>
      <c r="M99" s="589"/>
      <c r="N99" s="1151"/>
      <c r="O99" s="1151"/>
      <c r="P99" s="2683"/>
      <c r="Q99" s="503"/>
    </row>
    <row r="100" spans="1:17" ht="14.4" thickBot="1">
      <c r="A100" s="2635"/>
      <c r="B100" s="568"/>
      <c r="C100" s="569"/>
      <c r="D100" s="569"/>
      <c r="E100" s="569"/>
      <c r="F100" s="569"/>
      <c r="G100" s="590"/>
      <c r="H100" s="590"/>
      <c r="I100" s="590"/>
      <c r="J100" s="590"/>
      <c r="K100" s="590"/>
      <c r="L100" s="590"/>
      <c r="M100" s="591"/>
      <c r="N100" s="1152"/>
      <c r="O100" s="1152"/>
      <c r="P100" s="2683"/>
      <c r="Q100" s="503"/>
    </row>
    <row r="101" spans="1:17" ht="14.4">
      <c r="A101" s="526" t="s">
        <v>2556</v>
      </c>
      <c r="B101" s="527" t="s">
        <v>2605</v>
      </c>
      <c r="C101" s="529"/>
      <c r="D101" s="529"/>
      <c r="E101" s="529"/>
      <c r="F101" s="529"/>
      <c r="G101" s="529"/>
      <c r="H101" s="529"/>
      <c r="I101" s="529"/>
      <c r="J101" s="529"/>
      <c r="K101" s="530"/>
      <c r="L101" s="531"/>
      <c r="M101" s="532"/>
      <c r="N101" s="1151"/>
      <c r="O101" s="1151"/>
      <c r="P101" s="2683"/>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4.4"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2607</v>
      </c>
      <c r="C106" s="553"/>
      <c r="D106" s="553"/>
      <c r="E106" s="582"/>
      <c r="F106" s="582"/>
      <c r="G106" s="582"/>
      <c r="H106" s="582"/>
      <c r="I106" s="582"/>
      <c r="J106" s="582"/>
      <c r="K106" s="583"/>
      <c r="L106" s="584"/>
      <c r="M106" s="585"/>
      <c r="N106" s="1151"/>
      <c r="O106" s="1151"/>
      <c r="P106" s="2683"/>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2609</v>
      </c>
      <c r="C108" s="553"/>
      <c r="D108" s="553"/>
      <c r="E108" s="553"/>
      <c r="F108" s="582"/>
      <c r="G108" s="582"/>
      <c r="H108" s="582"/>
      <c r="I108" s="582"/>
      <c r="J108" s="582"/>
      <c r="K108" s="583"/>
      <c r="L108" s="584"/>
      <c r="M108" s="585"/>
      <c r="N108" s="1151"/>
      <c r="O108" s="1151"/>
      <c r="P108" s="2683"/>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2693</v>
      </c>
      <c r="C113" s="553"/>
      <c r="D113" s="553"/>
      <c r="E113" s="553"/>
      <c r="F113" s="553"/>
      <c r="G113" s="553"/>
      <c r="H113" s="582"/>
      <c r="I113" s="582"/>
      <c r="J113" s="582"/>
      <c r="K113" s="583"/>
      <c r="L113" s="584"/>
      <c r="M113" s="585"/>
      <c r="N113" s="1153"/>
      <c r="O113" s="1153"/>
      <c r="P113" s="2684"/>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2610</v>
      </c>
      <c r="C115" s="553"/>
      <c r="D115" s="553"/>
      <c r="E115" s="582"/>
      <c r="F115" s="582"/>
      <c r="G115" s="582"/>
      <c r="H115" s="582"/>
      <c r="I115" s="582"/>
      <c r="J115" s="582"/>
      <c r="K115" s="583"/>
      <c r="L115" s="584"/>
      <c r="M115" s="585"/>
      <c r="N115" s="1151"/>
      <c r="O115" s="1151"/>
      <c r="P115" s="2683"/>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2611</v>
      </c>
      <c r="C117" s="553"/>
      <c r="D117" s="553"/>
      <c r="E117" s="553"/>
      <c r="F117" s="553"/>
      <c r="G117" s="553"/>
      <c r="H117" s="582"/>
      <c r="I117" s="582"/>
      <c r="J117" s="582"/>
      <c r="K117" s="583"/>
      <c r="L117" s="584"/>
      <c r="M117" s="585"/>
      <c r="N117" s="1151"/>
      <c r="O117" s="1151"/>
      <c r="P117" s="2683"/>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2694</v>
      </c>
      <c r="C119" s="582"/>
      <c r="D119" s="582"/>
      <c r="E119" s="582"/>
      <c r="F119" s="582"/>
      <c r="G119" s="582"/>
      <c r="H119" s="582"/>
      <c r="I119" s="582"/>
      <c r="J119" s="582"/>
      <c r="K119" s="582"/>
      <c r="L119" s="2688"/>
      <c r="M119" s="2689"/>
      <c r="N119" s="1152"/>
      <c r="O119" s="1152"/>
      <c r="P119" s="2690"/>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2677</v>
      </c>
      <c r="C121" s="553"/>
      <c r="D121" s="553"/>
      <c r="E121" s="553"/>
      <c r="F121" s="582"/>
      <c r="G121" s="554"/>
      <c r="H121" s="554"/>
      <c r="I121" s="554"/>
      <c r="J121" s="554"/>
      <c r="K121" s="554"/>
      <c r="L121" s="555"/>
      <c r="M121" s="556"/>
      <c r="N121" s="1153"/>
      <c r="O121" s="1153"/>
      <c r="P121" s="2684"/>
      <c r="Q121" s="558"/>
    </row>
    <row r="122" spans="1:17" s="470" customFormat="1" ht="14.4"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2613</v>
      </c>
      <c r="C123" s="553"/>
      <c r="D123" s="553"/>
      <c r="E123" s="553"/>
      <c r="F123" s="582"/>
      <c r="G123" s="582"/>
      <c r="H123" s="582"/>
      <c r="I123" s="582"/>
      <c r="J123" s="582"/>
      <c r="K123" s="583"/>
      <c r="L123" s="584"/>
      <c r="M123" s="585"/>
      <c r="N123" s="1151"/>
      <c r="O123" s="1151"/>
      <c r="P123" s="2683"/>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29.4" thickTop="1">
      <c r="A125" s="598"/>
      <c r="B125" s="537" t="s">
        <v>2614</v>
      </c>
      <c r="C125" s="577" t="s">
        <v>2590</v>
      </c>
      <c r="D125" s="577" t="s">
        <v>2591</v>
      </c>
      <c r="E125" s="577" t="s">
        <v>2592</v>
      </c>
      <c r="F125" s="577" t="s">
        <v>2593</v>
      </c>
      <c r="G125" s="577" t="s">
        <v>2594</v>
      </c>
      <c r="H125" s="538"/>
      <c r="I125" s="538"/>
      <c r="J125" s="538"/>
      <c r="K125" s="539"/>
      <c r="L125" s="540"/>
      <c r="M125" s="541"/>
      <c r="N125" s="1151"/>
      <c r="O125" s="1151"/>
      <c r="P125" s="2684"/>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4.4" thickBot="1">
      <c r="A128" s="552"/>
      <c r="B128" s="542"/>
      <c r="C128" s="559"/>
      <c r="D128" s="535"/>
      <c r="E128" s="535"/>
      <c r="F128" s="535"/>
      <c r="G128" s="559"/>
      <c r="H128" s="561"/>
      <c r="I128" s="561"/>
      <c r="J128" s="561"/>
      <c r="K128" s="561"/>
      <c r="L128" s="561"/>
      <c r="M128" s="562"/>
      <c r="N128" s="1153"/>
      <c r="O128" s="1153"/>
      <c r="P128" s="2684"/>
      <c r="Q128" s="558"/>
    </row>
    <row r="129" spans="1:17" ht="14.4" thickTop="1">
      <c r="A129" s="598"/>
      <c r="B129" s="537">
        <f>B46</f>
        <v>111</v>
      </c>
      <c r="C129" s="553"/>
      <c r="D129" s="553"/>
      <c r="E129" s="553"/>
      <c r="F129" s="553"/>
      <c r="G129" s="582"/>
      <c r="H129" s="582"/>
      <c r="I129" s="582"/>
      <c r="J129" s="582"/>
      <c r="K129" s="583"/>
      <c r="L129" s="584"/>
      <c r="M129" s="585"/>
      <c r="N129" s="1151"/>
      <c r="O129" s="1151"/>
      <c r="P129" s="2683"/>
      <c r="Q129" s="503"/>
    </row>
    <row r="130" spans="1:17" ht="14.4" thickBot="1">
      <c r="A130" s="533"/>
      <c r="B130" s="542"/>
      <c r="C130" s="559"/>
      <c r="D130" s="559"/>
      <c r="E130" s="559"/>
      <c r="F130" s="559"/>
      <c r="G130" s="535"/>
      <c r="H130" s="535"/>
      <c r="I130" s="535"/>
      <c r="J130" s="535"/>
      <c r="K130" s="535"/>
      <c r="L130" s="535"/>
      <c r="M130" s="536"/>
      <c r="N130" s="1152"/>
      <c r="O130" s="1152"/>
      <c r="P130" s="2683"/>
      <c r="Q130" s="503"/>
    </row>
    <row r="131" spans="1:17" ht="14.4" thickTop="1">
      <c r="A131" s="598"/>
      <c r="B131" s="545">
        <f>B47</f>
        <v>111</v>
      </c>
      <c r="C131" s="522"/>
      <c r="D131" s="522"/>
      <c r="E131" s="522"/>
      <c r="F131" s="522"/>
      <c r="G131" s="586"/>
      <c r="H131" s="586"/>
      <c r="I131" s="586"/>
      <c r="J131" s="586"/>
      <c r="K131" s="522"/>
      <c r="L131" s="523"/>
      <c r="M131" s="589"/>
      <c r="N131" s="1151"/>
      <c r="O131" s="1151"/>
      <c r="P131" s="2683"/>
      <c r="Q131" s="503"/>
    </row>
    <row r="132" spans="1:17" ht="14.4"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2521</v>
      </c>
      <c r="B1" s="2668" t="s">
        <v>2695</v>
      </c>
      <c r="C1" s="1619" t="s">
        <v>2523</v>
      </c>
      <c r="D1" s="1620"/>
      <c r="E1" s="1629"/>
      <c r="F1" s="2583"/>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2320</v>
      </c>
      <c r="B2" s="1417" t="e">
        <f ca="1">IF(C2="——",ROUND(C43*D3/10000,0),ROUND(C43*D3/10000,0)-D2)</f>
        <v>#DIV/0!</v>
      </c>
      <c r="C2" s="2585"/>
      <c r="D2" s="1123" t="e">
        <f ca="1">SUMIF(INDIRECT("'"&amp;F2&amp;"'"&amp;"!A:A"),"承租人权益价值",INDIRECT("'"&amp;F2&amp;"'"&amp;"!c:c"))</f>
        <v>#REF!</v>
      </c>
      <c r="E2" s="2586" t="s">
        <v>2321</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2322</v>
      </c>
      <c r="B3" s="608" t="e">
        <f ca="1">IF(C2="——",C43,ROUND(B2*10000/D3,0))</f>
        <v>#DIV/0!</v>
      </c>
      <c r="C3" s="399" t="s">
        <v>2637</v>
      </c>
      <c r="D3" s="398">
        <f>IF(D1="",'数据-汇总表'!E3,SUMIF('数据-汇总表'!$C19:$C33,D1,'数据-汇总表'!$E19:$E33))</f>
        <v>1106.44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2638</v>
      </c>
      <c r="B4" s="401"/>
      <c r="C4" s="3207" t="s">
        <v>2639</v>
      </c>
      <c r="D4" s="3208"/>
      <c r="E4" s="3209" t="s">
        <v>2640</v>
      </c>
      <c r="F4" s="3210"/>
      <c r="G4" s="3207" t="s">
        <v>2641</v>
      </c>
      <c r="H4" s="3208"/>
      <c r="I4" s="3207" t="s">
        <v>2642</v>
      </c>
      <c r="J4" s="3208"/>
      <c r="K4" s="609" t="s">
        <v>2643</v>
      </c>
      <c r="L4" s="1129"/>
      <c r="M4" s="1130"/>
      <c r="N4" s="1130"/>
      <c r="O4" s="1130"/>
      <c r="P4" s="3211" t="s">
        <v>2644</v>
      </c>
      <c r="Q4" s="3212"/>
      <c r="R4" s="3217" t="s">
        <v>2640</v>
      </c>
      <c r="S4" s="3218"/>
      <c r="T4" s="3217" t="s">
        <v>2641</v>
      </c>
      <c r="U4" s="3218"/>
      <c r="V4" s="3223" t="s">
        <v>2642</v>
      </c>
      <c r="W4" s="3223"/>
      <c r="X4" s="1812"/>
      <c r="Y4" s="3217" t="s">
        <v>2644</v>
      </c>
      <c r="Z4" s="3218"/>
      <c r="AA4" s="3204" t="s">
        <v>2640</v>
      </c>
      <c r="AB4" s="3205" t="s">
        <v>2641</v>
      </c>
      <c r="AC4" s="3204" t="s">
        <v>2642</v>
      </c>
    </row>
    <row r="5" spans="1:29">
      <c r="A5" s="403"/>
      <c r="B5" s="404"/>
      <c r="C5" s="3226" t="s">
        <v>2535</v>
      </c>
      <c r="D5" s="3227"/>
      <c r="E5" s="3233" t="s">
        <v>2536</v>
      </c>
      <c r="F5" s="3234"/>
      <c r="G5" s="3226" t="s">
        <v>2537</v>
      </c>
      <c r="H5" s="3227"/>
      <c r="I5" s="3226" t="s">
        <v>2538</v>
      </c>
      <c r="J5" s="3227"/>
      <c r="K5" s="609"/>
      <c r="L5" s="1129"/>
      <c r="M5" s="1130"/>
      <c r="N5" s="1130"/>
      <c r="O5" s="1130"/>
      <c r="P5" s="3213"/>
      <c r="Q5" s="3214"/>
      <c r="R5" s="3219"/>
      <c r="S5" s="3220"/>
      <c r="T5" s="3219"/>
      <c r="U5" s="3220"/>
      <c r="V5" s="3223"/>
      <c r="W5" s="3223"/>
      <c r="X5" s="1812"/>
      <c r="Y5" s="3219"/>
      <c r="Z5" s="3220"/>
      <c r="AA5" s="3205"/>
      <c r="AB5" s="3205"/>
      <c r="AC5" s="3205"/>
    </row>
    <row r="6" spans="1:29" ht="15" thickBot="1">
      <c r="A6" s="405"/>
      <c r="B6" s="406"/>
      <c r="C6" s="3224" t="s">
        <v>2539</v>
      </c>
      <c r="D6" s="3225"/>
      <c r="E6" s="3231" t="s">
        <v>2539</v>
      </c>
      <c r="F6" s="3232"/>
      <c r="G6" s="3224" t="s">
        <v>2539</v>
      </c>
      <c r="H6" s="3225"/>
      <c r="I6" s="3224" t="s">
        <v>2539</v>
      </c>
      <c r="J6" s="3225"/>
      <c r="K6" s="609" t="s">
        <v>2540</v>
      </c>
      <c r="L6" s="1129"/>
      <c r="M6" s="1130"/>
      <c r="N6" s="1130"/>
      <c r="O6" s="1130"/>
      <c r="P6" s="3215"/>
      <c r="Q6" s="3216"/>
      <c r="R6" s="3219"/>
      <c r="S6" s="3220"/>
      <c r="T6" s="3221"/>
      <c r="U6" s="3222"/>
      <c r="V6" s="3223"/>
      <c r="W6" s="3223"/>
      <c r="X6" s="1812"/>
      <c r="Y6" s="3221"/>
      <c r="Z6" s="3222"/>
      <c r="AA6" s="3206"/>
      <c r="AB6" s="3206"/>
      <c r="AC6" s="3206"/>
    </row>
    <row r="7" spans="1:29" s="117" customFormat="1" ht="15" thickBot="1">
      <c r="A7" s="407" t="s">
        <v>2541</v>
      </c>
      <c r="B7" s="408"/>
      <c r="C7" s="409">
        <f>'数据-取费表'!B2</f>
        <v>43942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28" t="s">
        <v>2542</v>
      </c>
      <c r="Q7" s="3230"/>
      <c r="R7" s="769" t="s">
        <v>17</v>
      </c>
      <c r="S7" s="770">
        <f t="shared" ref="S7:S15" si="0">F7</f>
        <v>0</v>
      </c>
      <c r="T7" s="769" t="s">
        <v>17</v>
      </c>
      <c r="U7" s="770">
        <f t="shared" ref="U7:U15" si="1">H7</f>
        <v>0</v>
      </c>
      <c r="V7" s="769" t="s">
        <v>17</v>
      </c>
      <c r="W7" s="770">
        <f t="shared" ref="W7:W15" si="2">J7</f>
        <v>0</v>
      </c>
      <c r="X7" s="771"/>
      <c r="Y7" s="3228" t="s">
        <v>2542</v>
      </c>
      <c r="Z7" s="3229"/>
      <c r="AA7" s="772" t="e">
        <f>D7/F7</f>
        <v>#DIV/0!</v>
      </c>
      <c r="AB7" s="772" t="e">
        <f>D7/H7</f>
        <v>#DIV/0!</v>
      </c>
      <c r="AC7" s="772" t="e">
        <f>D7/J7</f>
        <v>#DIV/0!</v>
      </c>
    </row>
    <row r="8" spans="1:29" s="117" customFormat="1" ht="1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28" t="s">
        <v>2545</v>
      </c>
      <c r="Q8" s="3229"/>
      <c r="R8" s="769" t="s">
        <v>17</v>
      </c>
      <c r="S8" s="770">
        <f t="shared" si="0"/>
        <v>0</v>
      </c>
      <c r="T8" s="769" t="s">
        <v>17</v>
      </c>
      <c r="U8" s="770">
        <f t="shared" si="1"/>
        <v>0</v>
      </c>
      <c r="V8" s="769" t="s">
        <v>17</v>
      </c>
      <c r="W8" s="770">
        <f t="shared" si="2"/>
        <v>0</v>
      </c>
      <c r="X8" s="771"/>
      <c r="Y8" s="3228" t="s">
        <v>2545</v>
      </c>
      <c r="Z8" s="3229"/>
      <c r="AA8" s="772" t="e">
        <f t="shared" ref="AA8:AA40" si="3">D8/F8</f>
        <v>#DIV/0!</v>
      </c>
      <c r="AB8" s="772" t="e">
        <f t="shared" ref="AB8:AB40" si="4">D8/H8</f>
        <v>#DIV/0!</v>
      </c>
      <c r="AC8" s="772" t="e">
        <f t="shared" ref="AC8:AC40" si="5">D8/J8</f>
        <v>#DIV/0!</v>
      </c>
    </row>
    <row r="9" spans="1:29" s="117" customFormat="1" ht="14.4">
      <c r="A9" s="414" t="s">
        <v>2546</v>
      </c>
      <c r="B9" s="71" t="s">
        <v>2547</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92" t="s">
        <v>2548</v>
      </c>
      <c r="Q9" s="1794" t="str">
        <f t="shared" ref="Q9:Q15" si="6">B9</f>
        <v>用途</v>
      </c>
      <c r="R9" s="769" t="s">
        <v>17</v>
      </c>
      <c r="S9" s="770">
        <f t="shared" si="0"/>
        <v>100</v>
      </c>
      <c r="T9" s="769" t="s">
        <v>17</v>
      </c>
      <c r="U9" s="770">
        <f t="shared" si="1"/>
        <v>100</v>
      </c>
      <c r="V9" s="769" t="s">
        <v>17</v>
      </c>
      <c r="W9" s="770">
        <f t="shared" si="2"/>
        <v>100</v>
      </c>
      <c r="X9" s="771"/>
      <c r="Y9" s="3017" t="s">
        <v>2549</v>
      </c>
      <c r="Z9" s="55" t="str">
        <f t="shared" ref="Z9:Z15" si="7">Q9</f>
        <v>用途</v>
      </c>
      <c r="AA9" s="772">
        <f t="shared" si="3"/>
        <v>1</v>
      </c>
      <c r="AB9" s="772">
        <f t="shared" si="4"/>
        <v>1</v>
      </c>
      <c r="AC9" s="772">
        <f t="shared" si="5"/>
        <v>1</v>
      </c>
    </row>
    <row r="10" spans="1:29" s="426" customFormat="1" ht="28.8">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92"/>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92"/>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1"/>
      <c r="M12" s="1132"/>
      <c r="N12" s="1132"/>
      <c r="O12" s="1133"/>
      <c r="P12" s="3192"/>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9"/>
      <c r="M13" s="1130"/>
      <c r="N13" s="1130"/>
      <c r="O13" s="1138"/>
      <c r="P13" s="3192"/>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6"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192"/>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69">
      <c r="A15" s="439" t="s">
        <v>2552</v>
      </c>
      <c r="B15" s="69" t="s">
        <v>2696</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94" t="s">
        <v>2553</v>
      </c>
      <c r="Q15" s="1809" t="str">
        <f t="shared" si="6"/>
        <v>产业集聚程度</v>
      </c>
      <c r="R15" s="773" t="s">
        <v>17</v>
      </c>
      <c r="S15" s="774">
        <f t="shared" si="0"/>
        <v>100</v>
      </c>
      <c r="T15" s="773" t="s">
        <v>17</v>
      </c>
      <c r="U15" s="774">
        <f t="shared" si="1"/>
        <v>100</v>
      </c>
      <c r="V15" s="773" t="s">
        <v>17</v>
      </c>
      <c r="W15" s="774">
        <f t="shared" si="2"/>
        <v>100</v>
      </c>
      <c r="X15" s="1812"/>
      <c r="Y15" s="3194" t="s">
        <v>2553</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95"/>
      <c r="Q16" s="1809"/>
      <c r="R16" s="773"/>
      <c r="S16" s="774"/>
      <c r="T16" s="773"/>
      <c r="U16" s="774"/>
      <c r="V16" s="773"/>
      <c r="W16" s="774"/>
      <c r="X16" s="1812"/>
      <c r="Y16" s="3195"/>
      <c r="Z16" s="1813"/>
      <c r="AA16" s="1810">
        <v>1</v>
      </c>
      <c r="AB16" s="1810">
        <v>1</v>
      </c>
      <c r="AC16" s="1810">
        <v>1</v>
      </c>
    </row>
    <row r="17" spans="1:29" ht="96.6">
      <c r="A17" s="427"/>
      <c r="B17" s="450" t="s">
        <v>2092</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95"/>
      <c r="Q17" s="1809" t="str">
        <f>B17</f>
        <v>交通便捷度</v>
      </c>
      <c r="R17" s="773" t="s">
        <v>17</v>
      </c>
      <c r="S17" s="774">
        <f>F17</f>
        <v>100</v>
      </c>
      <c r="T17" s="773" t="s">
        <v>17</v>
      </c>
      <c r="U17" s="774">
        <f>H17</f>
        <v>100</v>
      </c>
      <c r="V17" s="773" t="s">
        <v>17</v>
      </c>
      <c r="W17" s="774">
        <f>J17</f>
        <v>100</v>
      </c>
      <c r="X17" s="1812"/>
      <c r="Y17" s="3195"/>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195"/>
      <c r="Q18" s="1809"/>
      <c r="R18" s="773"/>
      <c r="S18" s="774"/>
      <c r="T18" s="773"/>
      <c r="U18" s="774"/>
      <c r="V18" s="773"/>
      <c r="W18" s="774"/>
      <c r="X18" s="1812"/>
      <c r="Y18" s="3195"/>
      <c r="Z18" s="1813"/>
      <c r="AA18" s="1810">
        <v>1</v>
      </c>
      <c r="AB18" s="1810">
        <v>1</v>
      </c>
      <c r="AC18" s="1810">
        <v>1</v>
      </c>
    </row>
    <row r="19" spans="1:29" ht="41.4">
      <c r="A19" s="427"/>
      <c r="B19" s="450" t="s">
        <v>2681</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95"/>
      <c r="Q19" s="1809" t="str">
        <f>B19</f>
        <v>公共配套设施</v>
      </c>
      <c r="R19" s="773" t="s">
        <v>17</v>
      </c>
      <c r="S19" s="774">
        <f>F19</f>
        <v>100</v>
      </c>
      <c r="T19" s="773" t="s">
        <v>17</v>
      </c>
      <c r="U19" s="774">
        <f>H19</f>
        <v>100</v>
      </c>
      <c r="V19" s="773" t="s">
        <v>17</v>
      </c>
      <c r="W19" s="774">
        <f>J19</f>
        <v>100</v>
      </c>
      <c r="X19" s="1812"/>
      <c r="Y19" s="3195"/>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195"/>
      <c r="Q20" s="1809"/>
      <c r="R20" s="773"/>
      <c r="S20" s="774"/>
      <c r="T20" s="773"/>
      <c r="U20" s="774"/>
      <c r="V20" s="773"/>
      <c r="W20" s="774"/>
      <c r="X20" s="1812"/>
      <c r="Y20" s="3195"/>
      <c r="Z20" s="1813"/>
      <c r="AA20" s="1810">
        <v>1</v>
      </c>
      <c r="AB20" s="1810">
        <v>1</v>
      </c>
      <c r="AC20" s="1810">
        <v>1</v>
      </c>
    </row>
    <row r="21" spans="1:29" ht="41.4">
      <c r="A21" s="427"/>
      <c r="B21" s="1383" t="s">
        <v>2682</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95"/>
      <c r="Q21" s="1809" t="str">
        <f>B21</f>
        <v>基础设施水平</v>
      </c>
      <c r="R21" s="773" t="s">
        <v>17</v>
      </c>
      <c r="S21" s="774">
        <f>F21</f>
        <v>100</v>
      </c>
      <c r="T21" s="773" t="s">
        <v>17</v>
      </c>
      <c r="U21" s="774">
        <f>H21</f>
        <v>100</v>
      </c>
      <c r="V21" s="773" t="s">
        <v>17</v>
      </c>
      <c r="W21" s="774">
        <f>J21</f>
        <v>100</v>
      </c>
      <c r="X21" s="1812"/>
      <c r="Y21" s="3195"/>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195"/>
      <c r="Q22" s="1809"/>
      <c r="R22" s="773"/>
      <c r="S22" s="774"/>
      <c r="T22" s="773"/>
      <c r="U22" s="774"/>
      <c r="V22" s="773"/>
      <c r="W22" s="774"/>
      <c r="X22" s="1812"/>
      <c r="Y22" s="3195"/>
      <c r="Z22" s="1813"/>
      <c r="AA22" s="1810">
        <v>1</v>
      </c>
      <c r="AB22" s="1810">
        <v>1</v>
      </c>
      <c r="AC22" s="1810">
        <v>1</v>
      </c>
    </row>
    <row r="23" spans="1:29" ht="82.8">
      <c r="A23" s="427"/>
      <c r="B23" s="450" t="s">
        <v>2683</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95"/>
      <c r="Q23" s="1809" t="str">
        <f>B23</f>
        <v>环境质量</v>
      </c>
      <c r="R23" s="773" t="s">
        <v>17</v>
      </c>
      <c r="S23" s="774">
        <f>F23</f>
        <v>100</v>
      </c>
      <c r="T23" s="773" t="s">
        <v>17</v>
      </c>
      <c r="U23" s="774">
        <f>H23</f>
        <v>100</v>
      </c>
      <c r="V23" s="773" t="s">
        <v>17</v>
      </c>
      <c r="W23" s="774">
        <f>J23</f>
        <v>100</v>
      </c>
      <c r="X23" s="1812"/>
      <c r="Y23" s="3195"/>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195"/>
      <c r="Q24" s="1809"/>
      <c r="R24" s="773"/>
      <c r="S24" s="774"/>
      <c r="T24" s="773"/>
      <c r="U24" s="774"/>
      <c r="V24" s="773"/>
      <c r="W24" s="774"/>
      <c r="X24" s="1812"/>
      <c r="Y24" s="3195"/>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95"/>
      <c r="Q25" s="1809">
        <f>B25</f>
        <v>111</v>
      </c>
      <c r="R25" s="773" t="s">
        <v>17</v>
      </c>
      <c r="S25" s="774">
        <f>F25</f>
        <v>100</v>
      </c>
      <c r="T25" s="773" t="s">
        <v>17</v>
      </c>
      <c r="U25" s="774">
        <f>H25</f>
        <v>100</v>
      </c>
      <c r="V25" s="773" t="s">
        <v>17</v>
      </c>
      <c r="W25" s="774">
        <f>J25</f>
        <v>100</v>
      </c>
      <c r="X25" s="1812"/>
      <c r="Y25" s="3195"/>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95"/>
      <c r="Q26" s="1809">
        <f t="shared" ref="Q26:Q40" si="11">B26</f>
        <v>111</v>
      </c>
      <c r="R26" s="773" t="s">
        <v>17</v>
      </c>
      <c r="S26" s="774">
        <f>F26</f>
        <v>100</v>
      </c>
      <c r="T26" s="773" t="s">
        <v>17</v>
      </c>
      <c r="U26" s="774">
        <f>H26</f>
        <v>100</v>
      </c>
      <c r="V26" s="773" t="s">
        <v>17</v>
      </c>
      <c r="W26" s="774">
        <f>J26</f>
        <v>100</v>
      </c>
      <c r="X26" s="1812"/>
      <c r="Y26" s="3195"/>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95"/>
      <c r="Q27" s="1794">
        <f t="shared" si="11"/>
        <v>111</v>
      </c>
      <c r="R27" s="769" t="s">
        <v>17</v>
      </c>
      <c r="S27" s="770">
        <f>F27</f>
        <v>100</v>
      </c>
      <c r="T27" s="769" t="s">
        <v>17</v>
      </c>
      <c r="U27" s="770">
        <f>H27</f>
        <v>100</v>
      </c>
      <c r="V27" s="769" t="s">
        <v>17</v>
      </c>
      <c r="W27" s="770">
        <f>J27</f>
        <v>100</v>
      </c>
      <c r="X27" s="771"/>
      <c r="Y27" s="3195"/>
      <c r="Z27" s="55">
        <f>Q27</f>
        <v>111</v>
      </c>
      <c r="AA27" s="1810">
        <f>D27/F27</f>
        <v>1</v>
      </c>
      <c r="AB27" s="1810">
        <f>D27/H27</f>
        <v>1</v>
      </c>
      <c r="AC27" s="1810">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95"/>
      <c r="Q28" s="1809">
        <f t="shared" si="11"/>
        <v>111</v>
      </c>
      <c r="R28" s="773" t="s">
        <v>17</v>
      </c>
      <c r="S28" s="774">
        <f t="shared" ref="S28:S40" si="12">F28</f>
        <v>100</v>
      </c>
      <c r="T28" s="773" t="s">
        <v>17</v>
      </c>
      <c r="U28" s="774">
        <f t="shared" ref="U28:U40" si="13">H28</f>
        <v>100</v>
      </c>
      <c r="V28" s="773" t="s">
        <v>17</v>
      </c>
      <c r="W28" s="774">
        <f t="shared" ref="W28:W40" si="14">J28</f>
        <v>100</v>
      </c>
      <c r="X28" s="1812"/>
      <c r="Y28" s="3195"/>
      <c r="Z28" s="1813">
        <f t="shared" ref="Z28:Z40" si="15">Q28</f>
        <v>111</v>
      </c>
      <c r="AA28" s="1810">
        <f t="shared" si="3"/>
        <v>1</v>
      </c>
      <c r="AB28" s="1810">
        <f t="shared" si="4"/>
        <v>1</v>
      </c>
      <c r="AC28" s="1810">
        <f t="shared" si="5"/>
        <v>1</v>
      </c>
    </row>
    <row r="29" spans="1:29" ht="30">
      <c r="A29" s="465" t="s">
        <v>2556</v>
      </c>
      <c r="B29" s="71" t="s">
        <v>2686</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250" t="s">
        <v>2558</v>
      </c>
      <c r="Q29" s="1809" t="str">
        <f t="shared" si="11"/>
        <v>建筑类型</v>
      </c>
      <c r="R29" s="773" t="s">
        <v>17</v>
      </c>
      <c r="S29" s="774">
        <f t="shared" si="12"/>
        <v>100</v>
      </c>
      <c r="T29" s="773" t="s">
        <v>17</v>
      </c>
      <c r="U29" s="774">
        <f t="shared" si="13"/>
        <v>100</v>
      </c>
      <c r="V29" s="773" t="s">
        <v>17</v>
      </c>
      <c r="W29" s="774">
        <f t="shared" si="14"/>
        <v>100</v>
      </c>
      <c r="X29" s="1812"/>
      <c r="Y29" s="3199" t="s">
        <v>2558</v>
      </c>
      <c r="Z29" s="1813" t="str">
        <f t="shared" si="15"/>
        <v>建筑类型</v>
      </c>
      <c r="AA29" s="1810">
        <f t="shared" si="3"/>
        <v>1</v>
      </c>
      <c r="AB29" s="1810">
        <f t="shared" si="4"/>
        <v>1</v>
      </c>
      <c r="AC29" s="1810">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99"/>
      <c r="Q30" s="775" t="str">
        <f t="shared" si="11"/>
        <v>项目建筑规模</v>
      </c>
      <c r="R30" s="776" t="s">
        <v>17</v>
      </c>
      <c r="S30" s="777" t="e">
        <f t="shared" si="12"/>
        <v>#N/A</v>
      </c>
      <c r="T30" s="776" t="s">
        <v>17</v>
      </c>
      <c r="U30" s="777" t="e">
        <f t="shared" si="13"/>
        <v>#N/A</v>
      </c>
      <c r="V30" s="776" t="s">
        <v>17</v>
      </c>
      <c r="W30" s="777" t="e">
        <f t="shared" si="14"/>
        <v>#N/A</v>
      </c>
      <c r="X30" s="778"/>
      <c r="Y30" s="3199"/>
      <c r="Z30" s="779" t="str">
        <f t="shared" si="15"/>
        <v>项目建筑规模</v>
      </c>
      <c r="AA30" s="1810" t="e">
        <f t="shared" si="3"/>
        <v>#N/A</v>
      </c>
      <c r="AB30" s="1810" t="e">
        <f t="shared" si="4"/>
        <v>#N/A</v>
      </c>
      <c r="AC30" s="1810"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99"/>
      <c r="Q31" s="1809" t="str">
        <f t="shared" si="11"/>
        <v>建筑结构</v>
      </c>
      <c r="R31" s="773" t="s">
        <v>17</v>
      </c>
      <c r="S31" s="774">
        <f t="shared" si="12"/>
        <v>100</v>
      </c>
      <c r="T31" s="773" t="s">
        <v>17</v>
      </c>
      <c r="U31" s="774">
        <f t="shared" si="13"/>
        <v>100</v>
      </c>
      <c r="V31" s="773" t="s">
        <v>17</v>
      </c>
      <c r="W31" s="774">
        <f t="shared" si="14"/>
        <v>100</v>
      </c>
      <c r="X31" s="1812"/>
      <c r="Y31" s="3199"/>
      <c r="Z31" s="1813" t="str">
        <f t="shared" si="15"/>
        <v>建筑结构</v>
      </c>
      <c r="AA31" s="1810">
        <f t="shared" si="3"/>
        <v>1</v>
      </c>
      <c r="AB31" s="1810">
        <f t="shared" si="4"/>
        <v>1</v>
      </c>
      <c r="AC31" s="1810">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99"/>
      <c r="Q32" s="1809" t="str">
        <f t="shared" si="11"/>
        <v>公共部分装修</v>
      </c>
      <c r="R32" s="773" t="s">
        <v>17</v>
      </c>
      <c r="S32" s="774">
        <f t="shared" si="12"/>
        <v>100</v>
      </c>
      <c r="T32" s="773" t="s">
        <v>17</v>
      </c>
      <c r="U32" s="774">
        <f t="shared" si="13"/>
        <v>100</v>
      </c>
      <c r="V32" s="773" t="s">
        <v>17</v>
      </c>
      <c r="W32" s="774">
        <f t="shared" si="14"/>
        <v>100</v>
      </c>
      <c r="X32" s="1812"/>
      <c r="Y32" s="3199"/>
      <c r="Z32" s="1813" t="str">
        <f t="shared" si="15"/>
        <v>公共部分装修</v>
      </c>
      <c r="AA32" s="1810">
        <f t="shared" si="3"/>
        <v>1</v>
      </c>
      <c r="AB32" s="1810">
        <f t="shared" si="4"/>
        <v>1</v>
      </c>
      <c r="AC32" s="1810">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99"/>
      <c r="Q33" s="1809" t="str">
        <f t="shared" si="11"/>
        <v>成新度</v>
      </c>
      <c r="R33" s="773" t="s">
        <v>17</v>
      </c>
      <c r="S33" s="774" t="e">
        <f t="shared" si="12"/>
        <v>#N/A</v>
      </c>
      <c r="T33" s="773" t="s">
        <v>17</v>
      </c>
      <c r="U33" s="774" t="e">
        <f t="shared" si="13"/>
        <v>#N/A</v>
      </c>
      <c r="V33" s="773" t="s">
        <v>17</v>
      </c>
      <c r="W33" s="774" t="e">
        <f t="shared" si="14"/>
        <v>#N/A</v>
      </c>
      <c r="X33" s="1812"/>
      <c r="Y33" s="3199"/>
      <c r="Z33" s="1813" t="str">
        <f t="shared" si="15"/>
        <v>成新度</v>
      </c>
      <c r="AA33" s="1810" t="e">
        <f t="shared" si="3"/>
        <v>#N/A</v>
      </c>
      <c r="AB33" s="1810" t="e">
        <f t="shared" si="4"/>
        <v>#N/A</v>
      </c>
      <c r="AC33" s="1810" t="e">
        <f t="shared" si="5"/>
        <v>#N/A</v>
      </c>
    </row>
    <row r="34" spans="1:29" s="117"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99"/>
      <c r="Q34" s="1794" t="str">
        <f t="shared" si="11"/>
        <v>物业管理</v>
      </c>
      <c r="R34" s="769" t="s">
        <v>17</v>
      </c>
      <c r="S34" s="770">
        <f t="shared" si="12"/>
        <v>100</v>
      </c>
      <c r="T34" s="769" t="s">
        <v>17</v>
      </c>
      <c r="U34" s="770">
        <f t="shared" si="13"/>
        <v>100</v>
      </c>
      <c r="V34" s="769" t="s">
        <v>17</v>
      </c>
      <c r="W34" s="770">
        <f t="shared" si="14"/>
        <v>100</v>
      </c>
      <c r="X34" s="771"/>
      <c r="Y34" s="3199"/>
      <c r="Z34" s="55" t="str">
        <f t="shared" si="15"/>
        <v>物业管理</v>
      </c>
      <c r="AA34" s="772">
        <f t="shared" si="3"/>
        <v>1</v>
      </c>
      <c r="AB34" s="772">
        <f t="shared" si="4"/>
        <v>1</v>
      </c>
      <c r="AC34" s="772">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99" t="s">
        <v>2558</v>
      </c>
      <c r="Q35" s="1809" t="str">
        <f t="shared" si="11"/>
        <v>市政基础设施</v>
      </c>
      <c r="R35" s="773" t="s">
        <v>17</v>
      </c>
      <c r="S35" s="774">
        <f t="shared" si="12"/>
        <v>100</v>
      </c>
      <c r="T35" s="773" t="s">
        <v>17</v>
      </c>
      <c r="U35" s="774">
        <f t="shared" si="13"/>
        <v>100</v>
      </c>
      <c r="V35" s="773" t="s">
        <v>17</v>
      </c>
      <c r="W35" s="774">
        <f t="shared" si="14"/>
        <v>100</v>
      </c>
      <c r="X35" s="1812"/>
      <c r="Y35" s="3199" t="s">
        <v>2558</v>
      </c>
      <c r="Z35" s="1813" t="str">
        <f t="shared" si="15"/>
        <v>市政基础设施</v>
      </c>
      <c r="AA35" s="1810">
        <f t="shared" si="3"/>
        <v>1</v>
      </c>
      <c r="AB35" s="1810">
        <f t="shared" si="4"/>
        <v>1</v>
      </c>
      <c r="AC35" s="1810">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99"/>
      <c r="Q36" s="1809" t="str">
        <f t="shared" si="11"/>
        <v>内部装修</v>
      </c>
      <c r="R36" s="773" t="s">
        <v>17</v>
      </c>
      <c r="S36" s="774">
        <f t="shared" si="12"/>
        <v>100</v>
      </c>
      <c r="T36" s="773" t="s">
        <v>17</v>
      </c>
      <c r="U36" s="774">
        <f t="shared" si="13"/>
        <v>100</v>
      </c>
      <c r="V36" s="773" t="s">
        <v>17</v>
      </c>
      <c r="W36" s="774">
        <f t="shared" si="14"/>
        <v>100</v>
      </c>
      <c r="X36" s="1812"/>
      <c r="Y36" s="3199"/>
      <c r="Z36" s="1813" t="str">
        <f t="shared" si="15"/>
        <v>内部装修</v>
      </c>
      <c r="AA36" s="1810">
        <f t="shared" si="3"/>
        <v>1</v>
      </c>
      <c r="AB36" s="1810">
        <f t="shared" si="4"/>
        <v>1</v>
      </c>
      <c r="AC36" s="1810">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99"/>
      <c r="Q37" s="1809" t="str">
        <f t="shared" si="11"/>
        <v>内部装修状况</v>
      </c>
      <c r="R37" s="773" t="s">
        <v>17</v>
      </c>
      <c r="S37" s="774">
        <f t="shared" si="12"/>
        <v>100</v>
      </c>
      <c r="T37" s="773" t="s">
        <v>17</v>
      </c>
      <c r="U37" s="774">
        <f t="shared" si="13"/>
        <v>100</v>
      </c>
      <c r="V37" s="773" t="s">
        <v>17</v>
      </c>
      <c r="W37" s="774">
        <f t="shared" si="14"/>
        <v>100</v>
      </c>
      <c r="X37" s="1812"/>
      <c r="Y37" s="3199"/>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99"/>
      <c r="Q38" s="775">
        <f t="shared" si="11"/>
        <v>111</v>
      </c>
      <c r="R38" s="776" t="s">
        <v>17</v>
      </c>
      <c r="S38" s="777">
        <f t="shared" si="12"/>
        <v>100</v>
      </c>
      <c r="T38" s="776" t="s">
        <v>17</v>
      </c>
      <c r="U38" s="777">
        <f t="shared" si="13"/>
        <v>100</v>
      </c>
      <c r="V38" s="776" t="s">
        <v>17</v>
      </c>
      <c r="W38" s="777">
        <f t="shared" si="14"/>
        <v>100</v>
      </c>
      <c r="X38" s="778"/>
      <c r="Y38" s="3199"/>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99"/>
      <c r="Q39" s="1809">
        <f t="shared" si="11"/>
        <v>111</v>
      </c>
      <c r="R39" s="773" t="s">
        <v>17</v>
      </c>
      <c r="S39" s="774">
        <f t="shared" si="12"/>
        <v>100</v>
      </c>
      <c r="T39" s="773" t="s">
        <v>17</v>
      </c>
      <c r="U39" s="774">
        <f t="shared" si="13"/>
        <v>100</v>
      </c>
      <c r="V39" s="773" t="s">
        <v>17</v>
      </c>
      <c r="W39" s="774">
        <f t="shared" si="14"/>
        <v>100</v>
      </c>
      <c r="X39" s="1812"/>
      <c r="Y39" s="3199"/>
      <c r="Z39" s="1813">
        <f t="shared" si="15"/>
        <v>111</v>
      </c>
      <c r="AA39" s="1810">
        <f t="shared" si="3"/>
        <v>1</v>
      </c>
      <c r="AB39" s="1810">
        <f t="shared" si="4"/>
        <v>1</v>
      </c>
      <c r="AC39" s="1810">
        <f t="shared" si="5"/>
        <v>1</v>
      </c>
    </row>
    <row r="40" spans="1:29" ht="15.6"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00"/>
      <c r="Q40" s="1809">
        <f t="shared" si="11"/>
        <v>111</v>
      </c>
      <c r="R40" s="773" t="s">
        <v>17</v>
      </c>
      <c r="S40" s="774">
        <f t="shared" si="12"/>
        <v>100</v>
      </c>
      <c r="T40" s="773" t="s">
        <v>17</v>
      </c>
      <c r="U40" s="774">
        <f t="shared" si="13"/>
        <v>100</v>
      </c>
      <c r="V40" s="773" t="s">
        <v>17</v>
      </c>
      <c r="W40" s="774">
        <f t="shared" si="14"/>
        <v>100</v>
      </c>
      <c r="X40" s="1812"/>
      <c r="Y40" s="3200"/>
      <c r="Z40" s="1813">
        <f t="shared" si="15"/>
        <v>111</v>
      </c>
      <c r="AA40" s="1810">
        <f t="shared" si="3"/>
        <v>1</v>
      </c>
      <c r="AB40" s="1810">
        <f t="shared" si="4"/>
        <v>1</v>
      </c>
      <c r="AC40" s="1810">
        <f t="shared" si="5"/>
        <v>1</v>
      </c>
    </row>
    <row r="41" spans="1:29" ht="14.4">
      <c r="A41" s="478" t="s">
        <v>2570</v>
      </c>
      <c r="B41" s="479"/>
      <c r="C41" s="1406" t="s">
        <v>1</v>
      </c>
      <c r="D41" s="1407"/>
      <c r="E41" s="1408"/>
      <c r="F41" s="1409"/>
      <c r="G41" s="1410"/>
      <c r="H41" s="1411"/>
      <c r="I41" s="1408"/>
      <c r="J41" s="1411"/>
      <c r="K41" s="782"/>
      <c r="L41" s="1142"/>
      <c r="M41" s="1143"/>
      <c r="N41" s="1130"/>
      <c r="O41" s="1143"/>
      <c r="P41" s="3192" t="str">
        <f>A41</f>
        <v>成交单价（元/平方米）</v>
      </c>
      <c r="Q41" s="3192"/>
      <c r="R41" s="3193">
        <f>E41</f>
        <v>0</v>
      </c>
      <c r="S41" s="3193"/>
      <c r="T41" s="3193">
        <f>G41</f>
        <v>0</v>
      </c>
      <c r="U41" s="3193"/>
      <c r="V41" s="3193">
        <f>I41</f>
        <v>0</v>
      </c>
      <c r="W41" s="3193"/>
      <c r="X41" s="758"/>
      <c r="Y41" s="780"/>
      <c r="Z41" s="758"/>
      <c r="AA41" s="758"/>
      <c r="AB41" s="758"/>
      <c r="AC41" s="758"/>
    </row>
    <row r="42" spans="1:29" ht="15" thickBot="1">
      <c r="A42" s="485" t="s">
        <v>2662</v>
      </c>
      <c r="B42" s="486"/>
      <c r="C42" s="1412" t="e">
        <f>R43</f>
        <v>#DIV/0!</v>
      </c>
      <c r="D42" s="1413"/>
      <c r="E42" s="1414" t="e">
        <f>R42</f>
        <v>#DIV/0!</v>
      </c>
      <c r="F42" s="1414"/>
      <c r="G42" s="1412" t="e">
        <f>T42</f>
        <v>#DIV/0!</v>
      </c>
      <c r="H42" s="1413"/>
      <c r="I42" s="1414" t="e">
        <f>V42</f>
        <v>#DIV/0!</v>
      </c>
      <c r="J42" s="1413"/>
      <c r="K42" s="783"/>
      <c r="L42" s="1142"/>
      <c r="M42" s="1143"/>
      <c r="N42" s="1130"/>
      <c r="O42" s="1143"/>
      <c r="P42" s="3192" t="str">
        <f>A42</f>
        <v>比较价值（元/平方米）</v>
      </c>
      <c r="Q42" s="3192"/>
      <c r="R42" s="3193" t="e">
        <f>IF(F1="售价",ROUND(PRODUCT(R41,AA7:AA40),0),ROUND(PRODUCT(R41,AA7:AA40),1))</f>
        <v>#DIV/0!</v>
      </c>
      <c r="S42" s="3193"/>
      <c r="T42" s="3193" t="e">
        <f>IF(F1="售价",ROUND(PRODUCT(T41,AB7:AB40),0),ROUND(PRODUCT(T41,AB7:AB40),1))</f>
        <v>#DIV/0!</v>
      </c>
      <c r="U42" s="3193"/>
      <c r="V42" s="3193" t="e">
        <f>IF(F1="售价",ROUND(PRODUCT(V41,AC7:AC40),0),ROUND(PRODUCT(V41,AC7:AC40),1))</f>
        <v>#DIV/0!</v>
      </c>
      <c r="W42" s="3193"/>
      <c r="X42" s="758"/>
      <c r="Y42" s="758"/>
      <c r="Z42" s="758"/>
      <c r="AA42" s="758"/>
      <c r="AB42" s="758"/>
      <c r="AC42" s="758"/>
    </row>
    <row r="43" spans="1:29" ht="15" thickBot="1">
      <c r="A43" s="491" t="s">
        <v>2663</v>
      </c>
      <c r="B43" s="492"/>
      <c r="C43" s="1416" t="e">
        <f>R43</f>
        <v>#DIV/0!</v>
      </c>
      <c r="D43" s="1416"/>
      <c r="E43" s="1416"/>
      <c r="F43" s="1416"/>
      <c r="G43" s="1416"/>
      <c r="H43" s="1416"/>
      <c r="I43" s="1416"/>
      <c r="J43" s="1416"/>
      <c r="K43" s="784"/>
      <c r="L43" s="1142"/>
      <c r="M43" s="1143"/>
      <c r="N43" s="1143"/>
      <c r="O43" s="1143"/>
      <c r="P43" s="3189" t="str">
        <f>A43</f>
        <v>估价对象XX用房的比较价值（楼面单价，元/平方米）</v>
      </c>
      <c r="Q43" s="3190"/>
      <c r="R43" s="3191" t="e">
        <f>IF(F1="售价",ROUND(AVERAGE(R42:V42),0),ROUND(AVERAGE(R42:V42),1))</f>
        <v>#DIV/0!</v>
      </c>
      <c r="S43" s="3191"/>
      <c r="T43" s="3191"/>
      <c r="U43" s="3191"/>
      <c r="V43" s="3191"/>
      <c r="W43" s="3191"/>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2667</v>
      </c>
      <c r="B51" s="758"/>
      <c r="C51" s="763"/>
      <c r="D51" s="763"/>
      <c r="E51" s="763"/>
      <c r="F51" s="764"/>
      <c r="G51" s="764"/>
      <c r="H51" s="763"/>
      <c r="I51" s="763"/>
      <c r="J51" s="763"/>
      <c r="K51" s="1159"/>
      <c r="L51" s="1160"/>
      <c r="M51" s="1158"/>
      <c r="N51" s="1158"/>
      <c r="O51" s="1158"/>
      <c r="P51" s="502"/>
      <c r="Q51" s="503"/>
    </row>
    <row r="52" spans="1:17" s="507" customFormat="1" ht="14.4">
      <c r="A52" s="504" t="s">
        <v>2541</v>
      </c>
      <c r="B52" s="505"/>
      <c r="C52" s="1573" t="str">
        <f>YEAR(C7)&amp;"-"&amp;MONTH(C7)</f>
        <v>2020-4</v>
      </c>
      <c r="D52" s="1574">
        <f>EDATE(C52,-1)</f>
        <v>43891</v>
      </c>
      <c r="E52" s="1574">
        <f t="shared" ref="E52:O52" si="16">EDATE(D52,-1)</f>
        <v>43862</v>
      </c>
      <c r="F52" s="1574">
        <f t="shared" si="16"/>
        <v>43831</v>
      </c>
      <c r="G52" s="1574">
        <f t="shared" si="16"/>
        <v>43800</v>
      </c>
      <c r="H52" s="1574">
        <f t="shared" si="16"/>
        <v>43770</v>
      </c>
      <c r="I52" s="1574">
        <f t="shared" si="16"/>
        <v>43739</v>
      </c>
      <c r="J52" s="1574">
        <f t="shared" si="16"/>
        <v>43709</v>
      </c>
      <c r="K52" s="1574">
        <f t="shared" si="16"/>
        <v>43678</v>
      </c>
      <c r="L52" s="1574">
        <f t="shared" si="16"/>
        <v>43647</v>
      </c>
      <c r="M52" s="1574">
        <f t="shared" si="16"/>
        <v>43617</v>
      </c>
      <c r="N52" s="1574">
        <f t="shared" si="16"/>
        <v>43586</v>
      </c>
      <c r="O52" s="1574">
        <f t="shared" si="16"/>
        <v>43556</v>
      </c>
      <c r="P52" s="506"/>
    </row>
    <row r="53" spans="1:17" s="117" customFormat="1">
      <c r="A53" s="508"/>
      <c r="B53" s="509"/>
      <c r="C53" s="1572">
        <v>100</v>
      </c>
      <c r="D53" s="511"/>
      <c r="E53" s="511"/>
      <c r="F53" s="511"/>
      <c r="G53" s="511"/>
      <c r="H53" s="511"/>
      <c r="I53" s="511"/>
      <c r="J53" s="511"/>
      <c r="K53" s="511"/>
      <c r="L53" s="511"/>
      <c r="M53" s="512"/>
      <c r="N53" s="511"/>
      <c r="O53" s="513"/>
      <c r="P53" s="503"/>
    </row>
    <row r="54" spans="1:17" s="117" customFormat="1" ht="15" thickBot="1">
      <c r="A54" s="514" t="s">
        <v>2578</v>
      </c>
      <c r="B54" s="515"/>
      <c r="C54" s="516"/>
      <c r="D54" s="517"/>
      <c r="E54" s="517"/>
      <c r="F54" s="517"/>
      <c r="G54" s="517"/>
      <c r="H54" s="517"/>
      <c r="I54" s="517"/>
      <c r="J54" s="517"/>
      <c r="K54" s="517"/>
      <c r="L54" s="517"/>
      <c r="M54" s="518"/>
      <c r="N54" s="517"/>
      <c r="O54" s="519"/>
      <c r="P54" s="503"/>
      <c r="Q54" s="503"/>
    </row>
    <row r="55" spans="1:17" s="117" customFormat="1" ht="14.4">
      <c r="A55" s="520" t="s">
        <v>2543</v>
      </c>
      <c r="B55" s="509"/>
      <c r="C55" s="521" t="s">
        <v>2645</v>
      </c>
      <c r="D55" s="522"/>
      <c r="E55" s="522"/>
      <c r="F55" s="522"/>
      <c r="G55" s="522"/>
      <c r="H55" s="522"/>
      <c r="I55" s="522"/>
      <c r="J55" s="522"/>
      <c r="K55" s="522"/>
      <c r="L55" s="523"/>
      <c r="M55" s="524"/>
      <c r="N55" s="1150"/>
      <c r="O55" s="1150"/>
      <c r="P55" s="525"/>
      <c r="Q55" s="503"/>
    </row>
    <row r="56" spans="1:17" s="117"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2581</v>
      </c>
      <c r="B57" s="527" t="s">
        <v>2547</v>
      </c>
      <c r="C57" s="528">
        <f>C9</f>
        <v>0</v>
      </c>
      <c r="D57" s="529"/>
      <c r="E57" s="529"/>
      <c r="F57" s="529"/>
      <c r="G57" s="529"/>
      <c r="H57" s="529"/>
      <c r="I57" s="529"/>
      <c r="J57" s="529"/>
      <c r="K57" s="530"/>
      <c r="L57" s="531"/>
      <c r="M57" s="532"/>
      <c r="N57" s="1151"/>
      <c r="O57" s="1151"/>
      <c r="P57" s="45"/>
      <c r="Q57" s="503"/>
    </row>
    <row r="58" spans="1:17" ht="14.4" thickBot="1">
      <c r="A58" s="533"/>
      <c r="B58" s="534"/>
      <c r="C58" s="535">
        <v>100</v>
      </c>
      <c r="D58" s="535"/>
      <c r="E58" s="535"/>
      <c r="F58" s="535"/>
      <c r="G58" s="535"/>
      <c r="H58" s="535"/>
      <c r="I58" s="535"/>
      <c r="J58" s="535"/>
      <c r="K58" s="535"/>
      <c r="L58" s="535"/>
      <c r="M58" s="536"/>
      <c r="N58" s="1152"/>
      <c r="O58" s="1152"/>
      <c r="P58" s="45"/>
      <c r="Q58" s="503"/>
    </row>
    <row r="59" spans="1:17" ht="29.4" thickTop="1">
      <c r="A59" s="533"/>
      <c r="B59" s="537" t="s">
        <v>2550</v>
      </c>
      <c r="C59" s="538" t="s">
        <v>2582</v>
      </c>
      <c r="D59" s="538" t="s">
        <v>2583</v>
      </c>
      <c r="E59" s="538" t="s">
        <v>2584</v>
      </c>
      <c r="F59" s="538" t="s">
        <v>2585</v>
      </c>
      <c r="G59" s="538" t="s">
        <v>2586</v>
      </c>
      <c r="H59" s="538" t="s">
        <v>2587</v>
      </c>
      <c r="I59" s="538" t="s">
        <v>2588</v>
      </c>
      <c r="J59" s="538"/>
      <c r="K59" s="539"/>
      <c r="L59" s="540"/>
      <c r="M59" s="541"/>
      <c r="N59" s="1151"/>
      <c r="O59" s="1151"/>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2552</v>
      </c>
      <c r="B70" s="527" t="s">
        <v>2698</v>
      </c>
      <c r="C70" s="572" t="s">
        <v>2590</v>
      </c>
      <c r="D70" s="572" t="s">
        <v>2591</v>
      </c>
      <c r="E70" s="572" t="s">
        <v>2592</v>
      </c>
      <c r="F70" s="572" t="s">
        <v>2593</v>
      </c>
      <c r="G70" s="572" t="s">
        <v>2594</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 thickTop="1">
      <c r="A72" s="533"/>
      <c r="B72" s="537" t="s">
        <v>2595</v>
      </c>
      <c r="C72" s="577" t="s">
        <v>2590</v>
      </c>
      <c r="D72" s="577" t="s">
        <v>2591</v>
      </c>
      <c r="E72" s="577" t="s">
        <v>2592</v>
      </c>
      <c r="F72" s="577" t="s">
        <v>2593</v>
      </c>
      <c r="G72" s="577" t="s">
        <v>2594</v>
      </c>
      <c r="H72" s="538"/>
      <c r="I72" s="538"/>
      <c r="J72" s="538"/>
      <c r="K72" s="539"/>
      <c r="L72" s="540"/>
      <c r="M72" s="541"/>
      <c r="N72" s="1151"/>
      <c r="O72" s="1151"/>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 thickTop="1">
      <c r="A74" s="533"/>
      <c r="B74" s="537" t="s">
        <v>2596</v>
      </c>
      <c r="C74" s="577" t="s">
        <v>2590</v>
      </c>
      <c r="D74" s="577" t="s">
        <v>2591</v>
      </c>
      <c r="E74" s="577" t="s">
        <v>2592</v>
      </c>
      <c r="F74" s="577" t="s">
        <v>2593</v>
      </c>
      <c r="G74" s="577" t="s">
        <v>2594</v>
      </c>
      <c r="H74" s="538"/>
      <c r="I74" s="538"/>
      <c r="J74" s="538"/>
      <c r="K74" s="539"/>
      <c r="L74" s="540"/>
      <c r="M74" s="541"/>
      <c r="N74" s="1151"/>
      <c r="O74" s="1151"/>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 thickTop="1">
      <c r="A76" s="533"/>
      <c r="B76" s="545" t="s">
        <v>2682</v>
      </c>
      <c r="C76" s="659" t="s">
        <v>2668</v>
      </c>
      <c r="D76" s="659" t="s">
        <v>2669</v>
      </c>
      <c r="E76" s="659" t="s">
        <v>2670</v>
      </c>
      <c r="F76" s="659" t="s">
        <v>2671</v>
      </c>
      <c r="G76" s="659" t="s">
        <v>2672</v>
      </c>
      <c r="H76" s="538"/>
      <c r="I76" s="538"/>
      <c r="J76" s="538"/>
      <c r="K76" s="538"/>
      <c r="L76" s="538"/>
      <c r="M76" s="1381"/>
      <c r="N76" s="1152"/>
      <c r="O76" s="1152"/>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 thickTop="1">
      <c r="A78" s="533"/>
      <c r="B78" s="537" t="s">
        <v>2691</v>
      </c>
      <c r="C78" s="577" t="s">
        <v>2590</v>
      </c>
      <c r="D78" s="577" t="s">
        <v>2591</v>
      </c>
      <c r="E78" s="577" t="s">
        <v>2592</v>
      </c>
      <c r="F78" s="577" t="s">
        <v>2593</v>
      </c>
      <c r="G78" s="577" t="s">
        <v>2594</v>
      </c>
      <c r="H78" s="538"/>
      <c r="I78" s="538"/>
      <c r="J78" s="538"/>
      <c r="K78" s="539"/>
      <c r="L78" s="540"/>
      <c r="M78" s="541"/>
      <c r="N78" s="1151"/>
      <c r="O78" s="1151"/>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4.4" thickTop="1">
      <c r="A80" s="578"/>
      <c r="B80" s="537">
        <f>B25</f>
        <v>111</v>
      </c>
      <c r="C80" s="553"/>
      <c r="D80" s="553"/>
      <c r="E80" s="553"/>
      <c r="F80" s="553"/>
      <c r="G80" s="553"/>
      <c r="H80" s="553"/>
      <c r="I80" s="553"/>
      <c r="J80" s="553"/>
      <c r="K80" s="553"/>
      <c r="L80" s="579"/>
      <c r="M80" s="580"/>
      <c r="N80" s="1150"/>
      <c r="O80" s="1150"/>
      <c r="P80" s="45"/>
      <c r="Q80" s="503"/>
    </row>
    <row r="81" spans="1:17" s="117" customFormat="1" ht="14.4" thickBot="1">
      <c r="A81" s="578"/>
      <c r="B81" s="542"/>
      <c r="C81" s="559"/>
      <c r="D81" s="535"/>
      <c r="E81" s="535"/>
      <c r="F81" s="535"/>
      <c r="G81" s="535"/>
      <c r="H81" s="535"/>
      <c r="I81" s="535"/>
      <c r="J81" s="535"/>
      <c r="K81" s="535"/>
      <c r="L81" s="535"/>
      <c r="M81" s="536"/>
      <c r="N81" s="1152"/>
      <c r="O81" s="1152"/>
      <c r="P81" s="45"/>
      <c r="Q81" s="503"/>
    </row>
    <row r="82" spans="1:17" s="117" customFormat="1" ht="14.4" thickTop="1">
      <c r="A82" s="578"/>
      <c r="B82" s="537">
        <f>B26</f>
        <v>111</v>
      </c>
      <c r="C82" s="553"/>
      <c r="D82" s="553"/>
      <c r="E82" s="553"/>
      <c r="F82" s="553"/>
      <c r="G82" s="553"/>
      <c r="H82" s="553"/>
      <c r="I82" s="553"/>
      <c r="J82" s="553"/>
      <c r="K82" s="553"/>
      <c r="L82" s="579"/>
      <c r="M82" s="580"/>
      <c r="N82" s="1150"/>
      <c r="O82" s="1150"/>
      <c r="P82" s="45"/>
      <c r="Q82" s="503"/>
    </row>
    <row r="83" spans="1:17" s="117" customFormat="1" ht="14.4" thickBot="1">
      <c r="A83" s="578"/>
      <c r="B83" s="542"/>
      <c r="C83" s="559"/>
      <c r="D83" s="535"/>
      <c r="E83" s="535"/>
      <c r="F83" s="535"/>
      <c r="G83" s="535"/>
      <c r="H83" s="535"/>
      <c r="I83" s="535"/>
      <c r="J83" s="535"/>
      <c r="K83" s="535"/>
      <c r="L83" s="535"/>
      <c r="M83" s="536"/>
      <c r="N83" s="1152"/>
      <c r="O83" s="1152"/>
      <c r="P83" s="45"/>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5"/>
      <c r="Q86" s="503"/>
    </row>
    <row r="87" spans="1:17" ht="14.4" thickBot="1">
      <c r="A87" s="2635"/>
      <c r="B87" s="568"/>
      <c r="C87" s="569"/>
      <c r="D87" s="569"/>
      <c r="E87" s="569"/>
      <c r="F87" s="569"/>
      <c r="G87" s="590"/>
      <c r="H87" s="590"/>
      <c r="I87" s="590"/>
      <c r="J87" s="590"/>
      <c r="K87" s="590"/>
      <c r="L87" s="590"/>
      <c r="M87" s="591"/>
      <c r="N87" s="1152"/>
      <c r="O87" s="1152"/>
      <c r="P87" s="45"/>
      <c r="Q87" s="503"/>
    </row>
    <row r="88" spans="1:17" ht="14.4">
      <c r="A88" s="526" t="s">
        <v>2556</v>
      </c>
      <c r="B88" s="527" t="s">
        <v>2605</v>
      </c>
      <c r="C88" s="529"/>
      <c r="D88" s="529"/>
      <c r="E88" s="529"/>
      <c r="F88" s="529"/>
      <c r="G88" s="529"/>
      <c r="H88" s="529"/>
      <c r="I88" s="529"/>
      <c r="J88" s="529"/>
      <c r="K88" s="530"/>
      <c r="L88" s="531"/>
      <c r="M88" s="532"/>
      <c r="N88" s="1151"/>
      <c r="O88" s="1151"/>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2607</v>
      </c>
      <c r="C93" s="553"/>
      <c r="D93" s="553"/>
      <c r="E93" s="582"/>
      <c r="F93" s="582"/>
      <c r="G93" s="582"/>
      <c r="H93" s="582"/>
      <c r="I93" s="582"/>
      <c r="J93" s="582"/>
      <c r="K93" s="583"/>
      <c r="L93" s="584"/>
      <c r="M93" s="585"/>
      <c r="N93" s="1151"/>
      <c r="O93" s="1151"/>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2609</v>
      </c>
      <c r="C95" s="553"/>
      <c r="D95" s="553"/>
      <c r="E95" s="553"/>
      <c r="F95" s="582"/>
      <c r="G95" s="582"/>
      <c r="H95" s="582"/>
      <c r="I95" s="582"/>
      <c r="J95" s="582"/>
      <c r="K95" s="583"/>
      <c r="L95" s="584"/>
      <c r="M95" s="585"/>
      <c r="N95" s="1151"/>
      <c r="O95" s="1151"/>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2610</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2611</v>
      </c>
      <c r="C102" s="553"/>
      <c r="D102" s="553"/>
      <c r="E102" s="553"/>
      <c r="F102" s="553"/>
      <c r="G102" s="553"/>
      <c r="H102" s="582"/>
      <c r="I102" s="582"/>
      <c r="J102" s="582"/>
      <c r="K102" s="583"/>
      <c r="L102" s="584"/>
      <c r="M102" s="585"/>
      <c r="N102" s="1151"/>
      <c r="O102" s="1151"/>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2613</v>
      </c>
      <c r="C104" s="553"/>
      <c r="D104" s="553"/>
      <c r="E104" s="553"/>
      <c r="F104" s="553"/>
      <c r="G104" s="553"/>
      <c r="H104" s="582"/>
      <c r="I104" s="582"/>
      <c r="J104" s="582"/>
      <c r="K104" s="583"/>
      <c r="L104" s="584"/>
      <c r="M104" s="585"/>
      <c r="N104" s="1151"/>
      <c r="O104" s="1151"/>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9.4" thickTop="1">
      <c r="A106" s="598"/>
      <c r="B106" s="635" t="s">
        <v>2699</v>
      </c>
      <c r="C106" s="577" t="s">
        <v>2590</v>
      </c>
      <c r="D106" s="577" t="s">
        <v>2591</v>
      </c>
      <c r="E106" s="577" t="s">
        <v>2592</v>
      </c>
      <c r="F106" s="577" t="s">
        <v>2593</v>
      </c>
      <c r="G106" s="577" t="s">
        <v>2594</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5"/>
      <c r="Q110" s="503"/>
    </row>
    <row r="111" spans="1:17" ht="14.4" thickBot="1">
      <c r="A111" s="533"/>
      <c r="B111" s="542"/>
      <c r="C111" s="559"/>
      <c r="D111" s="535"/>
      <c r="E111" s="535"/>
      <c r="F111" s="535"/>
      <c r="G111" s="559"/>
      <c r="H111" s="561"/>
      <c r="I111" s="561"/>
      <c r="J111" s="561"/>
      <c r="K111" s="561"/>
      <c r="L111" s="561"/>
      <c r="M111" s="562"/>
      <c r="N111" s="1152"/>
      <c r="O111" s="1152"/>
      <c r="P111" s="45"/>
      <c r="Q111" s="503"/>
    </row>
    <row r="112" spans="1:17" ht="14.4" thickTop="1">
      <c r="A112" s="598"/>
      <c r="B112" s="545">
        <f>B40</f>
        <v>111</v>
      </c>
      <c r="C112" s="522"/>
      <c r="D112" s="522"/>
      <c r="E112" s="522"/>
      <c r="F112" s="522"/>
      <c r="G112" s="586"/>
      <c r="H112" s="586"/>
      <c r="I112" s="586"/>
      <c r="J112" s="586"/>
      <c r="K112" s="522"/>
      <c r="L112" s="523"/>
      <c r="M112" s="589"/>
      <c r="N112" s="1151"/>
      <c r="O112" s="1151"/>
      <c r="P112" s="45"/>
      <c r="Q112" s="503"/>
    </row>
    <row r="113" spans="1:17" ht="14.4"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北京德利生华液化气有限公司：</v>
      </c>
    </row>
    <row r="4" spans="1:1" ht="34.799999999999997">
      <c r="A4" s="1947" t="str">
        <f>"受贵公司委托，我公司对"&amp;项目基本情况!S1&amp;"进行了预评估。"</f>
        <v>受贵公司委托，我公司对北京市昌平区南口镇前洼村南液化气站工业用房房地产房地产抵押价值进行了预评估。</v>
      </c>
    </row>
    <row r="5" spans="1:1" ht="17.399999999999999">
      <c r="A5" s="1948" t="s">
        <v>1607</v>
      </c>
    </row>
    <row r="6" spans="1:1" ht="17.399999999999999">
      <c r="A6" s="1949" t="s">
        <v>1608</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1" ht="54.6">
      <c r="A8" s="1950" t="s">
        <v>1609</v>
      </c>
    </row>
    <row r="9" spans="1:1" ht="17.399999999999999">
      <c r="A9" s="1949" t="s">
        <v>1610</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为估价委托人在向兴业银行股份有限公司北京昌平支行办理贷款手续过程中，确定房地产抵押贷款额度提供参考依据而评估房地产抵押价值。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2020年4月21日（评估专业人员实地查勘之日）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21日，估价对象规划用途为工业，土地取得方式为出让，出让国有建设用地使用权剩余土地使用年限为37.6，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37.6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1604</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2700</v>
      </c>
      <c r="B1" s="1618"/>
      <c r="C1" s="1619" t="s">
        <v>2523</v>
      </c>
      <c r="D1" s="1620"/>
      <c r="E1" s="1621"/>
      <c r="F1" s="2583"/>
      <c r="G1" s="1622" t="s">
        <v>2636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2320</v>
      </c>
      <c r="B2" s="1417" t="e">
        <f ca="1">IF(C2="——",IF(B37="元/平方米",ROUND(C39*D3/10000,0),ROUND(F3*C39/10000,0)),IF(B37="元/平方米",ROUND(C39*D3/10000,0),ROUND(F3*C39/10000,0))-D2)</f>
        <v>#DIV/0!</v>
      </c>
      <c r="C2" s="2585"/>
      <c r="D2" s="1123" t="e">
        <f ca="1">SUMIF(INDIRECT("'"&amp;F2&amp;"'"&amp;"!A:A"),"承租人权益价值",INDIRECT("'"&amp;F2&amp;"'"&amp;"!c:c"))</f>
        <v>#REF!</v>
      </c>
      <c r="E2" s="2586" t="s">
        <v>2321</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2322</v>
      </c>
      <c r="B3" s="608" t="e">
        <f ca="1">IF(AND(C2="——",B37="元/平方米"),C39,ROUND(B2*10000/D3,0))</f>
        <v>#DIV/0!</v>
      </c>
      <c r="C3" s="399" t="s">
        <v>2637</v>
      </c>
      <c r="D3" s="398">
        <f>SUMIF('数据-汇总表'!$C19:$C33,D1,'数据-汇总表'!$E19:$E33)</f>
        <v>0</v>
      </c>
      <c r="E3" s="399" t="s">
        <v>2701</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2638</v>
      </c>
      <c r="B4" s="401"/>
      <c r="C4" s="3207" t="s">
        <v>2639</v>
      </c>
      <c r="D4" s="3208"/>
      <c r="E4" s="3209" t="s">
        <v>2640</v>
      </c>
      <c r="F4" s="3210"/>
      <c r="G4" s="3207" t="s">
        <v>2641</v>
      </c>
      <c r="H4" s="3208"/>
      <c r="I4" s="3207" t="s">
        <v>2642</v>
      </c>
      <c r="J4" s="3208"/>
      <c r="K4" s="609" t="s">
        <v>2643</v>
      </c>
      <c r="L4" s="1129"/>
      <c r="M4" s="1130"/>
      <c r="N4" s="1130"/>
      <c r="O4" s="1130"/>
      <c r="P4" s="3211" t="s">
        <v>2644</v>
      </c>
      <c r="Q4" s="3212"/>
      <c r="R4" s="3217" t="s">
        <v>2640</v>
      </c>
      <c r="S4" s="3218"/>
      <c r="T4" s="3217" t="s">
        <v>2641</v>
      </c>
      <c r="U4" s="3218"/>
      <c r="V4" s="3223" t="s">
        <v>2642</v>
      </c>
      <c r="W4" s="3223"/>
      <c r="X4" s="1812"/>
      <c r="Y4" s="3217" t="s">
        <v>2644</v>
      </c>
      <c r="Z4" s="3218"/>
      <c r="AA4" s="3204" t="s">
        <v>2640</v>
      </c>
      <c r="AB4" s="3205" t="s">
        <v>2641</v>
      </c>
      <c r="AC4" s="3204" t="s">
        <v>2642</v>
      </c>
    </row>
    <row r="5" spans="1:29">
      <c r="A5" s="403"/>
      <c r="B5" s="404"/>
      <c r="C5" s="3226" t="s">
        <v>2535</v>
      </c>
      <c r="D5" s="3227"/>
      <c r="E5" s="3233" t="s">
        <v>2536</v>
      </c>
      <c r="F5" s="3234"/>
      <c r="G5" s="3226" t="s">
        <v>2537</v>
      </c>
      <c r="H5" s="3227"/>
      <c r="I5" s="3226" t="s">
        <v>2538</v>
      </c>
      <c r="J5" s="3227"/>
      <c r="K5" s="609"/>
      <c r="L5" s="1129"/>
      <c r="M5" s="1130"/>
      <c r="N5" s="1130"/>
      <c r="O5" s="1130"/>
      <c r="P5" s="3213"/>
      <c r="Q5" s="3214"/>
      <c r="R5" s="3219"/>
      <c r="S5" s="3220"/>
      <c r="T5" s="3219"/>
      <c r="U5" s="3220"/>
      <c r="V5" s="3223"/>
      <c r="W5" s="3223"/>
      <c r="X5" s="1812"/>
      <c r="Y5" s="3219"/>
      <c r="Z5" s="3220"/>
      <c r="AA5" s="3205"/>
      <c r="AB5" s="3205"/>
      <c r="AC5" s="3205"/>
    </row>
    <row r="6" spans="1:29" ht="15" thickBot="1">
      <c r="A6" s="405"/>
      <c r="B6" s="406"/>
      <c r="C6" s="3224" t="s">
        <v>2539</v>
      </c>
      <c r="D6" s="3225"/>
      <c r="E6" s="3231" t="s">
        <v>2539</v>
      </c>
      <c r="F6" s="3232"/>
      <c r="G6" s="3224" t="s">
        <v>2539</v>
      </c>
      <c r="H6" s="3225"/>
      <c r="I6" s="3224" t="s">
        <v>2539</v>
      </c>
      <c r="J6" s="3225"/>
      <c r="K6" s="609" t="s">
        <v>2540</v>
      </c>
      <c r="L6" s="1129"/>
      <c r="M6" s="1130"/>
      <c r="N6" s="1130"/>
      <c r="O6" s="1130"/>
      <c r="P6" s="3215"/>
      <c r="Q6" s="3216"/>
      <c r="R6" s="3219"/>
      <c r="S6" s="3220"/>
      <c r="T6" s="3221"/>
      <c r="U6" s="3222"/>
      <c r="V6" s="3223"/>
      <c r="W6" s="3223"/>
      <c r="X6" s="1812"/>
      <c r="Y6" s="3221"/>
      <c r="Z6" s="3222"/>
      <c r="AA6" s="3206"/>
      <c r="AB6" s="3206"/>
      <c r="AC6" s="3206"/>
    </row>
    <row r="7" spans="1:29" s="117" customFormat="1" ht="15" thickBot="1">
      <c r="A7" s="407" t="s">
        <v>2541</v>
      </c>
      <c r="B7" s="408"/>
      <c r="C7" s="409">
        <f>'数据-取费表'!B2</f>
        <v>43942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28" t="s">
        <v>2542</v>
      </c>
      <c r="Q7" s="3230"/>
      <c r="R7" s="769" t="s">
        <v>17</v>
      </c>
      <c r="S7" s="770">
        <f t="shared" ref="S7:S14" si="0">F7</f>
        <v>0</v>
      </c>
      <c r="T7" s="769" t="s">
        <v>17</v>
      </c>
      <c r="U7" s="770">
        <f t="shared" ref="U7:U14" si="1">H7</f>
        <v>0</v>
      </c>
      <c r="V7" s="769" t="s">
        <v>17</v>
      </c>
      <c r="W7" s="770">
        <f t="shared" ref="W7:W14" si="2">J7</f>
        <v>0</v>
      </c>
      <c r="X7" s="771"/>
      <c r="Y7" s="3228" t="s">
        <v>2542</v>
      </c>
      <c r="Z7" s="3229"/>
      <c r="AA7" s="772" t="e">
        <f>D7/F7</f>
        <v>#DIV/0!</v>
      </c>
      <c r="AB7" s="772" t="e">
        <f>D7/H7</f>
        <v>#DIV/0!</v>
      </c>
      <c r="AC7" s="772" t="e">
        <f>D7/J7</f>
        <v>#DIV/0!</v>
      </c>
    </row>
    <row r="8" spans="1:29" s="117" customFormat="1" ht="1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28" t="s">
        <v>2545</v>
      </c>
      <c r="Q8" s="3229"/>
      <c r="R8" s="769" t="s">
        <v>17</v>
      </c>
      <c r="S8" s="770">
        <f t="shared" si="0"/>
        <v>0</v>
      </c>
      <c r="T8" s="769" t="s">
        <v>17</v>
      </c>
      <c r="U8" s="770">
        <f t="shared" si="1"/>
        <v>0</v>
      </c>
      <c r="V8" s="769" t="s">
        <v>17</v>
      </c>
      <c r="W8" s="770">
        <f t="shared" si="2"/>
        <v>0</v>
      </c>
      <c r="X8" s="771"/>
      <c r="Y8" s="3228" t="s">
        <v>2545</v>
      </c>
      <c r="Z8" s="3229"/>
      <c r="AA8" s="772" t="e">
        <f t="shared" ref="AA8:AA36" si="3">D8/F8</f>
        <v>#DIV/0!</v>
      </c>
      <c r="AB8" s="772" t="e">
        <f t="shared" ref="AB8:AB36" si="4">D8/H8</f>
        <v>#DIV/0!</v>
      </c>
      <c r="AC8" s="772" t="e">
        <f t="shared" ref="AC8:AC36" si="5">D8/J8</f>
        <v>#DIV/0!</v>
      </c>
    </row>
    <row r="9" spans="1:29" s="117" customFormat="1" ht="14.4">
      <c r="A9" s="68"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92" t="s">
        <v>2548</v>
      </c>
      <c r="Q9" s="1794" t="str">
        <f t="shared" ref="Q9:Q14" si="6">B9</f>
        <v>用途</v>
      </c>
      <c r="R9" s="769" t="s">
        <v>17</v>
      </c>
      <c r="S9" s="770">
        <f t="shared" si="0"/>
        <v>100</v>
      </c>
      <c r="T9" s="769" t="s">
        <v>17</v>
      </c>
      <c r="U9" s="770">
        <f t="shared" si="1"/>
        <v>100</v>
      </c>
      <c r="V9" s="769" t="s">
        <v>17</v>
      </c>
      <c r="W9" s="770">
        <f t="shared" si="2"/>
        <v>100</v>
      </c>
      <c r="X9" s="771"/>
      <c r="Y9" s="3017" t="s">
        <v>2549</v>
      </c>
      <c r="Z9" s="55" t="str">
        <f t="shared" ref="Z9:Z14" si="7">Q9</f>
        <v>用途</v>
      </c>
      <c r="AA9" s="772">
        <f t="shared" si="3"/>
        <v>1</v>
      </c>
      <c r="AB9" s="772">
        <f t="shared" si="4"/>
        <v>1</v>
      </c>
      <c r="AC9" s="772">
        <f t="shared" si="5"/>
        <v>1</v>
      </c>
    </row>
    <row r="10" spans="1:29" s="426" customFormat="1" ht="28.8">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92"/>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92"/>
      <c r="Q11" s="1794">
        <f t="shared" si="6"/>
        <v>111</v>
      </c>
      <c r="R11" s="769" t="s">
        <v>17</v>
      </c>
      <c r="S11" s="770">
        <f t="shared" si="0"/>
        <v>100</v>
      </c>
      <c r="T11" s="769" t="s">
        <v>17</v>
      </c>
      <c r="U11" s="770">
        <f t="shared" si="1"/>
        <v>100</v>
      </c>
      <c r="V11" s="769" t="s">
        <v>17</v>
      </c>
      <c r="W11" s="770">
        <f t="shared" si="2"/>
        <v>100</v>
      </c>
      <c r="X11" s="771"/>
      <c r="Y11" s="3017"/>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92"/>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92"/>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96.6">
      <c r="A14" s="400" t="s">
        <v>2552</v>
      </c>
      <c r="B14" s="628" t="s">
        <v>2702</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94" t="s">
        <v>2553</v>
      </c>
      <c r="Q14" s="1809" t="str">
        <f t="shared" si="6"/>
        <v>交通便捷度</v>
      </c>
      <c r="R14" s="773" t="s">
        <v>17</v>
      </c>
      <c r="S14" s="774">
        <f t="shared" si="0"/>
        <v>100</v>
      </c>
      <c r="T14" s="773" t="s">
        <v>17</v>
      </c>
      <c r="U14" s="774">
        <f t="shared" si="1"/>
        <v>100</v>
      </c>
      <c r="V14" s="773" t="s">
        <v>17</v>
      </c>
      <c r="W14" s="774">
        <f t="shared" si="2"/>
        <v>100</v>
      </c>
      <c r="X14" s="1812"/>
      <c r="Y14" s="3194" t="s">
        <v>2553</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195"/>
      <c r="Q15" s="1809"/>
      <c r="R15" s="773"/>
      <c r="S15" s="774"/>
      <c r="T15" s="773"/>
      <c r="U15" s="774"/>
      <c r="V15" s="773"/>
      <c r="W15" s="774"/>
      <c r="X15" s="1812"/>
      <c r="Y15" s="3195"/>
      <c r="Z15" s="1813"/>
      <c r="AA15" s="1810">
        <v>1</v>
      </c>
      <c r="AB15" s="1810">
        <v>1</v>
      </c>
      <c r="AC15" s="1810">
        <v>1</v>
      </c>
    </row>
    <row r="16" spans="1:29" ht="41.4">
      <c r="A16" s="403"/>
      <c r="B16" s="630" t="s">
        <v>2681</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95"/>
      <c r="Q16" s="1809" t="str">
        <f>B16</f>
        <v>公共配套设施</v>
      </c>
      <c r="R16" s="773" t="s">
        <v>17</v>
      </c>
      <c r="S16" s="774">
        <f>F16</f>
        <v>100</v>
      </c>
      <c r="T16" s="773" t="s">
        <v>17</v>
      </c>
      <c r="U16" s="774">
        <f>H16</f>
        <v>100</v>
      </c>
      <c r="V16" s="773" t="s">
        <v>17</v>
      </c>
      <c r="W16" s="774">
        <f>J16</f>
        <v>100</v>
      </c>
      <c r="X16" s="1812"/>
      <c r="Y16" s="3195"/>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195"/>
      <c r="Q17" s="1809"/>
      <c r="R17" s="773"/>
      <c r="S17" s="774"/>
      <c r="T17" s="773"/>
      <c r="U17" s="774"/>
      <c r="V17" s="773"/>
      <c r="W17" s="774"/>
      <c r="X17" s="1812"/>
      <c r="Y17" s="3195"/>
      <c r="Z17" s="1813"/>
      <c r="AA17" s="1810">
        <v>1</v>
      </c>
      <c r="AB17" s="1810">
        <v>1</v>
      </c>
      <c r="AC17" s="1810">
        <v>1</v>
      </c>
    </row>
    <row r="18" spans="1:29" ht="41.4">
      <c r="A18" s="403"/>
      <c r="B18" s="632" t="s">
        <v>2682</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95"/>
      <c r="Q18" s="1809" t="str">
        <f>B18</f>
        <v>基础设施水平</v>
      </c>
      <c r="R18" s="773" t="s">
        <v>17</v>
      </c>
      <c r="S18" s="774">
        <f>F18</f>
        <v>100</v>
      </c>
      <c r="T18" s="773" t="s">
        <v>17</v>
      </c>
      <c r="U18" s="774">
        <f>H18</f>
        <v>100</v>
      </c>
      <c r="V18" s="773" t="s">
        <v>17</v>
      </c>
      <c r="W18" s="774">
        <f>J18</f>
        <v>100</v>
      </c>
      <c r="X18" s="1812"/>
      <c r="Y18" s="3195"/>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195"/>
      <c r="Q19" s="1809"/>
      <c r="R19" s="773"/>
      <c r="S19" s="774"/>
      <c r="T19" s="773"/>
      <c r="U19" s="774"/>
      <c r="V19" s="773"/>
      <c r="W19" s="774"/>
      <c r="X19" s="1812"/>
      <c r="Y19" s="3195"/>
      <c r="Z19" s="1813"/>
      <c r="AA19" s="1810">
        <v>1</v>
      </c>
      <c r="AB19" s="1810">
        <v>1</v>
      </c>
      <c r="AC19" s="1810">
        <v>1</v>
      </c>
    </row>
    <row r="20" spans="1:29" ht="55.2">
      <c r="A20" s="403"/>
      <c r="B20" s="630" t="s">
        <v>2703</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95"/>
      <c r="Q20" s="1809" t="str">
        <f>B20</f>
        <v>自然及人文环境</v>
      </c>
      <c r="R20" s="773" t="s">
        <v>17</v>
      </c>
      <c r="S20" s="774">
        <f>F20</f>
        <v>100</v>
      </c>
      <c r="T20" s="773" t="s">
        <v>17</v>
      </c>
      <c r="U20" s="774">
        <f>H20</f>
        <v>100</v>
      </c>
      <c r="V20" s="773" t="s">
        <v>17</v>
      </c>
      <c r="W20" s="774">
        <f>J20</f>
        <v>100</v>
      </c>
      <c r="X20" s="1812"/>
      <c r="Y20" s="3195"/>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195"/>
      <c r="Q21" s="1809"/>
      <c r="R21" s="773"/>
      <c r="S21" s="774"/>
      <c r="T21" s="773"/>
      <c r="U21" s="774"/>
      <c r="V21" s="773"/>
      <c r="W21" s="774"/>
      <c r="X21" s="1812"/>
      <c r="Y21" s="3195"/>
      <c r="Z21" s="1813"/>
      <c r="AA21" s="1810">
        <v>1</v>
      </c>
      <c r="AB21" s="1810">
        <v>1</v>
      </c>
      <c r="AC21" s="1810">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95"/>
      <c r="Q22" s="1809" t="str">
        <f>B22</f>
        <v>楼层</v>
      </c>
      <c r="R22" s="773" t="s">
        <v>17</v>
      </c>
      <c r="S22" s="774">
        <f>F22</f>
        <v>100</v>
      </c>
      <c r="T22" s="773" t="s">
        <v>17</v>
      </c>
      <c r="U22" s="774">
        <f>H22</f>
        <v>100</v>
      </c>
      <c r="V22" s="773" t="s">
        <v>17</v>
      </c>
      <c r="W22" s="774">
        <f>J22</f>
        <v>100</v>
      </c>
      <c r="X22" s="1812"/>
      <c r="Y22" s="3195"/>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95"/>
      <c r="Q23" s="1809">
        <f>B23</f>
        <v>111</v>
      </c>
      <c r="R23" s="773" t="s">
        <v>17</v>
      </c>
      <c r="S23" s="774">
        <f>F23</f>
        <v>100</v>
      </c>
      <c r="T23" s="773" t="s">
        <v>17</v>
      </c>
      <c r="U23" s="774">
        <f>H23</f>
        <v>100</v>
      </c>
      <c r="V23" s="773" t="s">
        <v>17</v>
      </c>
      <c r="W23" s="774">
        <f>J23</f>
        <v>100</v>
      </c>
      <c r="X23" s="1812"/>
      <c r="Y23" s="3195"/>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95"/>
      <c r="Q24" s="1809">
        <f t="shared" ref="Q24:Q36" si="11">B24</f>
        <v>111</v>
      </c>
      <c r="R24" s="773" t="s">
        <v>17</v>
      </c>
      <c r="S24" s="774">
        <f>F24</f>
        <v>100</v>
      </c>
      <c r="T24" s="773" t="s">
        <v>17</v>
      </c>
      <c r="U24" s="774">
        <f>H24</f>
        <v>100</v>
      </c>
      <c r="V24" s="773" t="s">
        <v>17</v>
      </c>
      <c r="W24" s="774">
        <f>J24</f>
        <v>100</v>
      </c>
      <c r="X24" s="1812"/>
      <c r="Y24" s="3195"/>
      <c r="Z24" s="1813">
        <f>Q24</f>
        <v>111</v>
      </c>
      <c r="AA24" s="1810">
        <f t="shared" si="3"/>
        <v>1</v>
      </c>
      <c r="AB24" s="1810">
        <f t="shared" si="4"/>
        <v>1</v>
      </c>
      <c r="AC24" s="1810">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95"/>
      <c r="Q25" s="1794">
        <f t="shared" si="11"/>
        <v>111</v>
      </c>
      <c r="R25" s="769" t="s">
        <v>17</v>
      </c>
      <c r="S25" s="770">
        <f>F25</f>
        <v>100</v>
      </c>
      <c r="T25" s="769" t="s">
        <v>17</v>
      </c>
      <c r="U25" s="770">
        <f>H25</f>
        <v>100</v>
      </c>
      <c r="V25" s="769" t="s">
        <v>17</v>
      </c>
      <c r="W25" s="770">
        <f>J25</f>
        <v>100</v>
      </c>
      <c r="X25" s="771"/>
      <c r="Y25" s="3195"/>
      <c r="Z25" s="55">
        <f>Q25</f>
        <v>111</v>
      </c>
      <c r="AA25" s="1810">
        <f>D25/F25</f>
        <v>1</v>
      </c>
      <c r="AB25" s="1810">
        <f>D25/H25</f>
        <v>1</v>
      </c>
      <c r="AC25" s="1810">
        <f>D25/J25</f>
        <v>1</v>
      </c>
    </row>
    <row r="26" spans="1:29" ht="30">
      <c r="A26" s="651" t="s">
        <v>2556</v>
      </c>
      <c r="B26" s="70" t="s">
        <v>2705</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0" t="s">
        <v>2558</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99" t="s">
        <v>2558</v>
      </c>
      <c r="Z26" s="1813" t="str">
        <f t="shared" ref="Z26:Z36" si="15">Q26</f>
        <v>配套类型</v>
      </c>
      <c r="AA26" s="1810">
        <f t="shared" si="3"/>
        <v>1</v>
      </c>
      <c r="AB26" s="1810">
        <f t="shared" si="4"/>
        <v>1</v>
      </c>
      <c r="AC26" s="1810">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99"/>
      <c r="Q27" s="775" t="str">
        <f t="shared" si="11"/>
        <v>项目停车位配比</v>
      </c>
      <c r="R27" s="776" t="s">
        <v>17</v>
      </c>
      <c r="S27" s="777">
        <f t="shared" si="12"/>
        <v>100</v>
      </c>
      <c r="T27" s="776" t="s">
        <v>17</v>
      </c>
      <c r="U27" s="777">
        <f t="shared" si="13"/>
        <v>100</v>
      </c>
      <c r="V27" s="776" t="s">
        <v>17</v>
      </c>
      <c r="W27" s="777">
        <f t="shared" si="14"/>
        <v>100</v>
      </c>
      <c r="X27" s="778"/>
      <c r="Y27" s="3199"/>
      <c r="Z27" s="779" t="str">
        <f t="shared" si="15"/>
        <v>项目停车位配比</v>
      </c>
      <c r="AA27" s="1810">
        <f t="shared" si="3"/>
        <v>1</v>
      </c>
      <c r="AB27" s="1810">
        <f t="shared" si="4"/>
        <v>1</v>
      </c>
      <c r="AC27" s="1810">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99"/>
      <c r="Q28" s="1809" t="str">
        <f t="shared" si="11"/>
        <v>公共部分装修</v>
      </c>
      <c r="R28" s="773" t="s">
        <v>17</v>
      </c>
      <c r="S28" s="774">
        <f t="shared" si="12"/>
        <v>100</v>
      </c>
      <c r="T28" s="773" t="s">
        <v>17</v>
      </c>
      <c r="U28" s="774">
        <f t="shared" si="13"/>
        <v>100</v>
      </c>
      <c r="V28" s="773" t="s">
        <v>17</v>
      </c>
      <c r="W28" s="774">
        <f t="shared" si="14"/>
        <v>100</v>
      </c>
      <c r="X28" s="1812"/>
      <c r="Y28" s="3199"/>
      <c r="Z28" s="1813" t="str">
        <f t="shared" si="15"/>
        <v>公共部分装修</v>
      </c>
      <c r="AA28" s="1810">
        <f t="shared" si="3"/>
        <v>1</v>
      </c>
      <c r="AB28" s="1810">
        <f t="shared" si="4"/>
        <v>1</v>
      </c>
      <c r="AC28" s="1810">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99"/>
      <c r="Q29" s="1809" t="str">
        <f t="shared" si="11"/>
        <v>成新率</v>
      </c>
      <c r="R29" s="773" t="s">
        <v>17</v>
      </c>
      <c r="S29" s="774" t="e">
        <f t="shared" si="12"/>
        <v>#N/A</v>
      </c>
      <c r="T29" s="773" t="s">
        <v>17</v>
      </c>
      <c r="U29" s="774" t="e">
        <f t="shared" si="13"/>
        <v>#N/A</v>
      </c>
      <c r="V29" s="773" t="s">
        <v>17</v>
      </c>
      <c r="W29" s="774" t="e">
        <f t="shared" si="14"/>
        <v>#N/A</v>
      </c>
      <c r="X29" s="1812"/>
      <c r="Y29" s="3199"/>
      <c r="Z29" s="1813" t="str">
        <f t="shared" si="15"/>
        <v>成新率</v>
      </c>
      <c r="AA29" s="1810" t="e">
        <f t="shared" si="3"/>
        <v>#N/A</v>
      </c>
      <c r="AB29" s="1810" t="e">
        <f t="shared" si="4"/>
        <v>#N/A</v>
      </c>
      <c r="AC29" s="1810"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99"/>
      <c r="Q30" s="1809" t="str">
        <f t="shared" si="11"/>
        <v>物业等级</v>
      </c>
      <c r="R30" s="773" t="s">
        <v>17</v>
      </c>
      <c r="S30" s="774">
        <f t="shared" si="12"/>
        <v>100</v>
      </c>
      <c r="T30" s="773" t="s">
        <v>17</v>
      </c>
      <c r="U30" s="774">
        <f t="shared" si="13"/>
        <v>100</v>
      </c>
      <c r="V30" s="773" t="s">
        <v>17</v>
      </c>
      <c r="W30" s="774">
        <f t="shared" si="14"/>
        <v>100</v>
      </c>
      <c r="X30" s="1812"/>
      <c r="Y30" s="3199"/>
      <c r="Z30" s="1813" t="str">
        <f t="shared" si="15"/>
        <v>物业等级</v>
      </c>
      <c r="AA30" s="1810">
        <f t="shared" si="3"/>
        <v>1</v>
      </c>
      <c r="AB30" s="1810">
        <f t="shared" si="4"/>
        <v>1</v>
      </c>
      <c r="AC30" s="1810">
        <f t="shared" si="5"/>
        <v>1</v>
      </c>
    </row>
    <row r="31" spans="1:29" s="117"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99"/>
      <c r="Q31" s="1794" t="str">
        <f t="shared" si="11"/>
        <v>停车位面积</v>
      </c>
      <c r="R31" s="769" t="s">
        <v>17</v>
      </c>
      <c r="S31" s="770" t="e">
        <f t="shared" si="12"/>
        <v>#N/A</v>
      </c>
      <c r="T31" s="769" t="s">
        <v>17</v>
      </c>
      <c r="U31" s="770" t="e">
        <f t="shared" si="13"/>
        <v>#N/A</v>
      </c>
      <c r="V31" s="769" t="s">
        <v>17</v>
      </c>
      <c r="W31" s="770" t="e">
        <f t="shared" si="14"/>
        <v>#N/A</v>
      </c>
      <c r="X31" s="771"/>
      <c r="Y31" s="3199"/>
      <c r="Z31" s="55" t="str">
        <f t="shared" si="15"/>
        <v>停车位面积</v>
      </c>
      <c r="AA31" s="772" t="e">
        <f t="shared" si="3"/>
        <v>#N/A</v>
      </c>
      <c r="AB31" s="772" t="e">
        <f t="shared" si="4"/>
        <v>#N/A</v>
      </c>
      <c r="AC31" s="772"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99" t="s">
        <v>2558</v>
      </c>
      <c r="Q32" s="1809" t="str">
        <f t="shared" si="11"/>
        <v>车位类型</v>
      </c>
      <c r="R32" s="773" t="s">
        <v>17</v>
      </c>
      <c r="S32" s="774">
        <f t="shared" si="12"/>
        <v>100</v>
      </c>
      <c r="T32" s="773" t="s">
        <v>17</v>
      </c>
      <c r="U32" s="774">
        <f t="shared" si="13"/>
        <v>100</v>
      </c>
      <c r="V32" s="773" t="s">
        <v>17</v>
      </c>
      <c r="W32" s="774">
        <f t="shared" si="14"/>
        <v>100</v>
      </c>
      <c r="X32" s="1812"/>
      <c r="Y32" s="3199" t="s">
        <v>2558</v>
      </c>
      <c r="Z32" s="1813" t="str">
        <f t="shared" si="15"/>
        <v>车位类型</v>
      </c>
      <c r="AA32" s="1810">
        <f t="shared" si="3"/>
        <v>1</v>
      </c>
      <c r="AB32" s="1810">
        <f t="shared" si="4"/>
        <v>1</v>
      </c>
      <c r="AC32" s="1810">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99"/>
      <c r="Q33" s="1809" t="str">
        <f t="shared" si="11"/>
        <v>是否直接入户</v>
      </c>
      <c r="R33" s="773" t="s">
        <v>17</v>
      </c>
      <c r="S33" s="774">
        <f t="shared" si="12"/>
        <v>100</v>
      </c>
      <c r="T33" s="773" t="s">
        <v>17</v>
      </c>
      <c r="U33" s="774">
        <f t="shared" si="13"/>
        <v>100</v>
      </c>
      <c r="V33" s="773" t="s">
        <v>17</v>
      </c>
      <c r="W33" s="774">
        <f t="shared" si="14"/>
        <v>100</v>
      </c>
      <c r="X33" s="1812"/>
      <c r="Y33" s="3199"/>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99"/>
      <c r="Q34" s="1809">
        <f t="shared" si="11"/>
        <v>111</v>
      </c>
      <c r="R34" s="773" t="s">
        <v>17</v>
      </c>
      <c r="S34" s="774">
        <f t="shared" si="12"/>
        <v>100</v>
      </c>
      <c r="T34" s="773" t="s">
        <v>17</v>
      </c>
      <c r="U34" s="774">
        <f t="shared" si="13"/>
        <v>100</v>
      </c>
      <c r="V34" s="773" t="s">
        <v>17</v>
      </c>
      <c r="W34" s="774">
        <f t="shared" si="14"/>
        <v>100</v>
      </c>
      <c r="X34" s="1812"/>
      <c r="Y34" s="3199"/>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99"/>
      <c r="Q35" s="775">
        <f t="shared" si="11"/>
        <v>111</v>
      </c>
      <c r="R35" s="776" t="s">
        <v>17</v>
      </c>
      <c r="S35" s="777">
        <f t="shared" si="12"/>
        <v>100</v>
      </c>
      <c r="T35" s="776" t="s">
        <v>17</v>
      </c>
      <c r="U35" s="777">
        <f t="shared" si="13"/>
        <v>100</v>
      </c>
      <c r="V35" s="776" t="s">
        <v>17</v>
      </c>
      <c r="W35" s="777">
        <f t="shared" si="14"/>
        <v>100</v>
      </c>
      <c r="X35" s="778"/>
      <c r="Y35" s="3199"/>
      <c r="Z35" s="779">
        <f t="shared" si="15"/>
        <v>111</v>
      </c>
      <c r="AA35" s="1810">
        <f t="shared" si="3"/>
        <v>1</v>
      </c>
      <c r="AB35" s="1810">
        <f t="shared" si="4"/>
        <v>1</v>
      </c>
      <c r="AC35" s="1810">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99"/>
      <c r="Q36" s="1809">
        <f t="shared" si="11"/>
        <v>111</v>
      </c>
      <c r="R36" s="773" t="s">
        <v>17</v>
      </c>
      <c r="S36" s="774">
        <f t="shared" si="12"/>
        <v>100</v>
      </c>
      <c r="T36" s="773" t="s">
        <v>17</v>
      </c>
      <c r="U36" s="774">
        <f t="shared" si="13"/>
        <v>100</v>
      </c>
      <c r="V36" s="773" t="s">
        <v>17</v>
      </c>
      <c r="W36" s="774">
        <f t="shared" si="14"/>
        <v>100</v>
      </c>
      <c r="X36" s="1812"/>
      <c r="Y36" s="3199"/>
      <c r="Z36" s="1813">
        <f t="shared" si="15"/>
        <v>111</v>
      </c>
      <c r="AA36" s="1810">
        <f t="shared" si="3"/>
        <v>1</v>
      </c>
      <c r="AB36" s="1810">
        <f t="shared" si="4"/>
        <v>1</v>
      </c>
      <c r="AC36" s="1810">
        <f t="shared" si="5"/>
        <v>1</v>
      </c>
    </row>
    <row r="37" spans="1:29" ht="14.4">
      <c r="A37" s="478" t="s">
        <v>2713</v>
      </c>
      <c r="B37" s="2694" t="s">
        <v>2714</v>
      </c>
      <c r="C37" s="1406" t="s">
        <v>1</v>
      </c>
      <c r="D37" s="1407"/>
      <c r="E37" s="1408"/>
      <c r="F37" s="1409"/>
      <c r="G37" s="1410"/>
      <c r="H37" s="1411"/>
      <c r="I37" s="1408"/>
      <c r="J37" s="1411"/>
      <c r="K37" s="618"/>
      <c r="L37" s="1142"/>
      <c r="M37" s="1143"/>
      <c r="N37" s="1130"/>
      <c r="O37" s="1143"/>
      <c r="P37" s="3192" t="str">
        <f>A37</f>
        <v>成交单价</v>
      </c>
      <c r="Q37" s="3192"/>
      <c r="R37" s="3193">
        <f>E37</f>
        <v>0</v>
      </c>
      <c r="S37" s="3193"/>
      <c r="T37" s="3193">
        <f>G37</f>
        <v>0</v>
      </c>
      <c r="U37" s="3193"/>
      <c r="V37" s="3193">
        <f>I37</f>
        <v>0</v>
      </c>
      <c r="W37" s="3193"/>
      <c r="X37" s="758"/>
      <c r="Y37" s="780"/>
      <c r="Z37" s="758"/>
      <c r="AA37" s="758"/>
      <c r="AB37" s="758"/>
      <c r="AC37" s="758"/>
    </row>
    <row r="38" spans="1:29" ht="15" thickBot="1">
      <c r="A38" s="485" t="s">
        <v>2715</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92" t="str">
        <f>A38</f>
        <v>比较价值（元/平方米）</v>
      </c>
      <c r="Q38" s="3192"/>
      <c r="R38" s="3193" t="e">
        <f>IF(F1="售价",ROUND(PRODUCT(R37,AA7:AA36),0),ROUND(PRODUCT(R37,AA7:AA36),1))</f>
        <v>#DIV/0!</v>
      </c>
      <c r="S38" s="3193"/>
      <c r="T38" s="3193" t="e">
        <f>IF(F1="售价",ROUND(PRODUCT(T37,AB7:AB36),0),ROUND(PRODUCT(T37,AB7:AB36),1))</f>
        <v>#DIV/0!</v>
      </c>
      <c r="U38" s="3193"/>
      <c r="V38" s="3193" t="e">
        <f>IF(F1="售价",ROUND(PRODUCT(V37,AC7:AC36),0),ROUND(PRODUCT(V37,AC7:AC36),1))</f>
        <v>#DIV/0!</v>
      </c>
      <c r="W38" s="3193"/>
      <c r="X38" s="758"/>
      <c r="Y38" s="758"/>
      <c r="Z38" s="758"/>
      <c r="AA38" s="758"/>
      <c r="AB38" s="758"/>
      <c r="AC38" s="758"/>
    </row>
    <row r="39" spans="1:29" ht="15" thickBot="1">
      <c r="A39" s="491" t="s">
        <v>2716</v>
      </c>
      <c r="B39" s="492"/>
      <c r="C39" s="1416" t="e">
        <f>R39</f>
        <v>#DIV/0!</v>
      </c>
      <c r="D39" s="1416"/>
      <c r="E39" s="1416"/>
      <c r="F39" s="1416"/>
      <c r="G39" s="1416"/>
      <c r="H39" s="1416"/>
      <c r="I39" s="1416"/>
      <c r="J39" s="1416"/>
      <c r="K39" s="620"/>
      <c r="L39" s="1142"/>
      <c r="M39" s="1143"/>
      <c r="N39" s="1143"/>
      <c r="O39" s="1143"/>
      <c r="P39" s="3189" t="str">
        <f>A39</f>
        <v>估价对象XX用房的比较价值（楼面单价，元/平方米）</v>
      </c>
      <c r="Q39" s="3190"/>
      <c r="R39" s="3191" t="e">
        <f>IF(F1="售价",ROUND(AVERAGE(R38:V38),0),ROUND(AVERAGE(R38:V38),1))</f>
        <v>#DIV/0!</v>
      </c>
      <c r="S39" s="3191"/>
      <c r="T39" s="3191"/>
      <c r="U39" s="3191"/>
      <c r="V39" s="3191"/>
      <c r="W39" s="3191"/>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2721</v>
      </c>
      <c r="B48" s="505"/>
      <c r="C48" s="1573" t="str">
        <f>YEAR(C7)&amp;"-"&amp;MONTH(C7)</f>
        <v>2020-4</v>
      </c>
      <c r="D48" s="1574">
        <f>EDATE(C48,-1)</f>
        <v>43891</v>
      </c>
      <c r="E48" s="1574">
        <f t="shared" ref="E48:O48" si="16">EDATE(D48,-1)</f>
        <v>43862</v>
      </c>
      <c r="F48" s="1574">
        <f t="shared" si="16"/>
        <v>43831</v>
      </c>
      <c r="G48" s="1574">
        <f t="shared" si="16"/>
        <v>43800</v>
      </c>
      <c r="H48" s="1574">
        <f t="shared" si="16"/>
        <v>43770</v>
      </c>
      <c r="I48" s="1574">
        <f t="shared" si="16"/>
        <v>43739</v>
      </c>
      <c r="J48" s="1574">
        <f t="shared" si="16"/>
        <v>43709</v>
      </c>
      <c r="K48" s="1574">
        <f t="shared" si="16"/>
        <v>43678</v>
      </c>
      <c r="L48" s="1574">
        <f t="shared" si="16"/>
        <v>43647</v>
      </c>
      <c r="M48" s="1574">
        <f t="shared" si="16"/>
        <v>43617</v>
      </c>
      <c r="N48" s="1574">
        <f t="shared" si="16"/>
        <v>43586</v>
      </c>
      <c r="O48" s="1574">
        <f t="shared" si="16"/>
        <v>43556</v>
      </c>
      <c r="P48" s="1437"/>
      <c r="Q48" s="1438"/>
      <c r="R48" s="1438"/>
      <c r="S48" s="1438"/>
      <c r="T48" s="1438"/>
      <c r="U48" s="1438"/>
      <c r="V48" s="1438"/>
      <c r="W48" s="1438"/>
      <c r="X48" s="1438"/>
      <c r="Y48" s="1438"/>
      <c r="Z48" s="1438"/>
      <c r="AA48" s="1438"/>
      <c r="AB48" s="1438"/>
      <c r="AC48" s="1438"/>
    </row>
    <row r="49" spans="1:29" s="117"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 thickBot="1">
      <c r="A50" s="514" t="s">
        <v>2578</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4.4">
      <c r="A51" s="520" t="s">
        <v>2543</v>
      </c>
      <c r="B51" s="509"/>
      <c r="C51" s="521" t="s">
        <v>2645</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2581</v>
      </c>
      <c r="B53" s="527" t="s">
        <v>2547</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2550</v>
      </c>
      <c r="C55" s="538" t="s">
        <v>2582</v>
      </c>
      <c r="D55" s="538" t="s">
        <v>2583</v>
      </c>
      <c r="E55" s="538" t="s">
        <v>2584</v>
      </c>
      <c r="F55" s="538" t="s">
        <v>2585</v>
      </c>
      <c r="G55" s="538" t="s">
        <v>2586</v>
      </c>
      <c r="H55" s="538" t="s">
        <v>2587</v>
      </c>
      <c r="I55" s="538" t="s">
        <v>2588</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2596</v>
      </c>
      <c r="C65" s="577" t="s">
        <v>2590</v>
      </c>
      <c r="D65" s="577" t="s">
        <v>2591</v>
      </c>
      <c r="E65" s="577" t="s">
        <v>2592</v>
      </c>
      <c r="F65" s="577" t="s">
        <v>2593</v>
      </c>
      <c r="G65" s="577" t="s">
        <v>2594</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2682</v>
      </c>
      <c r="C67" s="659" t="s">
        <v>2668</v>
      </c>
      <c r="D67" s="659" t="s">
        <v>2669</v>
      </c>
      <c r="E67" s="659" t="s">
        <v>2670</v>
      </c>
      <c r="F67" s="659" t="s">
        <v>2671</v>
      </c>
      <c r="G67" s="659" t="s">
        <v>2672</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2602</v>
      </c>
      <c r="C69" s="577" t="s">
        <v>2590</v>
      </c>
      <c r="D69" s="577" t="s">
        <v>2591</v>
      </c>
      <c r="E69" s="577" t="s">
        <v>2592</v>
      </c>
      <c r="F69" s="577" t="s">
        <v>2593</v>
      </c>
      <c r="G69" s="577" t="s">
        <v>2594</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2722</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2556</v>
      </c>
      <c r="B79" s="527" t="s">
        <v>2723</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2724</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2609</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2726</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2728</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2729</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2700</v>
      </c>
      <c r="B1" s="1618"/>
      <c r="C1" s="1619" t="s">
        <v>2523</v>
      </c>
      <c r="D1" s="1620"/>
      <c r="E1" s="1629"/>
      <c r="F1" s="2583"/>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2320</v>
      </c>
      <c r="B2" s="1417" t="e">
        <f ca="1">IF(C2="——",ROUND(C37*D3/10000,0),ROUND(C37*D3/10000,0)-D2)</f>
        <v>#DIV/0!</v>
      </c>
      <c r="C2" s="2585"/>
      <c r="D2" s="1123" t="e">
        <f ca="1">SUMIF(INDIRECT("'"&amp;F2&amp;"'"&amp;"!A:A"),"承租人权益价值",INDIRECT("'"&amp;F2&amp;"'"&amp;"!c:c"))</f>
        <v>#REF!</v>
      </c>
      <c r="E2" s="2586" t="s">
        <v>2321</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2322</v>
      </c>
      <c r="B3" s="608" t="e">
        <f ca="1">IF(C2="——",C37,ROUND(B2*10000/D3,0))</f>
        <v>#DIV/0!</v>
      </c>
      <c r="C3" s="399" t="s">
        <v>2637</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2638</v>
      </c>
      <c r="B4" s="401"/>
      <c r="C4" s="3207" t="s">
        <v>2639</v>
      </c>
      <c r="D4" s="3208"/>
      <c r="E4" s="3209" t="s">
        <v>2640</v>
      </c>
      <c r="F4" s="3210"/>
      <c r="G4" s="3207" t="s">
        <v>2641</v>
      </c>
      <c r="H4" s="3208"/>
      <c r="I4" s="3207" t="s">
        <v>2642</v>
      </c>
      <c r="J4" s="3208"/>
      <c r="K4" s="609" t="s">
        <v>2643</v>
      </c>
      <c r="L4" s="1129"/>
      <c r="M4" s="1130"/>
      <c r="N4" s="1130"/>
      <c r="O4" s="1130"/>
      <c r="P4" s="3211" t="s">
        <v>2644</v>
      </c>
      <c r="Q4" s="3212"/>
      <c r="R4" s="3217" t="s">
        <v>2640</v>
      </c>
      <c r="S4" s="3218"/>
      <c r="T4" s="3217" t="s">
        <v>2641</v>
      </c>
      <c r="U4" s="3218"/>
      <c r="V4" s="3223" t="s">
        <v>2642</v>
      </c>
      <c r="W4" s="3223"/>
      <c r="X4" s="1812"/>
      <c r="Y4" s="3217" t="s">
        <v>2644</v>
      </c>
      <c r="Z4" s="3218"/>
      <c r="AA4" s="3204" t="s">
        <v>2640</v>
      </c>
      <c r="AB4" s="3205" t="s">
        <v>2641</v>
      </c>
      <c r="AC4" s="3204" t="s">
        <v>2642</v>
      </c>
    </row>
    <row r="5" spans="1:29">
      <c r="A5" s="403"/>
      <c r="B5" s="404"/>
      <c r="C5" s="3226" t="s">
        <v>2535</v>
      </c>
      <c r="D5" s="3227"/>
      <c r="E5" s="3233" t="s">
        <v>2536</v>
      </c>
      <c r="F5" s="3234"/>
      <c r="G5" s="3226" t="s">
        <v>2537</v>
      </c>
      <c r="H5" s="3227"/>
      <c r="I5" s="3226" t="s">
        <v>2538</v>
      </c>
      <c r="J5" s="3227"/>
      <c r="K5" s="609"/>
      <c r="L5" s="1129"/>
      <c r="M5" s="1130"/>
      <c r="N5" s="1130"/>
      <c r="O5" s="1130"/>
      <c r="P5" s="3213"/>
      <c r="Q5" s="3214"/>
      <c r="R5" s="3219"/>
      <c r="S5" s="3220"/>
      <c r="T5" s="3219"/>
      <c r="U5" s="3220"/>
      <c r="V5" s="3223"/>
      <c r="W5" s="3223"/>
      <c r="X5" s="1812"/>
      <c r="Y5" s="3219"/>
      <c r="Z5" s="3220"/>
      <c r="AA5" s="3205"/>
      <c r="AB5" s="3205"/>
      <c r="AC5" s="3205"/>
    </row>
    <row r="6" spans="1:29" ht="15" thickBot="1">
      <c r="A6" s="405"/>
      <c r="B6" s="406"/>
      <c r="C6" s="3224" t="s">
        <v>2539</v>
      </c>
      <c r="D6" s="3225"/>
      <c r="E6" s="3231" t="s">
        <v>2539</v>
      </c>
      <c r="F6" s="3232"/>
      <c r="G6" s="3224" t="s">
        <v>2539</v>
      </c>
      <c r="H6" s="3225"/>
      <c r="I6" s="3224" t="s">
        <v>2539</v>
      </c>
      <c r="J6" s="3225"/>
      <c r="K6" s="609" t="s">
        <v>2540</v>
      </c>
      <c r="L6" s="1129"/>
      <c r="M6" s="1130"/>
      <c r="N6" s="1130"/>
      <c r="O6" s="1130"/>
      <c r="P6" s="3215"/>
      <c r="Q6" s="3216"/>
      <c r="R6" s="3219"/>
      <c r="S6" s="3220"/>
      <c r="T6" s="3221"/>
      <c r="U6" s="3222"/>
      <c r="V6" s="3223"/>
      <c r="W6" s="3223"/>
      <c r="X6" s="1812"/>
      <c r="Y6" s="3221"/>
      <c r="Z6" s="3222"/>
      <c r="AA6" s="3206"/>
      <c r="AB6" s="3206"/>
      <c r="AC6" s="3206"/>
    </row>
    <row r="7" spans="1:29" s="117" customFormat="1" ht="15" thickBot="1">
      <c r="A7" s="407" t="s">
        <v>2541</v>
      </c>
      <c r="B7" s="408"/>
      <c r="C7" s="409">
        <f>'数据-取费表'!B2</f>
        <v>43942</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228" t="s">
        <v>2542</v>
      </c>
      <c r="Q7" s="3230"/>
      <c r="R7" s="769" t="s">
        <v>17</v>
      </c>
      <c r="S7" s="770">
        <f t="shared" ref="S7:S14" si="0">F7</f>
        <v>0</v>
      </c>
      <c r="T7" s="769" t="s">
        <v>17</v>
      </c>
      <c r="U7" s="770">
        <f t="shared" ref="U7:U14" si="1">H7</f>
        <v>0</v>
      </c>
      <c r="V7" s="769" t="s">
        <v>17</v>
      </c>
      <c r="W7" s="770">
        <f t="shared" ref="W7:W14" si="2">J7</f>
        <v>0</v>
      </c>
      <c r="X7" s="771"/>
      <c r="Y7" s="3228" t="s">
        <v>2542</v>
      </c>
      <c r="Z7" s="3229"/>
      <c r="AA7" s="772" t="e">
        <f>D7/F7</f>
        <v>#DIV/0!</v>
      </c>
      <c r="AB7" s="772" t="e">
        <f>D7/H7</f>
        <v>#DIV/0!</v>
      </c>
      <c r="AC7" s="772" t="e">
        <f>D7/J7</f>
        <v>#DIV/0!</v>
      </c>
    </row>
    <row r="8" spans="1:29" s="117" customFormat="1" ht="1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28" t="s">
        <v>2545</v>
      </c>
      <c r="Q8" s="3229"/>
      <c r="R8" s="769" t="s">
        <v>17</v>
      </c>
      <c r="S8" s="770">
        <f t="shared" si="0"/>
        <v>0</v>
      </c>
      <c r="T8" s="769" t="s">
        <v>17</v>
      </c>
      <c r="U8" s="770">
        <f t="shared" si="1"/>
        <v>0</v>
      </c>
      <c r="V8" s="769" t="s">
        <v>17</v>
      </c>
      <c r="W8" s="770">
        <f t="shared" si="2"/>
        <v>0</v>
      </c>
      <c r="X8" s="771"/>
      <c r="Y8" s="3228" t="s">
        <v>2545</v>
      </c>
      <c r="Z8" s="3229"/>
      <c r="AA8" s="772" t="e">
        <f t="shared" ref="AA8:AA34" si="3">D8/F8</f>
        <v>#DIV/0!</v>
      </c>
      <c r="AB8" s="772" t="e">
        <f t="shared" ref="AB8:AB34" si="4">D8/H8</f>
        <v>#DIV/0!</v>
      </c>
      <c r="AC8" s="772" t="e">
        <f t="shared" ref="AC8:AC34" si="5">D8/J8</f>
        <v>#DIV/0!</v>
      </c>
    </row>
    <row r="9" spans="1:29" s="117" customFormat="1" ht="14.4">
      <c r="A9" s="414" t="s">
        <v>2546</v>
      </c>
      <c r="B9" s="71" t="s">
        <v>2547</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92" t="s">
        <v>2548</v>
      </c>
      <c r="Q9" s="1794" t="str">
        <f t="shared" ref="Q9:Q14" si="6">B9</f>
        <v>用途</v>
      </c>
      <c r="R9" s="769" t="s">
        <v>17</v>
      </c>
      <c r="S9" s="770">
        <f t="shared" si="0"/>
        <v>100</v>
      </c>
      <c r="T9" s="769" t="s">
        <v>17</v>
      </c>
      <c r="U9" s="770">
        <f t="shared" si="1"/>
        <v>100</v>
      </c>
      <c r="V9" s="769" t="s">
        <v>17</v>
      </c>
      <c r="W9" s="770">
        <f t="shared" si="2"/>
        <v>100</v>
      </c>
      <c r="X9" s="771"/>
      <c r="Y9" s="3017" t="s">
        <v>2549</v>
      </c>
      <c r="Z9" s="55" t="str">
        <f t="shared" ref="Z9:Z14" si="7">Q9</f>
        <v>用途</v>
      </c>
      <c r="AA9" s="772">
        <f t="shared" si="3"/>
        <v>1</v>
      </c>
      <c r="AB9" s="772">
        <f t="shared" si="4"/>
        <v>1</v>
      </c>
      <c r="AC9" s="772">
        <f t="shared" si="5"/>
        <v>1</v>
      </c>
    </row>
    <row r="10" spans="1:29" s="426" customFormat="1" ht="28.8">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92"/>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92"/>
      <c r="Q11" s="1794">
        <f t="shared" si="6"/>
        <v>111</v>
      </c>
      <c r="R11" s="769" t="s">
        <v>17</v>
      </c>
      <c r="S11" s="770">
        <f t="shared" si="0"/>
        <v>100</v>
      </c>
      <c r="T11" s="769" t="s">
        <v>17</v>
      </c>
      <c r="U11" s="770">
        <f t="shared" si="1"/>
        <v>100</v>
      </c>
      <c r="V11" s="769" t="s">
        <v>17</v>
      </c>
      <c r="W11" s="770">
        <f t="shared" si="2"/>
        <v>100</v>
      </c>
      <c r="X11" s="771"/>
      <c r="Y11" s="3017"/>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92"/>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6"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192"/>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96.6">
      <c r="A14" s="439" t="s">
        <v>2552</v>
      </c>
      <c r="B14" s="69" t="s">
        <v>2702</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94" t="s">
        <v>2553</v>
      </c>
      <c r="Q14" s="1809" t="str">
        <f t="shared" si="6"/>
        <v>交通便捷度</v>
      </c>
      <c r="R14" s="773" t="s">
        <v>17</v>
      </c>
      <c r="S14" s="774">
        <f t="shared" si="0"/>
        <v>100</v>
      </c>
      <c r="T14" s="773" t="s">
        <v>17</v>
      </c>
      <c r="U14" s="774">
        <f t="shared" si="1"/>
        <v>100</v>
      </c>
      <c r="V14" s="773" t="s">
        <v>17</v>
      </c>
      <c r="W14" s="774">
        <f t="shared" si="2"/>
        <v>100</v>
      </c>
      <c r="X14" s="1812"/>
      <c r="Y14" s="3194" t="s">
        <v>2553</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95"/>
      <c r="Q15" s="1809"/>
      <c r="R15" s="773"/>
      <c r="S15" s="774"/>
      <c r="T15" s="773"/>
      <c r="U15" s="774"/>
      <c r="V15" s="773"/>
      <c r="W15" s="774"/>
      <c r="X15" s="1812"/>
      <c r="Y15" s="3195"/>
      <c r="Z15" s="1813"/>
      <c r="AA15" s="1810">
        <v>1</v>
      </c>
      <c r="AB15" s="1810">
        <v>1</v>
      </c>
      <c r="AC15" s="1810">
        <v>1</v>
      </c>
    </row>
    <row r="16" spans="1:29" ht="41.4">
      <c r="A16" s="427"/>
      <c r="B16" s="450" t="s">
        <v>2681</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95"/>
      <c r="Q16" s="1809" t="str">
        <f>B16</f>
        <v>公共配套设施</v>
      </c>
      <c r="R16" s="773" t="s">
        <v>17</v>
      </c>
      <c r="S16" s="774">
        <f>F16</f>
        <v>100</v>
      </c>
      <c r="T16" s="773" t="s">
        <v>17</v>
      </c>
      <c r="U16" s="774">
        <f>H16</f>
        <v>100</v>
      </c>
      <c r="V16" s="773" t="s">
        <v>17</v>
      </c>
      <c r="W16" s="774">
        <f>J16</f>
        <v>100</v>
      </c>
      <c r="X16" s="1812"/>
      <c r="Y16" s="3195"/>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195"/>
      <c r="Q17" s="1809"/>
      <c r="R17" s="773"/>
      <c r="S17" s="774"/>
      <c r="T17" s="773"/>
      <c r="U17" s="774"/>
      <c r="V17" s="773"/>
      <c r="W17" s="774"/>
      <c r="X17" s="1812"/>
      <c r="Y17" s="3195"/>
      <c r="Z17" s="1813"/>
      <c r="AA17" s="1810">
        <v>1</v>
      </c>
      <c r="AB17" s="1810">
        <v>1</v>
      </c>
      <c r="AC17" s="1810">
        <v>1</v>
      </c>
    </row>
    <row r="18" spans="1:29" ht="41.4">
      <c r="A18" s="427"/>
      <c r="B18" s="1383" t="s">
        <v>2682</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95"/>
      <c r="Q18" s="1809" t="str">
        <f>B18</f>
        <v>基础设施水平</v>
      </c>
      <c r="R18" s="773" t="s">
        <v>17</v>
      </c>
      <c r="S18" s="774">
        <f>F18</f>
        <v>100</v>
      </c>
      <c r="T18" s="773" t="s">
        <v>17</v>
      </c>
      <c r="U18" s="774">
        <f>H18</f>
        <v>100</v>
      </c>
      <c r="V18" s="773" t="s">
        <v>17</v>
      </c>
      <c r="W18" s="774">
        <f>J18</f>
        <v>100</v>
      </c>
      <c r="X18" s="1812"/>
      <c r="Y18" s="3195"/>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195"/>
      <c r="Q19" s="1809"/>
      <c r="R19" s="773"/>
      <c r="S19" s="774"/>
      <c r="T19" s="773"/>
      <c r="U19" s="774"/>
      <c r="V19" s="773"/>
      <c r="W19" s="774"/>
      <c r="X19" s="1812"/>
      <c r="Y19" s="3195"/>
      <c r="Z19" s="1813"/>
      <c r="AA19" s="1810">
        <v>1</v>
      </c>
      <c r="AB19" s="1810">
        <v>1</v>
      </c>
      <c r="AC19" s="1810">
        <v>1</v>
      </c>
    </row>
    <row r="20" spans="1:29" ht="55.2">
      <c r="A20" s="427"/>
      <c r="B20" s="450" t="s">
        <v>2703</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95"/>
      <c r="Q20" s="1809" t="str">
        <f>B20</f>
        <v>自然及人文环境</v>
      </c>
      <c r="R20" s="773" t="s">
        <v>17</v>
      </c>
      <c r="S20" s="774">
        <f>F20</f>
        <v>100</v>
      </c>
      <c r="T20" s="773" t="s">
        <v>17</v>
      </c>
      <c r="U20" s="774">
        <f>H20</f>
        <v>100</v>
      </c>
      <c r="V20" s="773" t="s">
        <v>17</v>
      </c>
      <c r="W20" s="774">
        <f>J20</f>
        <v>100</v>
      </c>
      <c r="X20" s="1812"/>
      <c r="Y20" s="3195"/>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95"/>
      <c r="Q21" s="1809"/>
      <c r="R21" s="773"/>
      <c r="S21" s="774"/>
      <c r="T21" s="773"/>
      <c r="U21" s="774"/>
      <c r="V21" s="773"/>
      <c r="W21" s="774"/>
      <c r="X21" s="1812"/>
      <c r="Y21" s="3195"/>
      <c r="Z21" s="1813"/>
      <c r="AA21" s="1810">
        <v>1</v>
      </c>
      <c r="AB21" s="1810">
        <v>1</v>
      </c>
      <c r="AC21" s="1810">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95"/>
      <c r="Q22" s="1809" t="str">
        <f>B22</f>
        <v>楼层</v>
      </c>
      <c r="R22" s="773" t="s">
        <v>17</v>
      </c>
      <c r="S22" s="774">
        <f>F22</f>
        <v>100</v>
      </c>
      <c r="T22" s="773" t="s">
        <v>17</v>
      </c>
      <c r="U22" s="774">
        <f>H22</f>
        <v>100</v>
      </c>
      <c r="V22" s="773" t="s">
        <v>17</v>
      </c>
      <c r="W22" s="774">
        <f>J22</f>
        <v>100</v>
      </c>
      <c r="X22" s="1812"/>
      <c r="Y22" s="3195"/>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95"/>
      <c r="Q23" s="1809">
        <f>B23</f>
        <v>111</v>
      </c>
      <c r="R23" s="773" t="s">
        <v>17</v>
      </c>
      <c r="S23" s="774">
        <f>F23</f>
        <v>100</v>
      </c>
      <c r="T23" s="773" t="s">
        <v>17</v>
      </c>
      <c r="U23" s="774">
        <f>H23</f>
        <v>100</v>
      </c>
      <c r="V23" s="773" t="s">
        <v>17</v>
      </c>
      <c r="W23" s="774">
        <f>J23</f>
        <v>100</v>
      </c>
      <c r="X23" s="1812"/>
      <c r="Y23" s="3195"/>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95"/>
      <c r="Q24" s="1809">
        <f t="shared" ref="Q24:Q34" si="11">B24</f>
        <v>111</v>
      </c>
      <c r="R24" s="773" t="s">
        <v>17</v>
      </c>
      <c r="S24" s="774">
        <f>F24</f>
        <v>100</v>
      </c>
      <c r="T24" s="773" t="s">
        <v>17</v>
      </c>
      <c r="U24" s="774">
        <f>H24</f>
        <v>100</v>
      </c>
      <c r="V24" s="773" t="s">
        <v>17</v>
      </c>
      <c r="W24" s="774">
        <f>J24</f>
        <v>100</v>
      </c>
      <c r="X24" s="1812"/>
      <c r="Y24" s="3195"/>
      <c r="Z24" s="1813">
        <f>Q24</f>
        <v>111</v>
      </c>
      <c r="AA24" s="1810">
        <f t="shared" si="3"/>
        <v>1</v>
      </c>
      <c r="AB24" s="1810">
        <f t="shared" si="4"/>
        <v>1</v>
      </c>
      <c r="AC24" s="1810">
        <f t="shared" si="5"/>
        <v>1</v>
      </c>
    </row>
    <row r="25" spans="1:29" s="117" customFormat="1" ht="15.6"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195"/>
      <c r="Q25" s="1794">
        <f t="shared" si="11"/>
        <v>111</v>
      </c>
      <c r="R25" s="769" t="s">
        <v>17</v>
      </c>
      <c r="S25" s="770">
        <f>F25</f>
        <v>100</v>
      </c>
      <c r="T25" s="769" t="s">
        <v>17</v>
      </c>
      <c r="U25" s="770">
        <f>H25</f>
        <v>100</v>
      </c>
      <c r="V25" s="769" t="s">
        <v>17</v>
      </c>
      <c r="W25" s="770">
        <f>J25</f>
        <v>100</v>
      </c>
      <c r="X25" s="771"/>
      <c r="Y25" s="3195"/>
      <c r="Z25" s="55">
        <f>Q25</f>
        <v>111</v>
      </c>
      <c r="AA25" s="1810">
        <f>D25/F25</f>
        <v>1</v>
      </c>
      <c r="AB25" s="1810">
        <f>D25/H25</f>
        <v>1</v>
      </c>
      <c r="AC25" s="1810">
        <f>D25/J25</f>
        <v>1</v>
      </c>
    </row>
    <row r="26" spans="1:29" ht="30">
      <c r="A26" s="465" t="s">
        <v>2556</v>
      </c>
      <c r="B26" s="71" t="s">
        <v>2707</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250" t="s">
        <v>2558</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99" t="s">
        <v>2558</v>
      </c>
      <c r="Z26" s="1813" t="str">
        <f t="shared" ref="Z26:Z34" si="15">Q26</f>
        <v>公共部分装修</v>
      </c>
      <c r="AA26" s="1810">
        <f t="shared" si="3"/>
        <v>1</v>
      </c>
      <c r="AB26" s="1810">
        <f t="shared" si="4"/>
        <v>1</v>
      </c>
      <c r="AC26" s="1810">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99"/>
      <c r="Q27" s="775" t="str">
        <f t="shared" si="11"/>
        <v>成新率</v>
      </c>
      <c r="R27" s="776" t="s">
        <v>17</v>
      </c>
      <c r="S27" s="777" t="e">
        <f t="shared" si="12"/>
        <v>#N/A</v>
      </c>
      <c r="T27" s="776" t="s">
        <v>17</v>
      </c>
      <c r="U27" s="777" t="e">
        <f t="shared" si="13"/>
        <v>#N/A</v>
      </c>
      <c r="V27" s="776" t="s">
        <v>17</v>
      </c>
      <c r="W27" s="777" t="e">
        <f t="shared" si="14"/>
        <v>#N/A</v>
      </c>
      <c r="X27" s="778"/>
      <c r="Y27" s="3199"/>
      <c r="Z27" s="779" t="str">
        <f t="shared" si="15"/>
        <v>成新率</v>
      </c>
      <c r="AA27" s="1810" t="e">
        <f t="shared" si="3"/>
        <v>#N/A</v>
      </c>
      <c r="AB27" s="1810" t="e">
        <f t="shared" si="4"/>
        <v>#N/A</v>
      </c>
      <c r="AC27" s="1810"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99"/>
      <c r="Q28" s="1809" t="str">
        <f t="shared" si="11"/>
        <v>物业等级</v>
      </c>
      <c r="R28" s="773" t="s">
        <v>17</v>
      </c>
      <c r="S28" s="774">
        <f t="shared" si="12"/>
        <v>100</v>
      </c>
      <c r="T28" s="773" t="s">
        <v>17</v>
      </c>
      <c r="U28" s="774">
        <f t="shared" si="13"/>
        <v>100</v>
      </c>
      <c r="V28" s="773" t="s">
        <v>17</v>
      </c>
      <c r="W28" s="774">
        <f t="shared" si="14"/>
        <v>100</v>
      </c>
      <c r="X28" s="1812"/>
      <c r="Y28" s="3199"/>
      <c r="Z28" s="1813" t="str">
        <f t="shared" si="15"/>
        <v>物业等级</v>
      </c>
      <c r="AA28" s="1810">
        <f t="shared" si="3"/>
        <v>1</v>
      </c>
      <c r="AB28" s="1810">
        <f t="shared" si="4"/>
        <v>1</v>
      </c>
      <c r="AC28" s="1810">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99"/>
      <c r="Q29" s="1809" t="str">
        <f t="shared" si="11"/>
        <v>有无电梯</v>
      </c>
      <c r="R29" s="773" t="s">
        <v>17</v>
      </c>
      <c r="S29" s="774">
        <f t="shared" si="12"/>
        <v>100</v>
      </c>
      <c r="T29" s="773" t="s">
        <v>17</v>
      </c>
      <c r="U29" s="774">
        <f t="shared" si="13"/>
        <v>100</v>
      </c>
      <c r="V29" s="773" t="s">
        <v>17</v>
      </c>
      <c r="W29" s="774">
        <f t="shared" si="14"/>
        <v>100</v>
      </c>
      <c r="X29" s="1812"/>
      <c r="Y29" s="3199"/>
      <c r="Z29" s="1813" t="str">
        <f t="shared" si="15"/>
        <v>有无电梯</v>
      </c>
      <c r="AA29" s="1810">
        <f t="shared" si="3"/>
        <v>1</v>
      </c>
      <c r="AB29" s="1810">
        <f t="shared" si="4"/>
        <v>1</v>
      </c>
      <c r="AC29" s="1810">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99"/>
      <c r="Q30" s="1809" t="str">
        <f t="shared" si="11"/>
        <v>建筑面积</v>
      </c>
      <c r="R30" s="773" t="s">
        <v>17</v>
      </c>
      <c r="S30" s="774" t="e">
        <f t="shared" si="12"/>
        <v>#N/A</v>
      </c>
      <c r="T30" s="773" t="s">
        <v>17</v>
      </c>
      <c r="U30" s="774" t="e">
        <f t="shared" si="13"/>
        <v>#N/A</v>
      </c>
      <c r="V30" s="773" t="s">
        <v>17</v>
      </c>
      <c r="W30" s="774" t="e">
        <f t="shared" si="14"/>
        <v>#N/A</v>
      </c>
      <c r="X30" s="1812"/>
      <c r="Y30" s="3199"/>
      <c r="Z30" s="1813" t="str">
        <f t="shared" si="15"/>
        <v>建筑面积</v>
      </c>
      <c r="AA30" s="1810" t="e">
        <f t="shared" si="3"/>
        <v>#N/A</v>
      </c>
      <c r="AB30" s="1810" t="e">
        <f t="shared" si="4"/>
        <v>#N/A</v>
      </c>
      <c r="AC30" s="1810" t="e">
        <f t="shared" si="5"/>
        <v>#N/A</v>
      </c>
    </row>
    <row r="31" spans="1:29" s="117"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99"/>
      <c r="Q31" s="1794" t="str">
        <f t="shared" si="11"/>
        <v>是否封闭</v>
      </c>
      <c r="R31" s="769" t="s">
        <v>17</v>
      </c>
      <c r="S31" s="770">
        <f t="shared" si="12"/>
        <v>100</v>
      </c>
      <c r="T31" s="769" t="s">
        <v>17</v>
      </c>
      <c r="U31" s="770">
        <f t="shared" si="13"/>
        <v>100</v>
      </c>
      <c r="V31" s="769" t="s">
        <v>17</v>
      </c>
      <c r="W31" s="770">
        <f t="shared" si="14"/>
        <v>100</v>
      </c>
      <c r="X31" s="771"/>
      <c r="Y31" s="3199"/>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99" t="s">
        <v>2558</v>
      </c>
      <c r="Q32" s="1809">
        <f t="shared" si="11"/>
        <v>111</v>
      </c>
      <c r="R32" s="773" t="s">
        <v>17</v>
      </c>
      <c r="S32" s="774">
        <f t="shared" si="12"/>
        <v>100</v>
      </c>
      <c r="T32" s="773" t="s">
        <v>17</v>
      </c>
      <c r="U32" s="774">
        <f t="shared" si="13"/>
        <v>100</v>
      </c>
      <c r="V32" s="773" t="s">
        <v>17</v>
      </c>
      <c r="W32" s="774">
        <f t="shared" si="14"/>
        <v>100</v>
      </c>
      <c r="X32" s="1812"/>
      <c r="Y32" s="3199" t="s">
        <v>2558</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99"/>
      <c r="Q33" s="1809">
        <f t="shared" si="11"/>
        <v>111</v>
      </c>
      <c r="R33" s="773" t="s">
        <v>17</v>
      </c>
      <c r="S33" s="774">
        <f t="shared" si="12"/>
        <v>100</v>
      </c>
      <c r="T33" s="773" t="s">
        <v>17</v>
      </c>
      <c r="U33" s="774">
        <f t="shared" si="13"/>
        <v>100</v>
      </c>
      <c r="V33" s="773" t="s">
        <v>17</v>
      </c>
      <c r="W33" s="774">
        <f t="shared" si="14"/>
        <v>100</v>
      </c>
      <c r="X33" s="1812"/>
      <c r="Y33" s="3199"/>
      <c r="Z33" s="1813">
        <f t="shared" si="15"/>
        <v>111</v>
      </c>
      <c r="AA33" s="1810">
        <f t="shared" si="3"/>
        <v>1</v>
      </c>
      <c r="AB33" s="1810">
        <f t="shared" si="4"/>
        <v>1</v>
      </c>
      <c r="AC33" s="1810">
        <f t="shared" si="5"/>
        <v>1</v>
      </c>
    </row>
    <row r="34" spans="1:29" ht="15.6"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199"/>
      <c r="Q34" s="1809">
        <f t="shared" si="11"/>
        <v>111</v>
      </c>
      <c r="R34" s="773" t="s">
        <v>17</v>
      </c>
      <c r="S34" s="774">
        <f t="shared" si="12"/>
        <v>100</v>
      </c>
      <c r="T34" s="773" t="s">
        <v>17</v>
      </c>
      <c r="U34" s="774">
        <f t="shared" si="13"/>
        <v>100</v>
      </c>
      <c r="V34" s="773" t="s">
        <v>17</v>
      </c>
      <c r="W34" s="774">
        <f t="shared" si="14"/>
        <v>100</v>
      </c>
      <c r="X34" s="1812"/>
      <c r="Y34" s="3199"/>
      <c r="Z34" s="1813">
        <f t="shared" si="15"/>
        <v>111</v>
      </c>
      <c r="AA34" s="1810">
        <f t="shared" si="3"/>
        <v>1</v>
      </c>
      <c r="AB34" s="1810">
        <f t="shared" si="4"/>
        <v>1</v>
      </c>
      <c r="AC34" s="1810">
        <f t="shared" si="5"/>
        <v>1</v>
      </c>
    </row>
    <row r="35" spans="1:29" ht="14.4">
      <c r="A35" s="478" t="s">
        <v>2570</v>
      </c>
      <c r="B35" s="479"/>
      <c r="C35" s="1406" t="s">
        <v>1</v>
      </c>
      <c r="D35" s="1407"/>
      <c r="E35" s="1408"/>
      <c r="F35" s="1409"/>
      <c r="G35" s="1410"/>
      <c r="H35" s="1411"/>
      <c r="I35" s="1408"/>
      <c r="J35" s="1411"/>
      <c r="K35" s="782"/>
      <c r="L35" s="1142"/>
      <c r="M35" s="1143"/>
      <c r="N35" s="1130"/>
      <c r="O35" s="1143"/>
      <c r="P35" s="3192" t="str">
        <f>A35</f>
        <v>成交单价（元/平方米）</v>
      </c>
      <c r="Q35" s="3192"/>
      <c r="R35" s="3193">
        <f>E35</f>
        <v>0</v>
      </c>
      <c r="S35" s="3193"/>
      <c r="T35" s="3193">
        <f>G35</f>
        <v>0</v>
      </c>
      <c r="U35" s="3193"/>
      <c r="V35" s="3193">
        <f>I35</f>
        <v>0</v>
      </c>
      <c r="W35" s="3193"/>
      <c r="X35" s="758"/>
      <c r="Y35" s="780"/>
      <c r="Z35" s="758"/>
      <c r="AA35" s="758"/>
      <c r="AB35" s="758"/>
      <c r="AC35" s="758"/>
    </row>
    <row r="36" spans="1:29" ht="15" thickBot="1">
      <c r="A36" s="485" t="s">
        <v>2662</v>
      </c>
      <c r="B36" s="486"/>
      <c r="C36" s="1412" t="e">
        <f>R37</f>
        <v>#DIV/0!</v>
      </c>
      <c r="D36" s="1413"/>
      <c r="E36" s="1414" t="e">
        <f>R36</f>
        <v>#DIV/0!</v>
      </c>
      <c r="F36" s="1414"/>
      <c r="G36" s="1412" t="e">
        <f>T36</f>
        <v>#DIV/0!</v>
      </c>
      <c r="H36" s="1413"/>
      <c r="I36" s="1414" t="e">
        <f>V36</f>
        <v>#DIV/0!</v>
      </c>
      <c r="J36" s="1413"/>
      <c r="K36" s="783"/>
      <c r="L36" s="1142"/>
      <c r="M36" s="1143"/>
      <c r="N36" s="1130"/>
      <c r="O36" s="1143"/>
      <c r="P36" s="3192" t="str">
        <f>A36</f>
        <v>比较价值（元/平方米）</v>
      </c>
      <c r="Q36" s="3192"/>
      <c r="R36" s="3193" t="e">
        <f>IF(F1="售价",ROUND(PRODUCT(R35,AA7:AA34),0),ROUND(PRODUCT(R35,AA7:AA34),1))</f>
        <v>#DIV/0!</v>
      </c>
      <c r="S36" s="3193"/>
      <c r="T36" s="3193" t="e">
        <f>IF(F1="售价",ROUND(PRODUCT(T35,AB7:AB34),0),ROUND(PRODUCT(T35,AB7:AB34),1))</f>
        <v>#DIV/0!</v>
      </c>
      <c r="U36" s="3193"/>
      <c r="V36" s="3193" t="e">
        <f>IF(F1="售价",ROUND(PRODUCT(V35,AC7:AC34),0),ROUND(PRODUCT(V35,AC7:AC34),1))</f>
        <v>#DIV/0!</v>
      </c>
      <c r="W36" s="3193"/>
      <c r="X36" s="758"/>
      <c r="Y36" s="758"/>
      <c r="Z36" s="758"/>
      <c r="AA36" s="758"/>
      <c r="AB36" s="758"/>
      <c r="AC36" s="758"/>
    </row>
    <row r="37" spans="1:29" ht="15" thickBot="1">
      <c r="A37" s="491" t="s">
        <v>2663</v>
      </c>
      <c r="B37" s="492"/>
      <c r="C37" s="1416" t="e">
        <f>R37</f>
        <v>#DIV/0!</v>
      </c>
      <c r="D37" s="1416"/>
      <c r="E37" s="1416"/>
      <c r="F37" s="1416"/>
      <c r="G37" s="1416"/>
      <c r="H37" s="1416"/>
      <c r="I37" s="1416"/>
      <c r="J37" s="1416"/>
      <c r="K37" s="784"/>
      <c r="L37" s="1142"/>
      <c r="M37" s="1143"/>
      <c r="N37" s="1143"/>
      <c r="O37" s="1143"/>
      <c r="P37" s="3189" t="str">
        <f>A37</f>
        <v>估价对象XX用房的比较价值（楼面单价，元/平方米）</v>
      </c>
      <c r="Q37" s="3190"/>
      <c r="R37" s="3191" t="e">
        <f>IF(F1="售价",ROUND(AVERAGE(R36:V36),0),ROUND(AVERAGE(R36:V36),1))</f>
        <v>#DIV/0!</v>
      </c>
      <c r="S37" s="3191"/>
      <c r="T37" s="3191"/>
      <c r="U37" s="3191"/>
      <c r="V37" s="3191"/>
      <c r="W37" s="3191"/>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2667</v>
      </c>
      <c r="B45" s="758"/>
      <c r="C45" s="763"/>
      <c r="D45" s="763"/>
      <c r="E45" s="763"/>
      <c r="F45" s="764"/>
      <c r="G45" s="764"/>
      <c r="H45" s="763"/>
      <c r="I45" s="763"/>
      <c r="J45" s="763"/>
      <c r="K45" s="765"/>
      <c r="L45" s="766"/>
      <c r="M45" s="763"/>
      <c r="N45" s="763"/>
      <c r="O45" s="763"/>
      <c r="P45" s="502"/>
      <c r="Q45" s="503"/>
    </row>
    <row r="46" spans="1:29" s="507" customFormat="1" ht="14.4">
      <c r="A46" s="504" t="s">
        <v>2541</v>
      </c>
      <c r="B46" s="505"/>
      <c r="C46" s="1573" t="str">
        <f>YEAR(C7)&amp;"-"&amp;MONTH(C7)</f>
        <v>2020-4</v>
      </c>
      <c r="D46" s="1574">
        <f>EDATE(C46,-1)</f>
        <v>43891</v>
      </c>
      <c r="E46" s="1574">
        <f t="shared" ref="E46:O46" si="16">EDATE(D46,-1)</f>
        <v>43862</v>
      </c>
      <c r="F46" s="1574">
        <f t="shared" si="16"/>
        <v>43831</v>
      </c>
      <c r="G46" s="1574">
        <f t="shared" si="16"/>
        <v>43800</v>
      </c>
      <c r="H46" s="1574">
        <f t="shared" si="16"/>
        <v>43770</v>
      </c>
      <c r="I46" s="1574">
        <f t="shared" si="16"/>
        <v>43739</v>
      </c>
      <c r="J46" s="1574">
        <f t="shared" si="16"/>
        <v>43709</v>
      </c>
      <c r="K46" s="1574">
        <f t="shared" si="16"/>
        <v>43678</v>
      </c>
      <c r="L46" s="1574">
        <f t="shared" si="16"/>
        <v>43647</v>
      </c>
      <c r="M46" s="1574">
        <f t="shared" si="16"/>
        <v>43617</v>
      </c>
      <c r="N46" s="1574">
        <f t="shared" si="16"/>
        <v>43586</v>
      </c>
      <c r="O46" s="1574">
        <f t="shared" si="16"/>
        <v>43556</v>
      </c>
      <c r="P46" s="506"/>
    </row>
    <row r="47" spans="1:29" s="117" customFormat="1">
      <c r="A47" s="508"/>
      <c r="B47" s="509"/>
      <c r="C47" s="1572">
        <v>100</v>
      </c>
      <c r="D47" s="511"/>
      <c r="E47" s="511"/>
      <c r="F47" s="511"/>
      <c r="G47" s="511"/>
      <c r="H47" s="511"/>
      <c r="I47" s="511"/>
      <c r="J47" s="511"/>
      <c r="K47" s="511"/>
      <c r="L47" s="511"/>
      <c r="M47" s="512"/>
      <c r="N47" s="511"/>
      <c r="O47" s="513"/>
      <c r="P47" s="503"/>
    </row>
    <row r="48" spans="1:29" s="117" customFormat="1" ht="15" thickBot="1">
      <c r="A48" s="514" t="s">
        <v>2578</v>
      </c>
      <c r="B48" s="515"/>
      <c r="C48" s="516"/>
      <c r="D48" s="517"/>
      <c r="E48" s="517"/>
      <c r="F48" s="517"/>
      <c r="G48" s="517"/>
      <c r="H48" s="517"/>
      <c r="I48" s="517"/>
      <c r="J48" s="517"/>
      <c r="K48" s="517"/>
      <c r="L48" s="517"/>
      <c r="M48" s="518"/>
      <c r="N48" s="517"/>
      <c r="O48" s="519"/>
      <c r="P48" s="503"/>
      <c r="Q48" s="503"/>
    </row>
    <row r="49" spans="1:17" s="117" customFormat="1" ht="14.4">
      <c r="A49" s="520" t="s">
        <v>2543</v>
      </c>
      <c r="B49" s="509"/>
      <c r="C49" s="521" t="s">
        <v>2645</v>
      </c>
      <c r="D49" s="522"/>
      <c r="E49" s="522"/>
      <c r="F49" s="522"/>
      <c r="G49" s="522"/>
      <c r="H49" s="522"/>
      <c r="I49" s="522"/>
      <c r="J49" s="522"/>
      <c r="K49" s="522"/>
      <c r="L49" s="523"/>
      <c r="M49" s="524"/>
      <c r="N49" s="1150"/>
      <c r="O49" s="1150"/>
      <c r="P49" s="525"/>
      <c r="Q49" s="503"/>
    </row>
    <row r="50" spans="1:17" s="117"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2581</v>
      </c>
      <c r="B51" s="527" t="s">
        <v>2547</v>
      </c>
      <c r="C51" s="528">
        <f>C9</f>
        <v>0</v>
      </c>
      <c r="D51" s="529"/>
      <c r="E51" s="529"/>
      <c r="F51" s="529"/>
      <c r="G51" s="529"/>
      <c r="H51" s="529"/>
      <c r="I51" s="529"/>
      <c r="J51" s="529"/>
      <c r="K51" s="530"/>
      <c r="L51" s="531"/>
      <c r="M51" s="532"/>
      <c r="N51" s="1151"/>
      <c r="O51" s="1151"/>
      <c r="P51" s="45"/>
      <c r="Q51" s="503"/>
    </row>
    <row r="52" spans="1:17" ht="14.4" thickBot="1">
      <c r="A52" s="533"/>
      <c r="B52" s="534"/>
      <c r="C52" s="535">
        <v>100</v>
      </c>
      <c r="D52" s="535"/>
      <c r="E52" s="535"/>
      <c r="F52" s="535"/>
      <c r="G52" s="535"/>
      <c r="H52" s="535"/>
      <c r="I52" s="535"/>
      <c r="J52" s="535"/>
      <c r="K52" s="535"/>
      <c r="L52" s="535"/>
      <c r="M52" s="536"/>
      <c r="N52" s="1152"/>
      <c r="O52" s="1152"/>
      <c r="P52" s="45"/>
      <c r="Q52" s="503"/>
    </row>
    <row r="53" spans="1:17" ht="29.4" thickTop="1">
      <c r="A53" s="533"/>
      <c r="B53" s="537" t="s">
        <v>2550</v>
      </c>
      <c r="C53" s="538" t="s">
        <v>2582</v>
      </c>
      <c r="D53" s="538" t="s">
        <v>2583</v>
      </c>
      <c r="E53" s="538" t="s">
        <v>2584</v>
      </c>
      <c r="F53" s="538" t="s">
        <v>2585</v>
      </c>
      <c r="G53" s="538" t="s">
        <v>2586</v>
      </c>
      <c r="H53" s="538" t="s">
        <v>2587</v>
      </c>
      <c r="I53" s="538" t="s">
        <v>2588</v>
      </c>
      <c r="J53" s="538"/>
      <c r="K53" s="539"/>
      <c r="L53" s="540"/>
      <c r="M53" s="541"/>
      <c r="N53" s="1151"/>
      <c r="O53" s="1151"/>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4" thickTop="1">
      <c r="A55" s="533"/>
      <c r="B55" s="659">
        <f>B11</f>
        <v>111</v>
      </c>
      <c r="C55" s="548"/>
      <c r="D55" s="548"/>
      <c r="E55" s="548"/>
      <c r="F55" s="548"/>
      <c r="G55" s="548"/>
      <c r="H55" s="548"/>
      <c r="I55" s="548"/>
      <c r="J55" s="548"/>
      <c r="K55" s="549"/>
      <c r="L55" s="550"/>
      <c r="M55" s="551"/>
      <c r="N55" s="1151"/>
      <c r="O55" s="1151"/>
      <c r="P55" s="45"/>
      <c r="Q55" s="503"/>
    </row>
    <row r="56" spans="1:17" ht="14.4" thickBot="1">
      <c r="A56" s="533"/>
      <c r="B56" s="534"/>
      <c r="C56" s="559"/>
      <c r="D56" s="535"/>
      <c r="E56" s="535"/>
      <c r="F56" s="535"/>
      <c r="G56" s="535"/>
      <c r="H56" s="535"/>
      <c r="I56" s="535"/>
      <c r="J56" s="535"/>
      <c r="K56" s="535"/>
      <c r="L56" s="535"/>
      <c r="M56" s="536"/>
      <c r="N56" s="1152"/>
      <c r="O56" s="1152"/>
      <c r="P56" s="45"/>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9.4" thickTop="1">
      <c r="A63" s="533"/>
      <c r="B63" s="537" t="s">
        <v>2733</v>
      </c>
      <c r="C63" s="577" t="s">
        <v>2590</v>
      </c>
      <c r="D63" s="577" t="s">
        <v>2591</v>
      </c>
      <c r="E63" s="577" t="s">
        <v>2592</v>
      </c>
      <c r="F63" s="577" t="s">
        <v>2593</v>
      </c>
      <c r="G63" s="577" t="s">
        <v>2594</v>
      </c>
      <c r="H63" s="538"/>
      <c r="I63" s="538"/>
      <c r="J63" s="538"/>
      <c r="K63" s="539"/>
      <c r="L63" s="540"/>
      <c r="M63" s="541"/>
      <c r="N63" s="1151"/>
      <c r="O63" s="1151"/>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 thickTop="1">
      <c r="A65" s="533"/>
      <c r="B65" s="545" t="s">
        <v>2682</v>
      </c>
      <c r="C65" s="659" t="s">
        <v>2668</v>
      </c>
      <c r="D65" s="659" t="s">
        <v>2669</v>
      </c>
      <c r="E65" s="659" t="s">
        <v>2670</v>
      </c>
      <c r="F65" s="659" t="s">
        <v>2671</v>
      </c>
      <c r="G65" s="659" t="s">
        <v>2672</v>
      </c>
      <c r="H65" s="538"/>
      <c r="I65" s="538"/>
      <c r="J65" s="538"/>
      <c r="K65" s="538"/>
      <c r="L65" s="538"/>
      <c r="M65" s="1381"/>
      <c r="N65" s="1152"/>
      <c r="O65" s="1152"/>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 thickTop="1">
      <c r="A67" s="533"/>
      <c r="B67" s="537" t="s">
        <v>2602</v>
      </c>
      <c r="C67" s="577" t="s">
        <v>2590</v>
      </c>
      <c r="D67" s="577" t="s">
        <v>2591</v>
      </c>
      <c r="E67" s="577" t="s">
        <v>2592</v>
      </c>
      <c r="F67" s="577" t="s">
        <v>2593</v>
      </c>
      <c r="G67" s="577" t="s">
        <v>2594</v>
      </c>
      <c r="H67" s="538"/>
      <c r="I67" s="538"/>
      <c r="J67" s="538"/>
      <c r="K67" s="539"/>
      <c r="L67" s="540"/>
      <c r="M67" s="541"/>
      <c r="N67" s="1151"/>
      <c r="O67" s="1151"/>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 thickTop="1">
      <c r="A69" s="533"/>
      <c r="B69" s="537" t="s">
        <v>2722</v>
      </c>
      <c r="C69" s="553"/>
      <c r="D69" s="553"/>
      <c r="E69" s="553"/>
      <c r="F69" s="553"/>
      <c r="G69" s="553"/>
      <c r="H69" s="582"/>
      <c r="I69" s="582"/>
      <c r="J69" s="582"/>
      <c r="K69" s="583"/>
      <c r="L69" s="584"/>
      <c r="M69" s="585"/>
      <c r="N69" s="1151"/>
      <c r="O69" s="1151"/>
      <c r="P69" s="45"/>
      <c r="Q69" s="503"/>
    </row>
    <row r="70" spans="1:17" ht="14.4"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4.4" thickTop="1">
      <c r="A71" s="578"/>
      <c r="B71" s="537">
        <f>B23</f>
        <v>111</v>
      </c>
      <c r="C71" s="548"/>
      <c r="D71" s="548"/>
      <c r="E71" s="548"/>
      <c r="F71" s="548"/>
      <c r="G71" s="553"/>
      <c r="H71" s="553"/>
      <c r="I71" s="553"/>
      <c r="J71" s="553"/>
      <c r="K71" s="553"/>
      <c r="L71" s="579"/>
      <c r="M71" s="580"/>
      <c r="N71" s="1150"/>
      <c r="O71" s="1150"/>
      <c r="P71" s="45"/>
      <c r="Q71" s="503"/>
    </row>
    <row r="72" spans="1:17" s="117" customFormat="1" ht="14.4" thickBot="1">
      <c r="A72" s="578"/>
      <c r="B72" s="542"/>
      <c r="C72" s="559"/>
      <c r="D72" s="535"/>
      <c r="E72" s="535"/>
      <c r="F72" s="535"/>
      <c r="G72" s="535"/>
      <c r="H72" s="535"/>
      <c r="I72" s="535"/>
      <c r="J72" s="535"/>
      <c r="K72" s="535"/>
      <c r="L72" s="535"/>
      <c r="M72" s="536"/>
      <c r="N72" s="1152"/>
      <c r="O72" s="1152"/>
      <c r="P72" s="45"/>
      <c r="Q72" s="503"/>
    </row>
    <row r="73" spans="1:17" s="117" customFormat="1" ht="14.4" thickTop="1">
      <c r="A73" s="578"/>
      <c r="B73" s="537">
        <f>B24</f>
        <v>111</v>
      </c>
      <c r="C73" s="548"/>
      <c r="D73" s="548"/>
      <c r="E73" s="548"/>
      <c r="F73" s="548"/>
      <c r="G73" s="553"/>
      <c r="H73" s="553"/>
      <c r="I73" s="553"/>
      <c r="J73" s="553"/>
      <c r="K73" s="553"/>
      <c r="L73" s="553"/>
      <c r="M73" s="580"/>
      <c r="N73" s="1150"/>
      <c r="O73" s="1150"/>
      <c r="P73" s="45"/>
      <c r="Q73" s="503"/>
    </row>
    <row r="74" spans="1:17" s="117" customFormat="1" ht="14.4" thickBot="1">
      <c r="A74" s="578"/>
      <c r="B74" s="542"/>
      <c r="C74" s="559"/>
      <c r="D74" s="535"/>
      <c r="E74" s="535"/>
      <c r="F74" s="535"/>
      <c r="G74" s="535"/>
      <c r="H74" s="535"/>
      <c r="I74" s="535"/>
      <c r="J74" s="535"/>
      <c r="K74" s="535"/>
      <c r="L74" s="535"/>
      <c r="M74" s="536"/>
      <c r="N74" s="1152"/>
      <c r="O74" s="1152"/>
      <c r="P74" s="45"/>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2556</v>
      </c>
      <c r="B77" s="527" t="s">
        <v>2609</v>
      </c>
      <c r="C77" s="553"/>
      <c r="D77" s="553"/>
      <c r="E77" s="529"/>
      <c r="F77" s="529"/>
      <c r="G77" s="529"/>
      <c r="H77" s="529"/>
      <c r="I77" s="529"/>
      <c r="J77" s="529"/>
      <c r="K77" s="530"/>
      <c r="L77" s="531"/>
      <c r="M77" s="532"/>
      <c r="N77" s="1151"/>
      <c r="O77" s="1151"/>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2726</v>
      </c>
      <c r="C82" s="553"/>
      <c r="D82" s="553"/>
      <c r="E82" s="582"/>
      <c r="F82" s="582"/>
      <c r="G82" s="582"/>
      <c r="H82" s="582"/>
      <c r="I82" s="582"/>
      <c r="J82" s="582"/>
      <c r="K82" s="583"/>
      <c r="L82" s="584"/>
      <c r="M82" s="585"/>
      <c r="N82" s="1151"/>
      <c r="O82" s="1151"/>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2734</v>
      </c>
      <c r="C84" s="553"/>
      <c r="D84" s="553"/>
      <c r="E84" s="553"/>
      <c r="F84" s="553"/>
      <c r="G84" s="553"/>
      <c r="H84" s="553"/>
      <c r="I84" s="582"/>
      <c r="J84" s="582"/>
      <c r="K84" s="583"/>
      <c r="L84" s="584"/>
      <c r="M84" s="585"/>
      <c r="N84" s="1151"/>
      <c r="O84" s="1151"/>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4"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2736</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5"/>
      <c r="Q91" s="503"/>
    </row>
    <row r="92" spans="1:17" ht="14.4" thickBot="1">
      <c r="A92" s="533"/>
      <c r="B92" s="542"/>
      <c r="C92" s="559"/>
      <c r="D92" s="535"/>
      <c r="E92" s="535"/>
      <c r="F92" s="535"/>
      <c r="G92" s="559"/>
      <c r="H92" s="561"/>
      <c r="I92" s="561"/>
      <c r="J92" s="561"/>
      <c r="K92" s="561"/>
      <c r="L92" s="561"/>
      <c r="M92" s="562"/>
      <c r="N92" s="1152"/>
      <c r="O92" s="1152"/>
      <c r="P92" s="45"/>
      <c r="Q92" s="503"/>
    </row>
    <row r="93" spans="1:17" ht="14.4" thickTop="1">
      <c r="A93" s="598"/>
      <c r="B93" s="537">
        <f>B33</f>
        <v>111</v>
      </c>
      <c r="C93" s="548"/>
      <c r="D93" s="548"/>
      <c r="E93" s="548"/>
      <c r="F93" s="548"/>
      <c r="G93" s="553"/>
      <c r="H93" s="554"/>
      <c r="I93" s="554"/>
      <c r="J93" s="554"/>
      <c r="K93" s="554"/>
      <c r="L93" s="555"/>
      <c r="M93" s="556"/>
      <c r="N93" s="1151"/>
      <c r="O93" s="1151"/>
      <c r="P93" s="45"/>
      <c r="Q93" s="503"/>
    </row>
    <row r="94" spans="1:17" ht="14.4" thickBot="1">
      <c r="A94" s="533"/>
      <c r="B94" s="542"/>
      <c r="C94" s="559"/>
      <c r="D94" s="535"/>
      <c r="E94" s="535"/>
      <c r="F94" s="535"/>
      <c r="G94" s="559"/>
      <c r="H94" s="561"/>
      <c r="I94" s="561"/>
      <c r="J94" s="561"/>
      <c r="K94" s="561"/>
      <c r="L94" s="561"/>
      <c r="M94" s="562"/>
      <c r="N94" s="1152"/>
      <c r="O94" s="1152"/>
      <c r="P94" s="45"/>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5"/>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2737</v>
      </c>
      <c r="B1" s="394"/>
      <c r="C1" s="395" t="s">
        <v>2738</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2320</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2322</v>
      </c>
      <c r="B3" s="608" t="e">
        <f>ROUND(IF(D3="",B2*10000/'数据-汇总表'!E3,B2*10000/D3),0)</f>
        <v>#DIV/0!</v>
      </c>
      <c r="C3" s="246" t="s">
        <v>2739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2638</v>
      </c>
      <c r="B4" s="401"/>
      <c r="C4" s="3207" t="s">
        <v>2639</v>
      </c>
      <c r="D4" s="3208"/>
      <c r="E4" s="3209" t="s">
        <v>2640</v>
      </c>
      <c r="F4" s="3210"/>
      <c r="G4" s="3207" t="s">
        <v>2641</v>
      </c>
      <c r="H4" s="3208"/>
      <c r="I4" s="3207" t="s">
        <v>2642</v>
      </c>
      <c r="J4" s="3208"/>
      <c r="K4" s="609" t="s">
        <v>2643</v>
      </c>
      <c r="L4" s="1129"/>
      <c r="M4" s="1130"/>
      <c r="N4" s="1130"/>
      <c r="O4" s="1130"/>
      <c r="P4" s="3211" t="s">
        <v>2644</v>
      </c>
      <c r="Q4" s="3212"/>
      <c r="R4" s="3217" t="s">
        <v>2640</v>
      </c>
      <c r="S4" s="3218"/>
      <c r="T4" s="3217" t="s">
        <v>2641</v>
      </c>
      <c r="U4" s="3218"/>
      <c r="V4" s="3223" t="s">
        <v>2642</v>
      </c>
      <c r="W4" s="3223"/>
      <c r="X4" s="1812"/>
      <c r="Y4" s="3217" t="s">
        <v>2644</v>
      </c>
      <c r="Z4" s="3218"/>
      <c r="AA4" s="3204" t="s">
        <v>2640</v>
      </c>
      <c r="AB4" s="3205" t="s">
        <v>2641</v>
      </c>
      <c r="AC4" s="3204" t="s">
        <v>2642</v>
      </c>
    </row>
    <row r="5" spans="1:30">
      <c r="A5" s="403"/>
      <c r="B5" s="404"/>
      <c r="C5" s="3226" t="s">
        <v>2535</v>
      </c>
      <c r="D5" s="3227"/>
      <c r="E5" s="3233" t="s">
        <v>2536</v>
      </c>
      <c r="F5" s="3234"/>
      <c r="G5" s="3226" t="s">
        <v>2537</v>
      </c>
      <c r="H5" s="3227"/>
      <c r="I5" s="3226" t="s">
        <v>2538</v>
      </c>
      <c r="J5" s="3227"/>
      <c r="K5" s="609"/>
      <c r="L5" s="1129"/>
      <c r="M5" s="1130"/>
      <c r="N5" s="1130"/>
      <c r="O5" s="1130"/>
      <c r="P5" s="3213"/>
      <c r="Q5" s="3214"/>
      <c r="R5" s="3219"/>
      <c r="S5" s="3220"/>
      <c r="T5" s="3219"/>
      <c r="U5" s="3220"/>
      <c r="V5" s="3223"/>
      <c r="W5" s="3223"/>
      <c r="X5" s="1812"/>
      <c r="Y5" s="3219"/>
      <c r="Z5" s="3220"/>
      <c r="AA5" s="3205"/>
      <c r="AB5" s="3205"/>
      <c r="AC5" s="3205"/>
    </row>
    <row r="6" spans="1:30" ht="15" thickBot="1">
      <c r="A6" s="405"/>
      <c r="B6" s="406"/>
      <c r="C6" s="3224" t="s">
        <v>2539</v>
      </c>
      <c r="D6" s="3225"/>
      <c r="E6" s="3231" t="s">
        <v>2539</v>
      </c>
      <c r="F6" s="3232"/>
      <c r="G6" s="3224" t="s">
        <v>2539</v>
      </c>
      <c r="H6" s="3225"/>
      <c r="I6" s="3224" t="s">
        <v>2539</v>
      </c>
      <c r="J6" s="3225"/>
      <c r="K6" s="609" t="s">
        <v>2540</v>
      </c>
      <c r="L6" s="1129"/>
      <c r="M6" s="1130"/>
      <c r="N6" s="1130"/>
      <c r="O6" s="1130"/>
      <c r="P6" s="3215"/>
      <c r="Q6" s="3216"/>
      <c r="R6" s="3219"/>
      <c r="S6" s="3220"/>
      <c r="T6" s="3221"/>
      <c r="U6" s="3222"/>
      <c r="V6" s="3223"/>
      <c r="W6" s="3223"/>
      <c r="X6" s="1812"/>
      <c r="Y6" s="3221"/>
      <c r="Z6" s="3222"/>
      <c r="AA6" s="3206"/>
      <c r="AB6" s="3206"/>
      <c r="AC6" s="3206"/>
    </row>
    <row r="7" spans="1:30" s="117" customFormat="1" ht="15" thickBot="1">
      <c r="A7" s="407" t="s">
        <v>2541</v>
      </c>
      <c r="B7" s="408"/>
      <c r="C7" s="409">
        <f>'数据-取费表'!B2</f>
        <v>43942</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1"/>
      <c r="M7" s="1132"/>
      <c r="N7" s="1132"/>
      <c r="O7" s="1132"/>
      <c r="P7" s="3228" t="s">
        <v>2542</v>
      </c>
      <c r="Q7" s="3230"/>
      <c r="R7" s="769" t="s">
        <v>17</v>
      </c>
      <c r="S7" s="770">
        <f t="shared" ref="S7:S15" si="0">F7</f>
        <v>0</v>
      </c>
      <c r="T7" s="769" t="s">
        <v>17</v>
      </c>
      <c r="U7" s="770">
        <f t="shared" ref="U7:U15" si="1">H7</f>
        <v>0</v>
      </c>
      <c r="V7" s="769" t="s">
        <v>17</v>
      </c>
      <c r="W7" s="770">
        <f t="shared" ref="W7:W15" si="2">J7</f>
        <v>0</v>
      </c>
      <c r="X7" s="771"/>
      <c r="Y7" s="3228" t="s">
        <v>2542</v>
      </c>
      <c r="Z7" s="3229"/>
      <c r="AA7" s="772" t="e">
        <f>D7/F7</f>
        <v>#DIV/0!</v>
      </c>
      <c r="AB7" s="772" t="e">
        <f>D7/H7</f>
        <v>#DIV/0!</v>
      </c>
      <c r="AC7" s="772" t="e">
        <f>D7/J7</f>
        <v>#DIV/0!</v>
      </c>
    </row>
    <row r="8" spans="1:30" s="117" customFormat="1" ht="15" thickBot="1">
      <c r="A8" s="407" t="s">
        <v>2543</v>
      </c>
      <c r="B8" s="408"/>
      <c r="C8" s="413" t="s">
        <v>2544</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28" t="s">
        <v>2545</v>
      </c>
      <c r="Q8" s="3229"/>
      <c r="R8" s="769" t="s">
        <v>17</v>
      </c>
      <c r="S8" s="770">
        <f t="shared" si="0"/>
        <v>0</v>
      </c>
      <c r="T8" s="769" t="s">
        <v>17</v>
      </c>
      <c r="U8" s="770">
        <f t="shared" si="1"/>
        <v>0</v>
      </c>
      <c r="V8" s="769" t="s">
        <v>17</v>
      </c>
      <c r="W8" s="770">
        <f t="shared" si="2"/>
        <v>0</v>
      </c>
      <c r="X8" s="771"/>
      <c r="Y8" s="3228" t="s">
        <v>2545</v>
      </c>
      <c r="Z8" s="3229"/>
      <c r="AA8" s="772" t="e">
        <f t="shared" ref="AA8:AA45" si="3">D8/F8</f>
        <v>#DIV/0!</v>
      </c>
      <c r="AB8" s="772" t="e">
        <f t="shared" ref="AB8:AB45" si="4">D8/H8</f>
        <v>#DIV/0!</v>
      </c>
      <c r="AC8" s="772" t="e">
        <f t="shared" ref="AC8:AC45" si="5">D8/J8</f>
        <v>#DIV/0!</v>
      </c>
    </row>
    <row r="9" spans="1:30" s="117" customFormat="1" ht="14.4">
      <c r="A9" s="414" t="s">
        <v>2546</v>
      </c>
      <c r="B9" s="71" t="s">
        <v>2547</v>
      </c>
      <c r="C9" s="2698"/>
      <c r="D9" s="134">
        <v>100</v>
      </c>
      <c r="E9" s="2698"/>
      <c r="F9" s="134">
        <f>SUMIF(75:75,E9,76:76)-SUMIF(75:75,C9,76:76)+100</f>
        <v>100</v>
      </c>
      <c r="G9" s="2698"/>
      <c r="H9" s="134">
        <f>SUMIF(75:75,G9,76:76)-SUMIF(75:75,C9,76:76)+100</f>
        <v>100</v>
      </c>
      <c r="I9" s="2698"/>
      <c r="J9" s="134">
        <f>SUMIF(75:75,I9,76:76)-SUMIF(75:75,C9,76:76)+100</f>
        <v>100</v>
      </c>
      <c r="K9" s="610"/>
      <c r="L9" s="1131"/>
      <c r="M9" s="1132"/>
      <c r="N9" s="1132"/>
      <c r="O9" s="1133"/>
      <c r="P9" s="3192" t="s">
        <v>2548</v>
      </c>
      <c r="Q9" s="1794" t="str">
        <f t="shared" ref="Q9:Q15" si="6">B9</f>
        <v>用途</v>
      </c>
      <c r="R9" s="769" t="s">
        <v>17</v>
      </c>
      <c r="S9" s="770">
        <f t="shared" si="0"/>
        <v>100</v>
      </c>
      <c r="T9" s="769" t="s">
        <v>17</v>
      </c>
      <c r="U9" s="770">
        <f t="shared" si="1"/>
        <v>100</v>
      </c>
      <c r="V9" s="769" t="s">
        <v>17</v>
      </c>
      <c r="W9" s="770">
        <f t="shared" si="2"/>
        <v>100</v>
      </c>
      <c r="X9" s="771"/>
      <c r="Y9" s="3017" t="s">
        <v>2549</v>
      </c>
      <c r="Z9" s="55" t="str">
        <f t="shared" ref="Z9:Z15" si="7">Q9</f>
        <v>用途</v>
      </c>
      <c r="AA9" s="772">
        <f t="shared" si="3"/>
        <v>1</v>
      </c>
      <c r="AB9" s="772">
        <f t="shared" si="4"/>
        <v>1</v>
      </c>
      <c r="AC9" s="772">
        <f t="shared" si="5"/>
        <v>1</v>
      </c>
    </row>
    <row r="10" spans="1:30" s="426" customFormat="1" ht="28.8">
      <c r="A10" s="420"/>
      <c r="B10" s="421" t="s">
        <v>2550</v>
      </c>
      <c r="C10" s="431"/>
      <c r="D10" s="135">
        <v>100</v>
      </c>
      <c r="E10" s="464"/>
      <c r="F10" s="135">
        <f>ROUND(100/'数据-取费表'!G16,0)</f>
        <v>111</v>
      </c>
      <c r="G10" s="462"/>
      <c r="H10" s="135">
        <f>ROUND(100/'数据-取费表'!G16,0)</f>
        <v>111</v>
      </c>
      <c r="I10" s="462"/>
      <c r="J10" s="135">
        <f>ROUND(100/'数据-取费表'!G16,0)</f>
        <v>111</v>
      </c>
      <c r="K10" s="671"/>
      <c r="L10" s="1134"/>
      <c r="M10" s="1135"/>
      <c r="N10" s="1135"/>
      <c r="O10" s="1136"/>
      <c r="P10" s="3192"/>
      <c r="Q10" s="1794" t="str">
        <f t="shared" si="6"/>
        <v>土地使用年限（年）</v>
      </c>
      <c r="R10" s="769" t="s">
        <v>17</v>
      </c>
      <c r="S10" s="770">
        <f t="shared" si="0"/>
        <v>111</v>
      </c>
      <c r="T10" s="769" t="s">
        <v>17</v>
      </c>
      <c r="U10" s="770">
        <f t="shared" si="1"/>
        <v>111</v>
      </c>
      <c r="V10" s="769" t="s">
        <v>17</v>
      </c>
      <c r="W10" s="770">
        <f t="shared" si="2"/>
        <v>111</v>
      </c>
      <c r="X10" s="771"/>
      <c r="Y10" s="3017"/>
      <c r="Z10" s="55" t="str">
        <f t="shared" si="7"/>
        <v>土地使用年限（年）</v>
      </c>
      <c r="AA10" s="772">
        <f t="shared" si="3"/>
        <v>0.90090090090090091</v>
      </c>
      <c r="AB10" s="772">
        <f t="shared" si="4"/>
        <v>0.90090090090090091</v>
      </c>
      <c r="AC10" s="772">
        <f t="shared" si="5"/>
        <v>0.90090090090090091</v>
      </c>
    </row>
    <row r="11" spans="1:30" ht="15">
      <c r="A11" s="427"/>
      <c r="B11" s="421" t="s">
        <v>2551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192"/>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30" s="117" customFormat="1" ht="15">
      <c r="A12" s="430"/>
      <c r="B12" s="2599" t="s">
        <v>2740</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92"/>
      <c r="Q12" s="1794" t="str">
        <f t="shared" si="6"/>
        <v>配建</v>
      </c>
      <c r="R12" s="769" t="s">
        <v>17</v>
      </c>
      <c r="S12" s="770">
        <f t="shared" si="0"/>
        <v>100</v>
      </c>
      <c r="T12" s="769" t="s">
        <v>17</v>
      </c>
      <c r="U12" s="770">
        <f t="shared" si="1"/>
        <v>100</v>
      </c>
      <c r="V12" s="769" t="s">
        <v>17</v>
      </c>
      <c r="W12" s="770">
        <f t="shared" si="2"/>
        <v>100</v>
      </c>
      <c r="X12" s="771"/>
      <c r="Y12" s="3017"/>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92"/>
      <c r="Q13" s="1794">
        <f t="shared" si="6"/>
        <v>111</v>
      </c>
      <c r="R13" s="769" t="s">
        <v>17</v>
      </c>
      <c r="S13" s="770">
        <f t="shared" si="0"/>
        <v>100</v>
      </c>
      <c r="T13" s="769" t="s">
        <v>17</v>
      </c>
      <c r="U13" s="770">
        <f t="shared" si="1"/>
        <v>100</v>
      </c>
      <c r="V13" s="769" t="s">
        <v>17</v>
      </c>
      <c r="W13" s="770">
        <f t="shared" si="2"/>
        <v>100</v>
      </c>
      <c r="X13" s="771"/>
      <c r="Y13" s="3017"/>
      <c r="Z13" s="55">
        <f t="shared" si="7"/>
        <v>111</v>
      </c>
      <c r="AA13" s="772">
        <f>D13/F13</f>
        <v>1</v>
      </c>
      <c r="AB13" s="772">
        <f>D13/H13</f>
        <v>1</v>
      </c>
      <c r="AC13" s="772">
        <f>D13/J13</f>
        <v>1</v>
      </c>
    </row>
    <row r="14" spans="1:30" ht="15.6"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92"/>
      <c r="Q14" s="1794">
        <f t="shared" si="6"/>
        <v>111</v>
      </c>
      <c r="R14" s="769" t="s">
        <v>17</v>
      </c>
      <c r="S14" s="770">
        <f t="shared" si="0"/>
        <v>100</v>
      </c>
      <c r="T14" s="769" t="s">
        <v>17</v>
      </c>
      <c r="U14" s="770">
        <f t="shared" si="1"/>
        <v>100</v>
      </c>
      <c r="V14" s="769" t="s">
        <v>17</v>
      </c>
      <c r="W14" s="770">
        <f t="shared" si="2"/>
        <v>100</v>
      </c>
      <c r="X14" s="771"/>
      <c r="Y14" s="3017"/>
      <c r="Z14" s="55">
        <f t="shared" si="7"/>
        <v>111</v>
      </c>
      <c r="AA14" s="772">
        <f>D14/F14</f>
        <v>1</v>
      </c>
      <c r="AB14" s="772">
        <f>D14/H14</f>
        <v>1</v>
      </c>
      <c r="AC14" s="772">
        <f>D14/J14</f>
        <v>1</v>
      </c>
    </row>
    <row r="15" spans="1:30" ht="96.6">
      <c r="A15" s="439" t="s">
        <v>2552</v>
      </c>
      <c r="B15" s="69" t="s">
        <v>2080</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94" t="s">
        <v>2553</v>
      </c>
      <c r="Q15" s="1809" t="str">
        <f t="shared" si="6"/>
        <v>居住社区成熟度</v>
      </c>
      <c r="R15" s="773" t="s">
        <v>17</v>
      </c>
      <c r="S15" s="774">
        <f t="shared" si="0"/>
        <v>100</v>
      </c>
      <c r="T15" s="773" t="s">
        <v>17</v>
      </c>
      <c r="U15" s="774">
        <f t="shared" si="1"/>
        <v>100</v>
      </c>
      <c r="V15" s="773" t="s">
        <v>17</v>
      </c>
      <c r="W15" s="774">
        <f t="shared" si="2"/>
        <v>100</v>
      </c>
      <c r="X15" s="1812"/>
      <c r="Y15" s="3194" t="s">
        <v>2553</v>
      </c>
      <c r="Z15" s="1813" t="str">
        <f t="shared" si="7"/>
        <v>居住社区成熟度</v>
      </c>
      <c r="AA15" s="1810">
        <f t="shared" si="3"/>
        <v>1</v>
      </c>
      <c r="AB15" s="1810">
        <f t="shared" si="4"/>
        <v>1</v>
      </c>
      <c r="AC15" s="1810">
        <f t="shared" si="5"/>
        <v>1</v>
      </c>
    </row>
    <row r="16" spans="1:30" ht="15">
      <c r="A16" s="427"/>
      <c r="B16" s="445"/>
      <c r="C16" s="446"/>
      <c r="D16" s="447"/>
      <c r="E16" s="2604"/>
      <c r="F16" s="447"/>
      <c r="G16" s="2604"/>
      <c r="H16" s="449"/>
      <c r="I16" s="2603"/>
      <c r="J16" s="447"/>
      <c r="K16" s="671"/>
      <c r="L16" s="1139"/>
      <c r="M16" s="1130"/>
      <c r="N16" s="1130"/>
      <c r="O16" s="1138"/>
      <c r="P16" s="3195"/>
      <c r="Q16" s="1809"/>
      <c r="R16" s="773"/>
      <c r="S16" s="774"/>
      <c r="T16" s="773"/>
      <c r="U16" s="774"/>
      <c r="V16" s="773"/>
      <c r="W16" s="774"/>
      <c r="X16" s="1812"/>
      <c r="Y16" s="3195"/>
      <c r="Z16" s="1813"/>
      <c r="AA16" s="1810">
        <v>1</v>
      </c>
      <c r="AB16" s="1810">
        <v>1</v>
      </c>
      <c r="AC16" s="1810">
        <v>1</v>
      </c>
    </row>
    <row r="17" spans="1:29" ht="82.8">
      <c r="A17" s="427"/>
      <c r="B17" s="450" t="s">
        <v>2646</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95"/>
      <c r="Q17" s="1809" t="str">
        <f>B17</f>
        <v>商业繁华度</v>
      </c>
      <c r="R17" s="773" t="s">
        <v>17</v>
      </c>
      <c r="S17" s="774">
        <f>F17</f>
        <v>100</v>
      </c>
      <c r="T17" s="773" t="s">
        <v>17</v>
      </c>
      <c r="U17" s="774">
        <f>H17</f>
        <v>100</v>
      </c>
      <c r="V17" s="773" t="s">
        <v>17</v>
      </c>
      <c r="W17" s="774">
        <f>J17</f>
        <v>100</v>
      </c>
      <c r="X17" s="1812"/>
      <c r="Y17" s="3195"/>
      <c r="Z17" s="1813" t="str">
        <f>Q17</f>
        <v>商业繁华度</v>
      </c>
      <c r="AA17" s="1810">
        <f t="shared" si="3"/>
        <v>1</v>
      </c>
      <c r="AB17" s="1810">
        <f t="shared" si="4"/>
        <v>1</v>
      </c>
      <c r="AC17" s="1810">
        <f t="shared" si="5"/>
        <v>1</v>
      </c>
    </row>
    <row r="18" spans="1:29" ht="15">
      <c r="A18" s="427"/>
      <c r="B18" s="455"/>
      <c r="C18" s="2607"/>
      <c r="D18" s="449"/>
      <c r="E18" s="2609"/>
      <c r="F18" s="449"/>
      <c r="G18" s="2609"/>
      <c r="H18" s="447"/>
      <c r="I18" s="2608"/>
      <c r="J18" s="447"/>
      <c r="K18" s="671"/>
      <c r="L18" s="1139"/>
      <c r="M18" s="1130"/>
      <c r="N18" s="1130"/>
      <c r="O18" s="1138"/>
      <c r="P18" s="3195"/>
      <c r="Q18" s="1809"/>
      <c r="R18" s="773"/>
      <c r="S18" s="774"/>
      <c r="T18" s="773"/>
      <c r="U18" s="774"/>
      <c r="V18" s="773"/>
      <c r="W18" s="774"/>
      <c r="X18" s="1812"/>
      <c r="Y18" s="3195"/>
      <c r="Z18" s="1813"/>
      <c r="AA18" s="1810">
        <v>1</v>
      </c>
      <c r="AB18" s="1810">
        <v>1</v>
      </c>
      <c r="AC18" s="1810">
        <v>1</v>
      </c>
    </row>
    <row r="19" spans="1:29" ht="82.8">
      <c r="A19" s="427"/>
      <c r="B19" s="450" t="s">
        <v>2680</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95"/>
      <c r="Q19" s="1809" t="str">
        <f>B19</f>
        <v>办公集聚程度</v>
      </c>
      <c r="R19" s="773" t="s">
        <v>17</v>
      </c>
      <c r="S19" s="774">
        <f>F19</f>
        <v>100</v>
      </c>
      <c r="T19" s="773" t="s">
        <v>17</v>
      </c>
      <c r="U19" s="774">
        <f>H19</f>
        <v>100</v>
      </c>
      <c r="V19" s="773" t="s">
        <v>17</v>
      </c>
      <c r="W19" s="774">
        <f>J19</f>
        <v>100</v>
      </c>
      <c r="X19" s="1812"/>
      <c r="Y19" s="3195"/>
      <c r="Z19" s="1813" t="str">
        <f>Q19</f>
        <v>办公集聚程度</v>
      </c>
      <c r="AA19" s="1810">
        <f t="shared" si="3"/>
        <v>1</v>
      </c>
      <c r="AB19" s="1810">
        <f t="shared" si="4"/>
        <v>1</v>
      </c>
      <c r="AC19" s="1810">
        <f t="shared" si="5"/>
        <v>1</v>
      </c>
    </row>
    <row r="20" spans="1:29" ht="15">
      <c r="A20" s="427"/>
      <c r="B20" s="455"/>
      <c r="C20" s="446"/>
      <c r="D20" s="447"/>
      <c r="E20" s="2604"/>
      <c r="F20" s="447"/>
      <c r="G20" s="2604"/>
      <c r="H20" s="447"/>
      <c r="I20" s="2603"/>
      <c r="J20" s="447"/>
      <c r="K20" s="671"/>
      <c r="L20" s="1139"/>
      <c r="M20" s="1130"/>
      <c r="N20" s="1130"/>
      <c r="O20" s="1138"/>
      <c r="P20" s="3195"/>
      <c r="Q20" s="1809"/>
      <c r="R20" s="773"/>
      <c r="S20" s="774"/>
      <c r="T20" s="773"/>
      <c r="U20" s="774"/>
      <c r="V20" s="773"/>
      <c r="W20" s="774"/>
      <c r="X20" s="1812"/>
      <c r="Y20" s="3195"/>
      <c r="Z20" s="1813"/>
      <c r="AA20" s="1810">
        <v>1</v>
      </c>
      <c r="AB20" s="1810">
        <v>1</v>
      </c>
      <c r="AC20" s="1810">
        <v>1</v>
      </c>
    </row>
    <row r="21" spans="1:29" ht="96.6">
      <c r="A21" s="427"/>
      <c r="B21" s="450" t="s">
        <v>2702</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95"/>
      <c r="Q21" s="1809" t="str">
        <f>B21</f>
        <v>交通便捷度</v>
      </c>
      <c r="R21" s="773" t="s">
        <v>17</v>
      </c>
      <c r="S21" s="774">
        <f>F21</f>
        <v>100</v>
      </c>
      <c r="T21" s="773" t="s">
        <v>17</v>
      </c>
      <c r="U21" s="774">
        <f>H21</f>
        <v>100</v>
      </c>
      <c r="V21" s="773" t="s">
        <v>17</v>
      </c>
      <c r="W21" s="774">
        <f>J21</f>
        <v>100</v>
      </c>
      <c r="X21" s="1812"/>
      <c r="Y21" s="3195"/>
      <c r="Z21" s="1813" t="str">
        <f>Q21</f>
        <v>交通便捷度</v>
      </c>
      <c r="AA21" s="1810">
        <f t="shared" si="3"/>
        <v>1</v>
      </c>
      <c r="AB21" s="1810">
        <f t="shared" si="4"/>
        <v>1</v>
      </c>
      <c r="AC21" s="1810">
        <f t="shared" si="5"/>
        <v>1</v>
      </c>
    </row>
    <row r="22" spans="1:29" ht="15">
      <c r="A22" s="427"/>
      <c r="B22" s="1383"/>
      <c r="C22" s="446"/>
      <c r="D22" s="449"/>
      <c r="E22" s="2604"/>
      <c r="F22" s="447"/>
      <c r="G22" s="2604"/>
      <c r="H22" s="447"/>
      <c r="I22" s="2603"/>
      <c r="J22" s="447"/>
      <c r="K22" s="671"/>
      <c r="L22" s="1139"/>
      <c r="M22" s="1130"/>
      <c r="N22" s="1130"/>
      <c r="O22" s="1138"/>
      <c r="P22" s="3195"/>
      <c r="Q22" s="1809"/>
      <c r="R22" s="773"/>
      <c r="S22" s="774"/>
      <c r="T22" s="773"/>
      <c r="U22" s="774"/>
      <c r="V22" s="773"/>
      <c r="W22" s="774"/>
      <c r="X22" s="1812"/>
      <c r="Y22" s="3195"/>
      <c r="Z22" s="1813"/>
      <c r="AA22" s="1810">
        <v>1</v>
      </c>
      <c r="AB22" s="1810">
        <v>1</v>
      </c>
      <c r="AC22" s="1810">
        <v>1</v>
      </c>
    </row>
    <row r="23" spans="1:29" ht="28.8">
      <c r="A23" s="403"/>
      <c r="B23" s="450" t="s">
        <v>2741</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95"/>
      <c r="Q23" s="1809" t="str">
        <f t="shared" ref="Q23:Q37" si="8">B23</f>
        <v>区域土地利用方向</v>
      </c>
      <c r="R23" s="773" t="s">
        <v>17</v>
      </c>
      <c r="S23" s="774">
        <f>F23</f>
        <v>100</v>
      </c>
      <c r="T23" s="773" t="s">
        <v>17</v>
      </c>
      <c r="U23" s="774">
        <f>H23</f>
        <v>100</v>
      </c>
      <c r="V23" s="773" t="s">
        <v>17</v>
      </c>
      <c r="W23" s="774">
        <f>J23</f>
        <v>100</v>
      </c>
      <c r="X23" s="1812"/>
      <c r="Y23" s="3195"/>
      <c r="Z23" s="1813" t="str">
        <f>Q23</f>
        <v>区域土地利用方向</v>
      </c>
      <c r="AA23" s="1810">
        <f t="shared" si="3"/>
        <v>1</v>
      </c>
      <c r="AB23" s="1810">
        <f t="shared" si="4"/>
        <v>1</v>
      </c>
      <c r="AC23" s="1810">
        <f t="shared" si="5"/>
        <v>1</v>
      </c>
    </row>
    <row r="24" spans="1:29" ht="15">
      <c r="A24" s="403"/>
      <c r="B24" s="455"/>
      <c r="C24" s="615"/>
      <c r="D24" s="447"/>
      <c r="E24" s="2604"/>
      <c r="F24" s="447"/>
      <c r="G24" s="2603"/>
      <c r="H24" s="447"/>
      <c r="I24" s="2603"/>
      <c r="J24" s="447"/>
      <c r="K24" s="811"/>
      <c r="L24" s="1139"/>
      <c r="M24" s="1130"/>
      <c r="N24" s="1130"/>
      <c r="O24" s="1138"/>
      <c r="P24" s="3195"/>
      <c r="Q24" s="1809"/>
      <c r="R24" s="773"/>
      <c r="S24" s="774"/>
      <c r="T24" s="773"/>
      <c r="U24" s="774"/>
      <c r="V24" s="773"/>
      <c r="W24" s="774"/>
      <c r="X24" s="1812"/>
      <c r="Y24" s="3195"/>
      <c r="Z24" s="1813"/>
      <c r="AA24" s="1810"/>
      <c r="AB24" s="1810"/>
      <c r="AC24" s="1810"/>
    </row>
    <row r="25" spans="1:29" ht="55.2">
      <c r="A25" s="403"/>
      <c r="B25" s="1383" t="s">
        <v>2742</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95"/>
      <c r="Q25" s="1809" t="str">
        <f t="shared" si="8"/>
        <v>自然及人文环境状况</v>
      </c>
      <c r="R25" s="773" t="s">
        <v>17</v>
      </c>
      <c r="S25" s="774">
        <f>F25</f>
        <v>100</v>
      </c>
      <c r="T25" s="773" t="s">
        <v>17</v>
      </c>
      <c r="U25" s="774">
        <f>H25</f>
        <v>100</v>
      </c>
      <c r="V25" s="773" t="s">
        <v>17</v>
      </c>
      <c r="W25" s="774">
        <f>J25</f>
        <v>100</v>
      </c>
      <c r="X25" s="1812"/>
      <c r="Y25" s="3195"/>
      <c r="Z25" s="1813" t="str">
        <f>Q25</f>
        <v>自然及人文环境状况</v>
      </c>
      <c r="AA25" s="1810">
        <f t="shared" si="3"/>
        <v>1</v>
      </c>
      <c r="AB25" s="1810">
        <f t="shared" si="4"/>
        <v>1</v>
      </c>
      <c r="AC25" s="1810">
        <f t="shared" si="5"/>
        <v>1</v>
      </c>
    </row>
    <row r="26" spans="1:29" ht="15">
      <c r="A26" s="403"/>
      <c r="B26" s="455"/>
      <c r="C26" s="446"/>
      <c r="D26" s="447"/>
      <c r="E26" s="2610"/>
      <c r="F26" s="447"/>
      <c r="G26" s="2610"/>
      <c r="H26" s="447"/>
      <c r="I26" s="446"/>
      <c r="J26" s="447"/>
      <c r="K26" s="671"/>
      <c r="L26" s="1139"/>
      <c r="M26" s="1130"/>
      <c r="N26" s="1130"/>
      <c r="O26" s="1138"/>
      <c r="P26" s="3195"/>
      <c r="Q26" s="1809"/>
      <c r="R26" s="773"/>
      <c r="S26" s="774"/>
      <c r="T26" s="773"/>
      <c r="U26" s="774"/>
      <c r="V26" s="773"/>
      <c r="W26" s="774"/>
      <c r="X26" s="1812"/>
      <c r="Y26" s="3195"/>
      <c r="Z26" s="1813"/>
      <c r="AA26" s="1810">
        <v>1</v>
      </c>
      <c r="AB26" s="1810">
        <v>1</v>
      </c>
      <c r="AC26" s="1810">
        <v>1</v>
      </c>
    </row>
    <row r="27" spans="1:29" s="117" customFormat="1" ht="41.4">
      <c r="A27" s="648"/>
      <c r="B27" s="1383" t="s">
        <v>2647</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95"/>
      <c r="Q27" s="1794" t="str">
        <f t="shared" si="8"/>
        <v>公共配套设施</v>
      </c>
      <c r="R27" s="769" t="s">
        <v>17</v>
      </c>
      <c r="S27" s="770">
        <f>F27</f>
        <v>100</v>
      </c>
      <c r="T27" s="769" t="s">
        <v>17</v>
      </c>
      <c r="U27" s="770">
        <f>H27</f>
        <v>100</v>
      </c>
      <c r="V27" s="769" t="s">
        <v>17</v>
      </c>
      <c r="W27" s="770">
        <f>J27</f>
        <v>100</v>
      </c>
      <c r="X27" s="771"/>
      <c r="Y27" s="3195"/>
      <c r="Z27" s="55" t="str">
        <f>Q27</f>
        <v>公共配套设施</v>
      </c>
      <c r="AA27" s="1810">
        <f>D27/F27</f>
        <v>1</v>
      </c>
      <c r="AB27" s="1810">
        <f>D27/H27</f>
        <v>1</v>
      </c>
      <c r="AC27" s="1810">
        <f>D27/J27</f>
        <v>1</v>
      </c>
    </row>
    <row r="28" spans="1:29" s="117" customFormat="1" ht="15">
      <c r="A28" s="648"/>
      <c r="B28" s="455"/>
      <c r="C28" s="2699"/>
      <c r="D28" s="447"/>
      <c r="E28" s="2610"/>
      <c r="F28" s="447"/>
      <c r="G28" s="2610"/>
      <c r="H28" s="447"/>
      <c r="I28" s="446"/>
      <c r="J28" s="447"/>
      <c r="K28" s="671"/>
      <c r="L28" s="1131"/>
      <c r="M28" s="1132"/>
      <c r="N28" s="1132"/>
      <c r="O28" s="1133"/>
      <c r="P28" s="3195"/>
      <c r="Q28" s="1794"/>
      <c r="R28" s="769"/>
      <c r="S28" s="770"/>
      <c r="T28" s="769"/>
      <c r="U28" s="770"/>
      <c r="V28" s="769"/>
      <c r="W28" s="770"/>
      <c r="X28" s="771"/>
      <c r="Y28" s="3195"/>
      <c r="Z28" s="55"/>
      <c r="AA28" s="1810">
        <v>1</v>
      </c>
      <c r="AB28" s="1810">
        <v>1</v>
      </c>
      <c r="AC28" s="1810">
        <v>1</v>
      </c>
    </row>
    <row r="29" spans="1:29" s="117" customFormat="1" ht="41.4">
      <c r="A29" s="648"/>
      <c r="B29" s="1383" t="s">
        <v>2648</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95"/>
      <c r="Q29" s="1794" t="str">
        <f t="shared" ref="Q29" si="9">B29</f>
        <v>基础设施水平</v>
      </c>
      <c r="R29" s="769" t="s">
        <v>17</v>
      </c>
      <c r="S29" s="770">
        <f>F29</f>
        <v>100</v>
      </c>
      <c r="T29" s="769" t="s">
        <v>17</v>
      </c>
      <c r="U29" s="770">
        <f>H29</f>
        <v>100</v>
      </c>
      <c r="V29" s="769" t="s">
        <v>17</v>
      </c>
      <c r="W29" s="770">
        <f>J29</f>
        <v>100</v>
      </c>
      <c r="X29" s="771"/>
      <c r="Y29" s="3195"/>
      <c r="Z29" s="55" t="str">
        <f>Q29</f>
        <v>基础设施水平</v>
      </c>
      <c r="AA29" s="1810">
        <f>D29/F29</f>
        <v>1</v>
      </c>
      <c r="AB29" s="1810">
        <f>D29/H29</f>
        <v>1</v>
      </c>
      <c r="AC29" s="1810">
        <f>D29/J29</f>
        <v>1</v>
      </c>
    </row>
    <row r="30" spans="1:29" s="117" customFormat="1" ht="15">
      <c r="A30" s="648"/>
      <c r="B30" s="455"/>
      <c r="C30" s="2699"/>
      <c r="D30" s="447"/>
      <c r="E30" s="2700"/>
      <c r="F30" s="447"/>
      <c r="G30" s="2700"/>
      <c r="H30" s="447"/>
      <c r="I30" s="2700"/>
      <c r="J30" s="447"/>
      <c r="K30" s="671"/>
      <c r="L30" s="1131"/>
      <c r="M30" s="1132"/>
      <c r="N30" s="1132"/>
      <c r="O30" s="1133"/>
      <c r="P30" s="3195"/>
      <c r="Q30" s="1794"/>
      <c r="R30" s="769"/>
      <c r="S30" s="770"/>
      <c r="T30" s="769"/>
      <c r="U30" s="770"/>
      <c r="V30" s="769"/>
      <c r="W30" s="770"/>
      <c r="X30" s="771"/>
      <c r="Y30" s="3195"/>
      <c r="Z30" s="55"/>
      <c r="AA30" s="1810">
        <v>1</v>
      </c>
      <c r="AB30" s="1810">
        <v>1</v>
      </c>
      <c r="AC30" s="1810">
        <v>1</v>
      </c>
    </row>
    <row r="31" spans="1:29" ht="15">
      <c r="A31" s="427"/>
      <c r="B31" s="455" t="s">
        <v>2649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95"/>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95"/>
      <c r="Z31" s="1813" t="str">
        <f t="shared" ref="Z31:Z45" si="13">Q31</f>
        <v>临街状况</v>
      </c>
      <c r="AA31" s="1810">
        <f t="shared" si="3"/>
        <v>1</v>
      </c>
      <c r="AB31" s="1810">
        <f t="shared" si="4"/>
        <v>1</v>
      </c>
      <c r="AC31" s="1810">
        <f t="shared" si="5"/>
        <v>1</v>
      </c>
    </row>
    <row r="32" spans="1:29" ht="28.8">
      <c r="A32" s="427"/>
      <c r="B32" s="1383"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95"/>
      <c r="Q32" s="1809" t="str">
        <f t="shared" si="8"/>
        <v>毗邻道路的类型与等级</v>
      </c>
      <c r="R32" s="773" t="s">
        <v>17</v>
      </c>
      <c r="S32" s="774">
        <f t="shared" si="10"/>
        <v>100</v>
      </c>
      <c r="T32" s="773" t="s">
        <v>17</v>
      </c>
      <c r="U32" s="774">
        <f t="shared" si="11"/>
        <v>100</v>
      </c>
      <c r="V32" s="773" t="s">
        <v>17</v>
      </c>
      <c r="W32" s="774">
        <f t="shared" si="12"/>
        <v>100</v>
      </c>
      <c r="X32" s="1812"/>
      <c r="Y32" s="3195"/>
      <c r="Z32" s="1813" t="str">
        <f t="shared" si="13"/>
        <v>毗邻道路的类型与等级</v>
      </c>
      <c r="AA32" s="1810">
        <f t="shared" si="3"/>
        <v>1</v>
      </c>
      <c r="AB32" s="1810">
        <f t="shared" si="4"/>
        <v>1</v>
      </c>
      <c r="AC32" s="1810">
        <f t="shared" si="5"/>
        <v>1</v>
      </c>
    </row>
    <row r="33" spans="1:29" ht="15">
      <c r="A33" s="427"/>
      <c r="B33" s="455"/>
      <c r="C33" s="446"/>
      <c r="D33" s="447"/>
      <c r="E33" s="2610"/>
      <c r="F33" s="447"/>
      <c r="G33" s="2610"/>
      <c r="H33" s="447"/>
      <c r="I33" s="446"/>
      <c r="J33" s="447"/>
      <c r="K33" s="612"/>
      <c r="L33" s="1139"/>
      <c r="M33" s="1130"/>
      <c r="N33" s="1130"/>
      <c r="O33" s="1138"/>
      <c r="P33" s="3195"/>
      <c r="Q33" s="1809"/>
      <c r="R33" s="773"/>
      <c r="S33" s="774"/>
      <c r="T33" s="773"/>
      <c r="U33" s="774"/>
      <c r="V33" s="773"/>
      <c r="W33" s="774"/>
      <c r="X33" s="1812"/>
      <c r="Y33" s="3195"/>
      <c r="Z33" s="1813"/>
      <c r="AA33" s="1810">
        <v>1</v>
      </c>
      <c r="AB33" s="1810">
        <v>1</v>
      </c>
      <c r="AC33" s="1810">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95"/>
      <c r="Q34" s="1809" t="str">
        <f t="shared" si="8"/>
        <v>土地级别</v>
      </c>
      <c r="R34" s="773" t="s">
        <v>17</v>
      </c>
      <c r="S34" s="774">
        <f t="shared" si="10"/>
        <v>100</v>
      </c>
      <c r="T34" s="773" t="s">
        <v>17</v>
      </c>
      <c r="U34" s="774">
        <f t="shared" si="11"/>
        <v>100</v>
      </c>
      <c r="V34" s="773" t="s">
        <v>17</v>
      </c>
      <c r="W34" s="774">
        <f t="shared" si="12"/>
        <v>100</v>
      </c>
      <c r="X34" s="1812"/>
      <c r="Y34" s="3195"/>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95"/>
      <c r="Q35" s="1809">
        <f t="shared" si="8"/>
        <v>111</v>
      </c>
      <c r="R35" s="773" t="s">
        <v>17</v>
      </c>
      <c r="S35" s="774">
        <f t="shared" si="10"/>
        <v>100</v>
      </c>
      <c r="T35" s="773" t="s">
        <v>17</v>
      </c>
      <c r="U35" s="774">
        <f t="shared" si="11"/>
        <v>100</v>
      </c>
      <c r="V35" s="773" t="s">
        <v>17</v>
      </c>
      <c r="W35" s="774">
        <f t="shared" si="12"/>
        <v>100</v>
      </c>
      <c r="X35" s="1812"/>
      <c r="Y35" s="3195"/>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50" t="s">
        <v>2558</v>
      </c>
      <c r="Q36" s="1809">
        <f t="shared" si="8"/>
        <v>111</v>
      </c>
      <c r="R36" s="773" t="s">
        <v>17</v>
      </c>
      <c r="S36" s="774">
        <f t="shared" si="10"/>
        <v>100</v>
      </c>
      <c r="T36" s="773" t="s">
        <v>17</v>
      </c>
      <c r="U36" s="774">
        <f t="shared" si="11"/>
        <v>100</v>
      </c>
      <c r="V36" s="773" t="s">
        <v>17</v>
      </c>
      <c r="W36" s="774">
        <f t="shared" si="12"/>
        <v>100</v>
      </c>
      <c r="X36" s="1812"/>
      <c r="Y36" s="3199" t="s">
        <v>2558</v>
      </c>
      <c r="Z36" s="1813">
        <f t="shared" si="13"/>
        <v>111</v>
      </c>
      <c r="AA36" s="1810">
        <f t="shared" si="3"/>
        <v>1</v>
      </c>
      <c r="AB36" s="1810">
        <f t="shared" si="4"/>
        <v>1</v>
      </c>
      <c r="AC36" s="1810">
        <f t="shared" si="5"/>
        <v>1</v>
      </c>
    </row>
    <row r="37" spans="1:29" s="470" customFormat="1" ht="15.6"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99"/>
      <c r="Q37" s="1809">
        <f t="shared" si="8"/>
        <v>111</v>
      </c>
      <c r="R37" s="776" t="s">
        <v>17</v>
      </c>
      <c r="S37" s="777">
        <f t="shared" si="10"/>
        <v>100</v>
      </c>
      <c r="T37" s="776" t="s">
        <v>17</v>
      </c>
      <c r="U37" s="777">
        <f t="shared" si="11"/>
        <v>100</v>
      </c>
      <c r="V37" s="776" t="s">
        <v>17</v>
      </c>
      <c r="W37" s="777">
        <f t="shared" si="12"/>
        <v>100</v>
      </c>
      <c r="X37" s="778"/>
      <c r="Y37" s="3199"/>
      <c r="Z37" s="779">
        <f t="shared" si="13"/>
        <v>111</v>
      </c>
      <c r="AA37" s="1810">
        <f t="shared" si="3"/>
        <v>1</v>
      </c>
      <c r="AB37" s="1810">
        <f t="shared" si="4"/>
        <v>1</v>
      </c>
      <c r="AC37" s="1810">
        <f t="shared" si="5"/>
        <v>1</v>
      </c>
    </row>
    <row r="38" spans="1:29" ht="15.6">
      <c r="A38" s="471" t="s">
        <v>2556</v>
      </c>
      <c r="B38" s="455" t="s">
        <v>2744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99"/>
      <c r="Q38" s="1809" t="str">
        <f>B38</f>
        <v>宗地面积</v>
      </c>
      <c r="R38" s="773" t="s">
        <v>17</v>
      </c>
      <c r="S38" s="774" t="e">
        <f t="shared" si="10"/>
        <v>#N/A</v>
      </c>
      <c r="T38" s="773" t="s">
        <v>17</v>
      </c>
      <c r="U38" s="774" t="e">
        <f t="shared" si="11"/>
        <v>#N/A</v>
      </c>
      <c r="V38" s="773" t="s">
        <v>17</v>
      </c>
      <c r="W38" s="774" t="e">
        <f t="shared" si="12"/>
        <v>#N/A</v>
      </c>
      <c r="X38" s="1812"/>
      <c r="Y38" s="3199"/>
      <c r="Z38" s="1813" t="str">
        <f t="shared" si="13"/>
        <v>宗地面积</v>
      </c>
      <c r="AA38" s="1810" t="e">
        <f t="shared" si="3"/>
        <v>#N/A</v>
      </c>
      <c r="AB38" s="1810" t="e">
        <f t="shared" si="4"/>
        <v>#N/A</v>
      </c>
      <c r="AC38" s="1810" t="e">
        <f t="shared" si="5"/>
        <v>#N/A</v>
      </c>
    </row>
    <row r="39" spans="1:29" ht="15">
      <c r="A39" s="471"/>
      <c r="B39" s="421" t="s">
        <v>2745</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9"/>
      <c r="M39" s="1130"/>
      <c r="N39" s="1130"/>
      <c r="O39" s="1138"/>
      <c r="P39" s="3199"/>
      <c r="Q39" s="1809" t="str">
        <f t="shared" ref="Q39:Q45" si="14">B39</f>
        <v>宗地形状</v>
      </c>
      <c r="R39" s="773" t="s">
        <v>17</v>
      </c>
      <c r="S39" s="774">
        <f t="shared" si="10"/>
        <v>100</v>
      </c>
      <c r="T39" s="773" t="s">
        <v>17</v>
      </c>
      <c r="U39" s="774">
        <f t="shared" si="11"/>
        <v>100</v>
      </c>
      <c r="V39" s="773" t="s">
        <v>17</v>
      </c>
      <c r="W39" s="774">
        <f t="shared" si="12"/>
        <v>100</v>
      </c>
      <c r="X39" s="1812"/>
      <c r="Y39" s="3199"/>
      <c r="Z39" s="1813" t="str">
        <f t="shared" si="13"/>
        <v>宗地形状</v>
      </c>
      <c r="AA39" s="1810">
        <f t="shared" si="3"/>
        <v>1</v>
      </c>
      <c r="AB39" s="1810">
        <f t="shared" si="4"/>
        <v>1</v>
      </c>
      <c r="AC39" s="1810">
        <f t="shared" si="5"/>
        <v>1</v>
      </c>
    </row>
    <row r="40" spans="1:29" ht="15">
      <c r="A40" s="471"/>
      <c r="B40" s="421" t="s">
        <v>2746</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9"/>
      <c r="M40" s="1130"/>
      <c r="N40" s="1130"/>
      <c r="O40" s="1138"/>
      <c r="P40" s="3199"/>
      <c r="Q40" s="1809" t="str">
        <f t="shared" si="14"/>
        <v>临街宽度及深度</v>
      </c>
      <c r="R40" s="773" t="s">
        <v>17</v>
      </c>
      <c r="S40" s="774">
        <f t="shared" si="10"/>
        <v>100</v>
      </c>
      <c r="T40" s="773" t="s">
        <v>17</v>
      </c>
      <c r="U40" s="774">
        <f t="shared" si="11"/>
        <v>100</v>
      </c>
      <c r="V40" s="773" t="s">
        <v>17</v>
      </c>
      <c r="W40" s="774">
        <f t="shared" si="12"/>
        <v>100</v>
      </c>
      <c r="X40" s="1812"/>
      <c r="Y40" s="3199"/>
      <c r="Z40" s="1813" t="str">
        <f t="shared" si="13"/>
        <v>临街宽度及深度</v>
      </c>
      <c r="AA40" s="1810">
        <f t="shared" si="3"/>
        <v>1</v>
      </c>
      <c r="AB40" s="1810">
        <f t="shared" si="4"/>
        <v>1</v>
      </c>
      <c r="AC40" s="1810">
        <f t="shared" si="5"/>
        <v>1</v>
      </c>
    </row>
    <row r="41" spans="1:29" s="117" customFormat="1" ht="15">
      <c r="A41" s="472"/>
      <c r="B41" s="421" t="s">
        <v>2747</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1"/>
      <c r="M41" s="1132"/>
      <c r="N41" s="1132"/>
      <c r="O41" s="1133"/>
      <c r="P41" s="3199"/>
      <c r="Q41" s="1809" t="str">
        <f t="shared" si="14"/>
        <v>宗地开发程度</v>
      </c>
      <c r="R41" s="769" t="s">
        <v>17</v>
      </c>
      <c r="S41" s="770">
        <f t="shared" si="10"/>
        <v>100</v>
      </c>
      <c r="T41" s="769" t="s">
        <v>17</v>
      </c>
      <c r="U41" s="770">
        <f t="shared" si="11"/>
        <v>100</v>
      </c>
      <c r="V41" s="769" t="s">
        <v>17</v>
      </c>
      <c r="W41" s="770">
        <f t="shared" si="12"/>
        <v>100</v>
      </c>
      <c r="X41" s="771"/>
      <c r="Y41" s="3199"/>
      <c r="Z41" s="55" t="str">
        <f t="shared" si="13"/>
        <v>宗地开发程度</v>
      </c>
      <c r="AA41" s="772">
        <f t="shared" si="3"/>
        <v>1</v>
      </c>
      <c r="AB41" s="772">
        <f t="shared" si="4"/>
        <v>1</v>
      </c>
      <c r="AC41" s="772">
        <f t="shared" si="5"/>
        <v>1</v>
      </c>
    </row>
    <row r="42" spans="1:29" ht="15">
      <c r="A42" s="471"/>
      <c r="B42" s="421" t="s">
        <v>2748</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9"/>
      <c r="M42" s="1130"/>
      <c r="N42" s="1130"/>
      <c r="O42" s="1138"/>
      <c r="P42" s="3199" t="s">
        <v>2558</v>
      </c>
      <c r="Q42" s="1809" t="str">
        <f t="shared" si="14"/>
        <v>工程地质条件</v>
      </c>
      <c r="R42" s="773" t="s">
        <v>17</v>
      </c>
      <c r="S42" s="774">
        <f t="shared" si="10"/>
        <v>100</v>
      </c>
      <c r="T42" s="773" t="s">
        <v>17</v>
      </c>
      <c r="U42" s="774">
        <f t="shared" si="11"/>
        <v>100</v>
      </c>
      <c r="V42" s="773" t="s">
        <v>17</v>
      </c>
      <c r="W42" s="774">
        <f t="shared" si="12"/>
        <v>100</v>
      </c>
      <c r="X42" s="1812"/>
      <c r="Y42" s="3199" t="s">
        <v>2558</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99"/>
      <c r="Q43" s="1809">
        <f t="shared" si="14"/>
        <v>111</v>
      </c>
      <c r="R43" s="773" t="s">
        <v>17</v>
      </c>
      <c r="S43" s="774">
        <f t="shared" si="10"/>
        <v>100</v>
      </c>
      <c r="T43" s="773" t="s">
        <v>17</v>
      </c>
      <c r="U43" s="774">
        <f t="shared" si="11"/>
        <v>100</v>
      </c>
      <c r="V43" s="773" t="s">
        <v>17</v>
      </c>
      <c r="W43" s="774">
        <f t="shared" si="12"/>
        <v>100</v>
      </c>
      <c r="X43" s="1812"/>
      <c r="Y43" s="3199"/>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99"/>
      <c r="Q44" s="1809">
        <f t="shared" si="14"/>
        <v>111</v>
      </c>
      <c r="R44" s="773" t="s">
        <v>17</v>
      </c>
      <c r="S44" s="774">
        <f t="shared" si="10"/>
        <v>100</v>
      </c>
      <c r="T44" s="773" t="s">
        <v>17</v>
      </c>
      <c r="U44" s="774">
        <f t="shared" si="11"/>
        <v>100</v>
      </c>
      <c r="V44" s="773" t="s">
        <v>17</v>
      </c>
      <c r="W44" s="774">
        <f t="shared" si="12"/>
        <v>100</v>
      </c>
      <c r="X44" s="1812"/>
      <c r="Y44" s="3199"/>
      <c r="Z44" s="1813">
        <f t="shared" si="13"/>
        <v>111</v>
      </c>
      <c r="AA44" s="1810">
        <f t="shared" si="3"/>
        <v>1</v>
      </c>
      <c r="AB44" s="1810">
        <f t="shared" si="4"/>
        <v>1</v>
      </c>
      <c r="AC44" s="1810">
        <f t="shared" si="5"/>
        <v>1</v>
      </c>
    </row>
    <row r="45" spans="1:29" s="470" customFormat="1" ht="15.6"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99"/>
      <c r="Q45" s="1809">
        <f t="shared" si="14"/>
        <v>111</v>
      </c>
      <c r="R45" s="776" t="s">
        <v>17</v>
      </c>
      <c r="S45" s="777">
        <f t="shared" si="10"/>
        <v>100</v>
      </c>
      <c r="T45" s="776" t="s">
        <v>17</v>
      </c>
      <c r="U45" s="777">
        <f t="shared" si="11"/>
        <v>100</v>
      </c>
      <c r="V45" s="776" t="s">
        <v>17</v>
      </c>
      <c r="W45" s="777">
        <f t="shared" si="12"/>
        <v>100</v>
      </c>
      <c r="X45" s="778"/>
      <c r="Y45" s="3199"/>
      <c r="Z45" s="779">
        <f t="shared" si="13"/>
        <v>111</v>
      </c>
      <c r="AA45" s="1810">
        <f t="shared" si="3"/>
        <v>1</v>
      </c>
      <c r="AB45" s="1810">
        <f t="shared" si="4"/>
        <v>1</v>
      </c>
      <c r="AC45" s="1810">
        <f t="shared" si="5"/>
        <v>1</v>
      </c>
    </row>
    <row r="46" spans="1:29" ht="14.4">
      <c r="A46" s="478" t="s">
        <v>2713</v>
      </c>
      <c r="B46" s="2703" t="s">
        <v>2749</v>
      </c>
      <c r="C46" s="681" t="s">
        <v>1</v>
      </c>
      <c r="D46" s="480"/>
      <c r="E46" s="481"/>
      <c r="F46" s="482"/>
      <c r="G46" s="483"/>
      <c r="H46" s="484"/>
      <c r="I46" s="481"/>
      <c r="J46" s="484"/>
      <c r="K46" s="782"/>
      <c r="L46" s="1142"/>
      <c r="M46" s="1143"/>
      <c r="N46" s="1130"/>
      <c r="O46" s="1143"/>
      <c r="P46" s="3192" t="str">
        <f>A46</f>
        <v>成交单价</v>
      </c>
      <c r="Q46" s="3192"/>
      <c r="R46" s="3223">
        <f>E46</f>
        <v>0</v>
      </c>
      <c r="S46" s="3223"/>
      <c r="T46" s="3223">
        <f>G46</f>
        <v>0</v>
      </c>
      <c r="U46" s="3223"/>
      <c r="V46" s="3223">
        <f>I46</f>
        <v>0</v>
      </c>
      <c r="W46" s="3223"/>
      <c r="X46" s="758"/>
      <c r="Y46" s="780"/>
      <c r="Z46" s="758"/>
      <c r="AA46" s="758"/>
      <c r="AB46" s="758"/>
      <c r="AC46" s="758"/>
    </row>
    <row r="47" spans="1:29" ht="15" thickBot="1">
      <c r="A47" s="485" t="s">
        <v>2662</v>
      </c>
      <c r="B47" s="682"/>
      <c r="C47" s="489" t="e">
        <f>R48</f>
        <v>#DIV/0!</v>
      </c>
      <c r="D47" s="488"/>
      <c r="E47" s="489" t="e">
        <f>R47</f>
        <v>#DIV/0!</v>
      </c>
      <c r="F47" s="490"/>
      <c r="G47" s="487" t="e">
        <f>T47</f>
        <v>#DIV/0!</v>
      </c>
      <c r="H47" s="488"/>
      <c r="I47" s="489" t="e">
        <f>V47</f>
        <v>#DIV/0!</v>
      </c>
      <c r="J47" s="488"/>
      <c r="K47" s="783"/>
      <c r="L47" s="1142"/>
      <c r="M47" s="1143"/>
      <c r="N47" s="1143"/>
      <c r="O47" s="1143"/>
      <c r="P47" s="3192" t="str">
        <f>A47</f>
        <v>比较价值（元/平方米）</v>
      </c>
      <c r="Q47" s="3192"/>
      <c r="R47" s="3251" t="e">
        <f>ROUND(PRODUCT(R46,AA7:AA45),0)</f>
        <v>#DIV/0!</v>
      </c>
      <c r="S47" s="3251"/>
      <c r="T47" s="3251" t="e">
        <f>ROUND(PRODUCT(T46,AB7:AB45),0)</f>
        <v>#DIV/0!</v>
      </c>
      <c r="U47" s="3251"/>
      <c r="V47" s="3251" t="e">
        <f>ROUND(PRODUCT(V46,AC7:AC45),0)</f>
        <v>#DIV/0!</v>
      </c>
      <c r="W47" s="3251"/>
      <c r="X47" s="758"/>
      <c r="Y47" s="758"/>
      <c r="Z47" s="758"/>
      <c r="AA47" s="758"/>
      <c r="AB47" s="758"/>
      <c r="AC47" s="758"/>
    </row>
    <row r="48" spans="1:29" ht="15" thickBot="1">
      <c r="A48" s="491" t="s">
        <v>2750</v>
      </c>
      <c r="B48" s="492"/>
      <c r="C48" s="493" t="e">
        <f>R48</f>
        <v>#DIV/0!</v>
      </c>
      <c r="D48" s="493"/>
      <c r="E48" s="493"/>
      <c r="F48" s="493"/>
      <c r="G48" s="493"/>
      <c r="H48" s="493"/>
      <c r="I48" s="493"/>
      <c r="J48" s="493"/>
      <c r="K48" s="784"/>
      <c r="L48" s="1142"/>
      <c r="M48" s="1143"/>
      <c r="N48" s="1143"/>
      <c r="O48" s="1143"/>
      <c r="P48" s="3189" t="str">
        <f>A48</f>
        <v>估价对象XX用房的比较价值（楼面单价，元/平方米）</v>
      </c>
      <c r="Q48" s="3190"/>
      <c r="R48" s="3252" t="e">
        <f>ROUND(AVERAGE(R47:V47),0)</f>
        <v>#DIV/0!</v>
      </c>
      <c r="S48" s="3252"/>
      <c r="T48" s="3252"/>
      <c r="U48" s="3252"/>
      <c r="V48" s="3252"/>
      <c r="W48" s="3252"/>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2751</v>
      </c>
      <c r="B55" s="684" t="s">
        <v>2752</v>
      </c>
      <c r="C55" s="2704" t="s">
        <v>2753</v>
      </c>
      <c r="D55" s="2705" t="s">
        <v>2754</v>
      </c>
      <c r="E55" s="685" t="s">
        <v>2755</v>
      </c>
      <c r="F55" s="1106" t="s">
        <v>2756</v>
      </c>
      <c r="G55" s="3207" t="s">
        <v>2757</v>
      </c>
      <c r="H55" s="3253"/>
      <c r="I55" s="143" t="s">
        <v>2758</v>
      </c>
      <c r="J55" s="2706">
        <f>项目基本情况!F35</f>
        <v>0</v>
      </c>
      <c r="K55" s="2707" t="s">
        <v>2759</v>
      </c>
      <c r="L55" s="1105"/>
      <c r="M55" s="1143"/>
      <c r="N55" s="1143"/>
      <c r="O55" s="1143"/>
    </row>
    <row r="56" spans="1:15" s="691" customFormat="1">
      <c r="A56" s="687" t="s">
        <v>2760</v>
      </c>
      <c r="B56" s="688" t="e">
        <f>C48</f>
        <v>#DIV/0!</v>
      </c>
      <c r="C56" s="689">
        <v>1</v>
      </c>
      <c r="D56" s="1162">
        <v>1</v>
      </c>
      <c r="E56" s="689">
        <f>'数据-汇总表'!E8+'数据-汇总表'!E9</f>
        <v>1106.44</v>
      </c>
      <c r="F56" s="1102" t="e">
        <f t="shared" ref="F56:F65" si="15">ROUND(B56*E56/10000,0)</f>
        <v>#DIV/0!</v>
      </c>
      <c r="G56" s="3203"/>
      <c r="H56" s="3192"/>
      <c r="I56" s="1107">
        <v>1</v>
      </c>
      <c r="J56" s="1110">
        <v>1</v>
      </c>
      <c r="K56" s="1144"/>
      <c r="L56" s="940"/>
      <c r="M56" s="940"/>
      <c r="N56" s="940"/>
      <c r="O56" s="940"/>
    </row>
    <row r="57" spans="1:15" s="691" customFormat="1">
      <c r="A57" s="692" t="s">
        <v>2761</v>
      </c>
      <c r="B57" s="261" t="e">
        <f>ROUND($C$48*C57*D57,0)</f>
        <v>#DIV/0!</v>
      </c>
      <c r="C57" s="199">
        <f t="shared" ref="C57:C65" si="16">IF($C$55="北京市系数",I57,J57)</f>
        <v>0</v>
      </c>
      <c r="D57" s="1163">
        <v>0.25</v>
      </c>
      <c r="E57" s="693"/>
      <c r="F57" s="1102" t="e">
        <f t="shared" si="15"/>
        <v>#DIV/0!</v>
      </c>
      <c r="G57" s="3254" t="s">
        <v>2762</v>
      </c>
      <c r="H57" s="1103">
        <f>项目基本情况!B37</f>
        <v>0</v>
      </c>
      <c r="I57" s="1107">
        <f>SUMIF(修正!A45:A56,H57,修正!B45:B56)</f>
        <v>0</v>
      </c>
      <c r="J57" s="1111"/>
      <c r="K57" s="1143"/>
      <c r="L57" s="940"/>
      <c r="M57" s="940"/>
      <c r="N57" s="940"/>
      <c r="O57" s="940"/>
    </row>
    <row r="58" spans="1:15" s="691" customFormat="1">
      <c r="A58" s="692" t="s">
        <v>2763</v>
      </c>
      <c r="B58" s="261" t="e">
        <f t="shared" ref="B58:B65" si="17">ROUND($C$48*C58*D58,0)</f>
        <v>#DIV/0!</v>
      </c>
      <c r="C58" s="199">
        <f t="shared" si="16"/>
        <v>0</v>
      </c>
      <c r="D58" s="1163">
        <v>0.25</v>
      </c>
      <c r="E58" s="693"/>
      <c r="F58" s="1102" t="e">
        <f t="shared" si="15"/>
        <v>#DIV/0!</v>
      </c>
      <c r="G58" s="3254"/>
      <c r="H58" s="1103">
        <f>项目基本情况!B37</f>
        <v>0</v>
      </c>
      <c r="I58" s="1107">
        <f>SUMIF(修正!A45:A56,H58,修正!C45:C56)</f>
        <v>0</v>
      </c>
      <c r="J58" s="1111"/>
      <c r="K58" s="1144"/>
      <c r="L58" s="940"/>
      <c r="M58" s="940"/>
      <c r="N58" s="940"/>
      <c r="O58" s="940"/>
    </row>
    <row r="59" spans="1:15" s="691" customFormat="1">
      <c r="A59" s="692" t="s">
        <v>2764</v>
      </c>
      <c r="B59" s="261" t="e">
        <f t="shared" si="17"/>
        <v>#DIV/0!</v>
      </c>
      <c r="C59" s="199">
        <f t="shared" si="16"/>
        <v>0</v>
      </c>
      <c r="D59" s="1163">
        <v>0.25</v>
      </c>
      <c r="E59" s="693"/>
      <c r="F59" s="1102" t="e">
        <f t="shared" si="15"/>
        <v>#DIV/0!</v>
      </c>
      <c r="G59" s="3254"/>
      <c r="H59" s="1103">
        <f>项目基本情况!B37</f>
        <v>0</v>
      </c>
      <c r="I59" s="1107">
        <f>SUMIF(修正!A45:A56,H59,修正!D45:D56)</f>
        <v>0</v>
      </c>
      <c r="J59" s="1111"/>
      <c r="K59" s="1143"/>
      <c r="L59" s="940"/>
      <c r="M59" s="940"/>
      <c r="N59" s="940"/>
      <c r="O59" s="940"/>
    </row>
    <row r="60" spans="1:15" s="691" customFormat="1">
      <c r="A60" s="692" t="s">
        <v>2765</v>
      </c>
      <c r="B60" s="261" t="e">
        <f t="shared" si="17"/>
        <v>#DIV/0!</v>
      </c>
      <c r="C60" s="199">
        <f t="shared" si="16"/>
        <v>0</v>
      </c>
      <c r="D60" s="1163">
        <v>0.25</v>
      </c>
      <c r="E60" s="693"/>
      <c r="F60" s="1102" t="e">
        <f t="shared" si="15"/>
        <v>#DIV/0!</v>
      </c>
      <c r="G60" s="3254"/>
      <c r="H60" s="1103">
        <f>项目基本情况!B37</f>
        <v>0</v>
      </c>
      <c r="I60" s="1107">
        <f>SUMIF(修正!A45:A56,H60,修正!E45:E56)</f>
        <v>0</v>
      </c>
      <c r="J60" s="1111"/>
      <c r="K60" s="1144"/>
      <c r="L60" s="940"/>
      <c r="M60" s="940"/>
      <c r="N60" s="940"/>
      <c r="O60" s="940"/>
    </row>
    <row r="61" spans="1:15" s="691" customFormat="1">
      <c r="A61" s="692" t="s">
        <v>2766</v>
      </c>
      <c r="B61" s="261" t="e">
        <f t="shared" si="17"/>
        <v>#DIV/0!</v>
      </c>
      <c r="C61" s="199">
        <f t="shared" si="16"/>
        <v>0</v>
      </c>
      <c r="D61" s="1163">
        <v>0.25</v>
      </c>
      <c r="E61" s="260">
        <f>'数据-汇总表'!E11</f>
        <v>0</v>
      </c>
      <c r="F61" s="1102" t="e">
        <f t="shared" si="15"/>
        <v>#DIV/0!</v>
      </c>
      <c r="G61" s="2708" t="s">
        <v>2767</v>
      </c>
      <c r="H61" s="1103">
        <f>项目基本情况!C37</f>
        <v>0</v>
      </c>
      <c r="I61" s="1107">
        <f>SUMIF(修正!A45:A56,H61,修正!F45:F56)</f>
        <v>0</v>
      </c>
      <c r="J61" s="1111"/>
      <c r="K61" s="1143"/>
      <c r="L61" s="940"/>
      <c r="M61" s="940"/>
      <c r="N61" s="940"/>
      <c r="O61" s="940"/>
    </row>
    <row r="62" spans="1:15" s="691" customFormat="1">
      <c r="A62" s="692" t="s">
        <v>2768</v>
      </c>
      <c r="B62" s="261" t="e">
        <f t="shared" si="17"/>
        <v>#DIV/0!</v>
      </c>
      <c r="C62" s="199">
        <f t="shared" si="16"/>
        <v>0</v>
      </c>
      <c r="D62" s="1163">
        <v>0.25</v>
      </c>
      <c r="E62" s="260">
        <f>'数据-汇总表'!E12</f>
        <v>0</v>
      </c>
      <c r="F62" s="1102" t="e">
        <f t="shared" si="15"/>
        <v>#DIV/0!</v>
      </c>
      <c r="G62" s="1108" t="s">
        <v>2769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2770</v>
      </c>
      <c r="B63" s="261" t="e">
        <f t="shared" si="17"/>
        <v>#DIV/0!</v>
      </c>
      <c r="C63" s="199">
        <f t="shared" si="16"/>
        <v>0</v>
      </c>
      <c r="D63" s="1163">
        <v>0.25</v>
      </c>
      <c r="E63" s="260">
        <f>'数据-汇总表'!E13</f>
        <v>0</v>
      </c>
      <c r="F63" s="1102" t="e">
        <f t="shared" si="15"/>
        <v>#DIV/0!</v>
      </c>
      <c r="G63" s="1108" t="s">
        <v>2771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2772</v>
      </c>
      <c r="B64" s="261" t="e">
        <f t="shared" si="17"/>
        <v>#DIV/0!</v>
      </c>
      <c r="C64" s="199">
        <f t="shared" si="16"/>
        <v>0</v>
      </c>
      <c r="D64" s="1163">
        <v>0.25</v>
      </c>
      <c r="E64" s="260">
        <f>'数据-汇总表'!E14</f>
        <v>0</v>
      </c>
      <c r="F64" s="1102" t="e">
        <f t="shared" si="15"/>
        <v>#DIV/0!</v>
      </c>
      <c r="G64" s="2708" t="s">
        <v>2762</v>
      </c>
      <c r="H64" s="1103">
        <f>项目基本情况!B37</f>
        <v>0</v>
      </c>
      <c r="I64" s="1107">
        <f>SUMIF(修正!A45:A56,H64,修正!H45:H56)</f>
        <v>0</v>
      </c>
      <c r="J64" s="1111"/>
      <c r="K64" s="1144"/>
      <c r="L64" s="940"/>
      <c r="M64" s="940"/>
      <c r="N64" s="940"/>
      <c r="O64" s="940"/>
    </row>
    <row r="65" spans="1:17" s="691" customFormat="1" ht="14.4" thickBot="1">
      <c r="A65" s="692" t="s">
        <v>2773</v>
      </c>
      <c r="B65" s="261" t="e">
        <f t="shared" si="17"/>
        <v>#DIV/0!</v>
      </c>
      <c r="C65" s="199">
        <f t="shared" si="16"/>
        <v>0</v>
      </c>
      <c r="D65" s="1163">
        <v>0.25</v>
      </c>
      <c r="E65" s="260">
        <f>'数据-汇总表'!E15</f>
        <v>0</v>
      </c>
      <c r="F65" s="1102" t="e">
        <f t="shared" si="15"/>
        <v>#DIV/0!</v>
      </c>
      <c r="G65" s="2709" t="s">
        <v>2767</v>
      </c>
      <c r="H65" s="1113">
        <f>项目基本情况!C37</f>
        <v>0</v>
      </c>
      <c r="I65" s="1109">
        <f>SUMIF(修正!A45:A56,H65,修正!H45:H56)</f>
        <v>0</v>
      </c>
      <c r="J65" s="1112"/>
      <c r="K65" s="1143"/>
      <c r="L65" s="940"/>
      <c r="M65" s="940"/>
      <c r="N65" s="940"/>
      <c r="O65" s="940"/>
    </row>
    <row r="66" spans="1:17" s="691" customFormat="1" thickBot="1">
      <c r="A66" s="694" t="s">
        <v>2774</v>
      </c>
      <c r="B66" s="695" t="s">
        <v>28</v>
      </c>
      <c r="C66" s="695" t="s">
        <v>29</v>
      </c>
      <c r="D66" s="695" t="s">
        <v>1026</v>
      </c>
      <c r="E66" s="695">
        <f>IF(B46="楼面地价",SUM(E56:E65),'数据-汇总表'!D3)</f>
        <v>1106.44</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2020-4-1</v>
      </c>
      <c r="D68" s="760">
        <f>EDATE(C68,-3)</f>
        <v>43831</v>
      </c>
      <c r="E68" s="760">
        <f>EDATE(D68,-3)</f>
        <v>43739</v>
      </c>
      <c r="F68" s="760">
        <f t="shared" ref="F68:O68" si="18">EDATE(E68,-3)</f>
        <v>43647</v>
      </c>
      <c r="G68" s="760">
        <f t="shared" si="18"/>
        <v>43556</v>
      </c>
      <c r="H68" s="760">
        <f t="shared" si="18"/>
        <v>43466</v>
      </c>
      <c r="I68" s="760">
        <f t="shared" si="18"/>
        <v>43374</v>
      </c>
      <c r="J68" s="760">
        <f t="shared" si="18"/>
        <v>43282</v>
      </c>
      <c r="K68" s="760">
        <f t="shared" si="18"/>
        <v>43191</v>
      </c>
      <c r="L68" s="760">
        <f t="shared" si="18"/>
        <v>43101</v>
      </c>
      <c r="M68" s="760">
        <f t="shared" si="18"/>
        <v>43009</v>
      </c>
      <c r="N68" s="760">
        <f t="shared" si="18"/>
        <v>42917</v>
      </c>
      <c r="O68" s="760">
        <f t="shared" si="18"/>
        <v>42826</v>
      </c>
    </row>
    <row r="69" spans="1:17" ht="22.2" thickBot="1">
      <c r="A69" s="762" t="s">
        <v>2667</v>
      </c>
      <c r="B69" s="758"/>
      <c r="C69" s="763"/>
      <c r="D69" s="763"/>
      <c r="E69" s="763"/>
      <c r="F69" s="764"/>
      <c r="G69" s="764"/>
      <c r="H69" s="763"/>
      <c r="I69" s="763"/>
      <c r="J69" s="1158"/>
      <c r="K69" s="1159"/>
      <c r="L69" s="1160"/>
      <c r="M69" s="1158"/>
      <c r="N69" s="1158"/>
      <c r="O69" s="1158"/>
      <c r="P69" s="502"/>
      <c r="Q69" s="503"/>
    </row>
    <row r="70" spans="1:17" s="507" customFormat="1" ht="14.4">
      <c r="A70" s="2710" t="s">
        <v>2775</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7" customFormat="1" ht="30" customHeight="1">
      <c r="A71" s="2711" t="s">
        <v>2776</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6"/>
      <c r="N71" s="594"/>
      <c r="O71" s="1567"/>
      <c r="P71" s="503"/>
    </row>
    <row r="72" spans="1:17" s="117" customFormat="1" ht="15" thickBot="1">
      <c r="A72" s="514" t="s">
        <v>2578</v>
      </c>
      <c r="B72" s="515"/>
      <c r="C72" s="516"/>
      <c r="D72" s="517"/>
      <c r="E72" s="517"/>
      <c r="F72" s="517"/>
      <c r="G72" s="517"/>
      <c r="H72" s="517"/>
      <c r="I72" s="517"/>
      <c r="J72" s="517"/>
      <c r="K72" s="517"/>
      <c r="L72" s="517"/>
      <c r="M72" s="518"/>
      <c r="N72" s="517"/>
      <c r="O72" s="1161"/>
      <c r="P72" s="503"/>
      <c r="Q72" s="503"/>
    </row>
    <row r="73" spans="1:17" s="117" customFormat="1" ht="14.4">
      <c r="A73" s="520" t="s">
        <v>2543</v>
      </c>
      <c r="B73" s="509"/>
      <c r="C73" s="521" t="s">
        <v>2645</v>
      </c>
      <c r="D73" s="522"/>
      <c r="E73" s="522"/>
      <c r="F73" s="522"/>
      <c r="G73" s="522"/>
      <c r="H73" s="522"/>
      <c r="I73" s="522"/>
      <c r="J73" s="522"/>
      <c r="K73" s="522"/>
      <c r="L73" s="523"/>
      <c r="M73" s="524"/>
      <c r="N73" s="1150"/>
      <c r="O73" s="1150"/>
      <c r="P73" s="525"/>
      <c r="Q73" s="503"/>
    </row>
    <row r="74" spans="1:17" s="117"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2581</v>
      </c>
      <c r="B75" s="527" t="s">
        <v>2547</v>
      </c>
      <c r="C75" s="529"/>
      <c r="D75" s="529"/>
      <c r="E75" s="529"/>
      <c r="F75" s="529"/>
      <c r="G75" s="529"/>
      <c r="H75" s="529"/>
      <c r="I75" s="529"/>
      <c r="J75" s="529"/>
      <c r="K75" s="530"/>
      <c r="L75" s="531"/>
      <c r="M75" s="532"/>
      <c r="N75" s="1151"/>
      <c r="O75" s="1151"/>
      <c r="P75" s="45"/>
      <c r="Q75" s="503"/>
    </row>
    <row r="76" spans="1:17" ht="14.4" thickBot="1">
      <c r="A76" s="533"/>
      <c r="B76" s="534"/>
      <c r="C76" s="535"/>
      <c r="D76" s="535"/>
      <c r="E76" s="535"/>
      <c r="F76" s="535"/>
      <c r="G76" s="535"/>
      <c r="H76" s="535"/>
      <c r="I76" s="535"/>
      <c r="J76" s="535"/>
      <c r="K76" s="535"/>
      <c r="L76" s="535"/>
      <c r="M76" s="536"/>
      <c r="N76" s="1152"/>
      <c r="O76" s="1152"/>
      <c r="P76" s="45"/>
      <c r="Q76" s="503"/>
    </row>
    <row r="77" spans="1:17" ht="29.4" thickTop="1">
      <c r="A77" s="533"/>
      <c r="B77" s="537" t="s">
        <v>2550</v>
      </c>
      <c r="C77" s="538"/>
      <c r="D77" s="538"/>
      <c r="E77" s="538"/>
      <c r="F77" s="538"/>
      <c r="G77" s="538"/>
      <c r="H77" s="538"/>
      <c r="I77" s="538"/>
      <c r="J77" s="538"/>
      <c r="K77" s="539"/>
      <c r="L77" s="540"/>
      <c r="M77" s="541"/>
      <c r="N77" s="1151"/>
      <c r="O77" s="1151"/>
      <c r="P77" s="45"/>
      <c r="Q77" s="503"/>
    </row>
    <row r="78" spans="1:17" ht="14.4" thickBot="1">
      <c r="A78" s="533"/>
      <c r="B78" s="542"/>
      <c r="C78" s="543"/>
      <c r="D78" s="543"/>
      <c r="E78" s="543"/>
      <c r="F78" s="543"/>
      <c r="G78" s="543"/>
      <c r="H78" s="543"/>
      <c r="I78" s="543"/>
      <c r="J78" s="543"/>
      <c r="K78" s="543"/>
      <c r="L78" s="543"/>
      <c r="M78" s="544"/>
      <c r="N78" s="1152"/>
      <c r="O78" s="1152"/>
      <c r="P78" s="45"/>
      <c r="Q78" s="503"/>
    </row>
    <row r="79" spans="1:17" ht="15" thickTop="1">
      <c r="A79" s="533"/>
      <c r="B79" s="545" t="s">
        <v>2551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c r="A80" s="533"/>
      <c r="B80" s="547"/>
      <c r="C80" s="548"/>
      <c r="D80" s="548"/>
      <c r="E80" s="548"/>
      <c r="F80" s="548"/>
      <c r="G80" s="548"/>
      <c r="H80" s="548"/>
      <c r="I80" s="548"/>
      <c r="J80" s="548"/>
      <c r="K80" s="549"/>
      <c r="L80" s="550"/>
      <c r="M80" s="551"/>
      <c r="N80" s="1151"/>
      <c r="O80" s="1151"/>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4.4" thickTop="1">
      <c r="A84" s="552"/>
      <c r="B84" s="537">
        <f>B13</f>
        <v>111</v>
      </c>
      <c r="C84" s="553"/>
      <c r="D84" s="553"/>
      <c r="E84" s="553"/>
      <c r="F84" s="553"/>
      <c r="G84" s="553"/>
      <c r="H84" s="554"/>
      <c r="I84" s="554"/>
      <c r="J84" s="554"/>
      <c r="K84" s="554"/>
      <c r="L84" s="555"/>
      <c r="M84" s="556"/>
      <c r="N84" s="1153"/>
      <c r="O84" s="1153"/>
      <c r="P84" s="469"/>
      <c r="Q84" s="560"/>
    </row>
    <row r="85" spans="1:17" s="470" customFormat="1" ht="14.4" thickBot="1">
      <c r="A85" s="552"/>
      <c r="B85" s="542"/>
      <c r="C85" s="559"/>
      <c r="D85" s="559"/>
      <c r="E85" s="559"/>
      <c r="F85" s="559"/>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2552</v>
      </c>
      <c r="B88" s="527" t="s">
        <v>2589</v>
      </c>
      <c r="C88" s="572" t="s">
        <v>2590</v>
      </c>
      <c r="D88" s="572" t="s">
        <v>2591</v>
      </c>
      <c r="E88" s="572" t="s">
        <v>2592</v>
      </c>
      <c r="F88" s="572" t="s">
        <v>2593</v>
      </c>
      <c r="G88" s="572" t="s">
        <v>2594</v>
      </c>
      <c r="H88" s="528"/>
      <c r="I88" s="528"/>
      <c r="J88" s="528"/>
      <c r="K88" s="573"/>
      <c r="L88" s="574"/>
      <c r="M88" s="575"/>
      <c r="N88" s="1151"/>
      <c r="O88" s="1151"/>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 thickTop="1">
      <c r="A90" s="533"/>
      <c r="B90" s="537" t="s">
        <v>2777</v>
      </c>
      <c r="C90" s="577" t="s">
        <v>2590</v>
      </c>
      <c r="D90" s="577" t="s">
        <v>2591</v>
      </c>
      <c r="E90" s="577" t="s">
        <v>2592</v>
      </c>
      <c r="F90" s="577" t="s">
        <v>2593</v>
      </c>
      <c r="G90" s="577" t="s">
        <v>2594</v>
      </c>
      <c r="H90" s="538"/>
      <c r="I90" s="538"/>
      <c r="J90" s="538"/>
      <c r="K90" s="539"/>
      <c r="L90" s="540"/>
      <c r="M90" s="541"/>
      <c r="N90" s="1151"/>
      <c r="O90" s="1151"/>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 thickTop="1">
      <c r="A92" s="533"/>
      <c r="B92" s="537" t="s">
        <v>2690</v>
      </c>
      <c r="C92" s="577" t="s">
        <v>2590</v>
      </c>
      <c r="D92" s="577" t="s">
        <v>2591</v>
      </c>
      <c r="E92" s="577" t="s">
        <v>2592</v>
      </c>
      <c r="F92" s="577" t="s">
        <v>2593</v>
      </c>
      <c r="G92" s="577" t="s">
        <v>2594</v>
      </c>
      <c r="H92" s="538"/>
      <c r="I92" s="538"/>
      <c r="J92" s="538"/>
      <c r="K92" s="539"/>
      <c r="L92" s="540"/>
      <c r="M92" s="541"/>
      <c r="N92" s="1151"/>
      <c r="O92" s="1151"/>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 thickTop="1">
      <c r="A94" s="533"/>
      <c r="B94" s="537" t="s">
        <v>2595</v>
      </c>
      <c r="C94" s="577" t="s">
        <v>2590</v>
      </c>
      <c r="D94" s="577" t="s">
        <v>2591</v>
      </c>
      <c r="E94" s="577" t="s">
        <v>2592</v>
      </c>
      <c r="F94" s="577" t="s">
        <v>2593</v>
      </c>
      <c r="G94" s="577" t="s">
        <v>2594</v>
      </c>
      <c r="H94" s="538"/>
      <c r="I94" s="538"/>
      <c r="J94" s="538"/>
      <c r="K94" s="539"/>
      <c r="L94" s="540"/>
      <c r="M94" s="541"/>
      <c r="N94" s="1151"/>
      <c r="O94" s="1151"/>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29.4" thickTop="1">
      <c r="A96" s="578"/>
      <c r="B96" s="537" t="s">
        <v>2778</v>
      </c>
      <c r="C96" s="577" t="s">
        <v>2590</v>
      </c>
      <c r="D96" s="577" t="s">
        <v>2591</v>
      </c>
      <c r="E96" s="577" t="s">
        <v>2592</v>
      </c>
      <c r="F96" s="577" t="s">
        <v>2593</v>
      </c>
      <c r="G96" s="577" t="s">
        <v>2594</v>
      </c>
      <c r="H96" s="577"/>
      <c r="I96" s="577"/>
      <c r="J96" s="577"/>
      <c r="K96" s="577"/>
      <c r="L96" s="697"/>
      <c r="M96" s="621"/>
      <c r="N96" s="1150"/>
      <c r="O96" s="1150"/>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9.4" thickTop="1">
      <c r="A98" s="578"/>
      <c r="B98" s="537" t="s">
        <v>2779</v>
      </c>
      <c r="C98" s="572" t="s">
        <v>2590</v>
      </c>
      <c r="D98" s="572" t="s">
        <v>2591</v>
      </c>
      <c r="E98" s="572" t="s">
        <v>2592</v>
      </c>
      <c r="F98" s="572" t="s">
        <v>2593</v>
      </c>
      <c r="G98" s="572" t="s">
        <v>2594</v>
      </c>
      <c r="H98" s="577"/>
      <c r="I98" s="577"/>
      <c r="J98" s="577"/>
      <c r="K98" s="577"/>
      <c r="L98" s="577"/>
      <c r="M98" s="621"/>
      <c r="N98" s="1150"/>
      <c r="O98" s="1150"/>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 thickTop="1">
      <c r="A100" s="552"/>
      <c r="B100" s="537" t="s">
        <v>2647</v>
      </c>
      <c r="C100" s="572" t="s">
        <v>2590</v>
      </c>
      <c r="D100" s="572" t="s">
        <v>2591</v>
      </c>
      <c r="E100" s="572" t="s">
        <v>2592</v>
      </c>
      <c r="F100" s="572" t="s">
        <v>2593</v>
      </c>
      <c r="G100" s="572" t="s">
        <v>2594</v>
      </c>
      <c r="H100" s="599"/>
      <c r="I100" s="599"/>
      <c r="J100" s="599"/>
      <c r="K100" s="599"/>
      <c r="L100" s="600"/>
      <c r="M100" s="601"/>
      <c r="N100" s="1153"/>
      <c r="O100" s="1153"/>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 thickTop="1">
      <c r="A102" s="552"/>
      <c r="B102" s="545" t="s">
        <v>2648</v>
      </c>
      <c r="C102" s="659" t="s">
        <v>2668</v>
      </c>
      <c r="D102" s="659" t="s">
        <v>2669</v>
      </c>
      <c r="E102" s="659" t="s">
        <v>2670</v>
      </c>
      <c r="F102" s="659" t="s">
        <v>2671</v>
      </c>
      <c r="G102" s="659" t="s">
        <v>2672</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2780</v>
      </c>
      <c r="D104" s="538" t="s">
        <v>2781</v>
      </c>
      <c r="E104" s="538" t="s">
        <v>2782</v>
      </c>
      <c r="F104" s="538" t="s">
        <v>2783</v>
      </c>
      <c r="G104" s="538"/>
      <c r="H104" s="538"/>
      <c r="I104" s="538"/>
      <c r="J104" s="538"/>
      <c r="K104" s="539"/>
      <c r="L104" s="540"/>
      <c r="M104" s="541"/>
      <c r="N104" s="1151"/>
      <c r="O104" s="1151"/>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9.4" thickTop="1">
      <c r="A106" s="533"/>
      <c r="B106" s="537" t="s">
        <v>2684</v>
      </c>
      <c r="C106" s="553"/>
      <c r="D106" s="553"/>
      <c r="E106" s="553"/>
      <c r="F106" s="553"/>
      <c r="G106" s="553"/>
      <c r="H106" s="582"/>
      <c r="I106" s="582"/>
      <c r="J106" s="582"/>
      <c r="K106" s="583"/>
      <c r="L106" s="584"/>
      <c r="M106" s="585"/>
      <c r="N106" s="1151"/>
      <c r="O106" s="1151"/>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 thickTop="1">
      <c r="A108" s="533"/>
      <c r="B108" s="537" t="s">
        <v>2743</v>
      </c>
      <c r="C108" s="582"/>
      <c r="D108" s="582"/>
      <c r="E108" s="582"/>
      <c r="F108" s="582"/>
      <c r="G108" s="582"/>
      <c r="H108" s="582"/>
      <c r="I108" s="582"/>
      <c r="J108" s="582"/>
      <c r="K108" s="583"/>
      <c r="L108" s="584"/>
      <c r="M108" s="585"/>
      <c r="N108" s="1151"/>
      <c r="O108" s="1151"/>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4.4" thickTop="1">
      <c r="A110" s="533"/>
      <c r="B110" s="545">
        <f>B35</f>
        <v>111</v>
      </c>
      <c r="C110" s="553"/>
      <c r="D110" s="553"/>
      <c r="E110" s="553"/>
      <c r="F110" s="553"/>
      <c r="G110" s="586"/>
      <c r="H110" s="586"/>
      <c r="I110" s="586"/>
      <c r="J110" s="586"/>
      <c r="K110" s="587"/>
      <c r="L110" s="588"/>
      <c r="M110" s="589"/>
      <c r="N110" s="1151"/>
      <c r="O110" s="1151"/>
      <c r="P110" s="45"/>
      <c r="Q110" s="503"/>
    </row>
    <row r="111" spans="1:17" ht="14.4" thickBot="1">
      <c r="A111" s="533"/>
      <c r="B111" s="568"/>
      <c r="C111" s="559"/>
      <c r="D111" s="559"/>
      <c r="E111" s="559"/>
      <c r="F111" s="559"/>
      <c r="G111" s="590"/>
      <c r="H111" s="590"/>
      <c r="I111" s="590"/>
      <c r="J111" s="590"/>
      <c r="K111" s="590"/>
      <c r="L111" s="590"/>
      <c r="M111" s="591"/>
      <c r="N111" s="1152"/>
      <c r="O111" s="1152"/>
      <c r="P111" s="45"/>
      <c r="Q111" s="503"/>
    </row>
    <row r="112" spans="1:17" ht="14.4" thickTop="1">
      <c r="A112" s="674"/>
      <c r="B112" s="537">
        <f>B36</f>
        <v>111</v>
      </c>
      <c r="C112" s="522"/>
      <c r="D112" s="522"/>
      <c r="E112" s="522"/>
      <c r="F112" s="522"/>
      <c r="G112" s="582"/>
      <c r="H112" s="582"/>
      <c r="I112" s="582"/>
      <c r="J112" s="582"/>
      <c r="K112" s="583"/>
      <c r="L112" s="584"/>
      <c r="M112" s="585"/>
      <c r="N112" s="1151"/>
      <c r="O112" s="1151"/>
      <c r="P112" s="45"/>
      <c r="Q112" s="503"/>
    </row>
    <row r="113" spans="1:17" ht="14.4" thickBot="1">
      <c r="A113" s="533"/>
      <c r="B113" s="542"/>
      <c r="C113" s="569"/>
      <c r="D113" s="569"/>
      <c r="E113" s="569"/>
      <c r="F113" s="569"/>
      <c r="G113" s="535"/>
      <c r="H113" s="535"/>
      <c r="I113" s="535"/>
      <c r="J113" s="535"/>
      <c r="K113" s="535"/>
      <c r="L113" s="535"/>
      <c r="M113" s="536"/>
      <c r="N113" s="1152"/>
      <c r="O113" s="1152"/>
      <c r="P113" s="45"/>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14.4">
      <c r="A116" s="526" t="s">
        <v>2556</v>
      </c>
      <c r="B116" s="527" t="s">
        <v>2784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c r="A117" s="533"/>
      <c r="B117" s="545"/>
      <c r="C117" s="594"/>
      <c r="D117" s="594"/>
      <c r="E117" s="594"/>
      <c r="F117" s="594"/>
      <c r="G117" s="594"/>
      <c r="H117" s="594"/>
      <c r="I117" s="594"/>
      <c r="J117" s="595"/>
      <c r="K117" s="595"/>
      <c r="L117" s="596"/>
      <c r="M117" s="597"/>
      <c r="N117" s="1151"/>
      <c r="O117" s="1151"/>
      <c r="P117" s="45"/>
      <c r="Q117" s="503"/>
    </row>
    <row r="118" spans="1:17" ht="14.4"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2785</v>
      </c>
      <c r="C119" s="582"/>
      <c r="D119" s="582"/>
      <c r="E119" s="582"/>
      <c r="F119" s="582"/>
      <c r="G119" s="582"/>
      <c r="H119" s="582"/>
      <c r="I119" s="582"/>
      <c r="J119" s="582"/>
      <c r="K119" s="583"/>
      <c r="L119" s="584"/>
      <c r="M119" s="585"/>
      <c r="N119" s="1151"/>
      <c r="O119" s="1151"/>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2786</v>
      </c>
      <c r="C121" s="553"/>
      <c r="D121" s="553"/>
      <c r="E121" s="553"/>
      <c r="F121" s="582"/>
      <c r="G121" s="582"/>
      <c r="H121" s="582"/>
      <c r="I121" s="582"/>
      <c r="J121" s="582"/>
      <c r="K121" s="583"/>
      <c r="L121" s="584"/>
      <c r="M121" s="585"/>
      <c r="N121" s="1151"/>
      <c r="O121" s="1151"/>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2787</v>
      </c>
      <c r="C123" s="553"/>
      <c r="D123" s="553"/>
      <c r="E123" s="553"/>
      <c r="F123" s="553"/>
      <c r="G123" s="553"/>
      <c r="H123" s="582"/>
      <c r="I123" s="582"/>
      <c r="J123" s="582"/>
      <c r="K123" s="583"/>
      <c r="L123" s="584"/>
      <c r="M123" s="585"/>
      <c r="N123" s="1153"/>
      <c r="O123" s="1153"/>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2788</v>
      </c>
      <c r="C125" s="553"/>
      <c r="D125" s="553"/>
      <c r="E125" s="582"/>
      <c r="F125" s="582"/>
      <c r="G125" s="582"/>
      <c r="H125" s="582"/>
      <c r="I125" s="582"/>
      <c r="J125" s="582"/>
      <c r="K125" s="583"/>
      <c r="L125" s="584"/>
      <c r="M125" s="585"/>
      <c r="N125" s="1151"/>
      <c r="O125" s="1151"/>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4.4" thickTop="1">
      <c r="A127" s="598"/>
      <c r="B127" s="537">
        <f>B43</f>
        <v>111</v>
      </c>
      <c r="C127" s="553"/>
      <c r="D127" s="553"/>
      <c r="E127" s="553"/>
      <c r="F127" s="553"/>
      <c r="G127" s="553"/>
      <c r="H127" s="582"/>
      <c r="I127" s="582"/>
      <c r="J127" s="582"/>
      <c r="K127" s="583"/>
      <c r="L127" s="584"/>
      <c r="M127" s="585"/>
      <c r="N127" s="1151"/>
      <c r="O127" s="1151"/>
      <c r="P127" s="45"/>
      <c r="Q127" s="503"/>
    </row>
    <row r="128" spans="1:17" ht="14.4" thickBot="1">
      <c r="A128" s="533"/>
      <c r="B128" s="542"/>
      <c r="C128" s="559"/>
      <c r="D128" s="559"/>
      <c r="E128" s="559"/>
      <c r="F128" s="559"/>
      <c r="G128" s="535"/>
      <c r="H128" s="535"/>
      <c r="I128" s="535"/>
      <c r="J128" s="535"/>
      <c r="K128" s="535"/>
      <c r="L128" s="535"/>
      <c r="M128" s="536"/>
      <c r="N128" s="1152"/>
      <c r="O128" s="1152"/>
      <c r="P128" s="45"/>
      <c r="Q128" s="503"/>
    </row>
    <row r="129" spans="1:17" ht="14.4" thickTop="1">
      <c r="A129" s="598"/>
      <c r="B129" s="537">
        <f>B44</f>
        <v>111</v>
      </c>
      <c r="C129" s="522"/>
      <c r="D129" s="522"/>
      <c r="E129" s="522"/>
      <c r="F129" s="522"/>
      <c r="G129" s="582"/>
      <c r="H129" s="582"/>
      <c r="I129" s="582"/>
      <c r="J129" s="582"/>
      <c r="K129" s="583"/>
      <c r="L129" s="584"/>
      <c r="M129" s="585"/>
      <c r="N129" s="1151"/>
      <c r="O129" s="1151"/>
      <c r="P129" s="45"/>
      <c r="Q129" s="503"/>
    </row>
    <row r="130" spans="1:17" ht="14.4" thickBot="1">
      <c r="A130" s="533"/>
      <c r="B130" s="542"/>
      <c r="C130" s="569"/>
      <c r="D130" s="569"/>
      <c r="E130" s="569"/>
      <c r="F130" s="569"/>
      <c r="G130" s="535"/>
      <c r="H130" s="535"/>
      <c r="I130" s="535"/>
      <c r="J130" s="535"/>
      <c r="K130" s="535"/>
      <c r="L130" s="535"/>
      <c r="M130" s="536"/>
      <c r="N130" s="1152"/>
      <c r="O130" s="1152"/>
      <c r="P130" s="45"/>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2737</v>
      </c>
      <c r="B1" s="394"/>
      <c r="C1" s="395" t="s">
        <v>2789</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2320</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2322</v>
      </c>
      <c r="B3" s="608" t="e">
        <f>ROUND(IF(D3="",B2*10000/'数据-汇总表'!E3,B2*10000/D3),0)</f>
        <v>#DIV/0!</v>
      </c>
      <c r="C3" s="246" t="s">
        <v>2739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2638</v>
      </c>
      <c r="B4" s="401"/>
      <c r="C4" s="3207" t="s">
        <v>2639</v>
      </c>
      <c r="D4" s="3208"/>
      <c r="E4" s="3209" t="s">
        <v>2640</v>
      </c>
      <c r="F4" s="3210"/>
      <c r="G4" s="3207" t="s">
        <v>2641</v>
      </c>
      <c r="H4" s="3208"/>
      <c r="I4" s="3207" t="s">
        <v>2642</v>
      </c>
      <c r="J4" s="3208"/>
      <c r="K4" s="609" t="s">
        <v>2643</v>
      </c>
      <c r="L4" s="1129"/>
      <c r="M4" s="1130"/>
      <c r="N4" s="1130"/>
      <c r="O4" s="1130"/>
      <c r="P4" s="3211" t="s">
        <v>2644</v>
      </c>
      <c r="Q4" s="3212"/>
      <c r="R4" s="3217" t="s">
        <v>2640</v>
      </c>
      <c r="S4" s="3218"/>
      <c r="T4" s="3217" t="s">
        <v>2641</v>
      </c>
      <c r="U4" s="3218"/>
      <c r="V4" s="3223" t="s">
        <v>2642</v>
      </c>
      <c r="W4" s="3223"/>
      <c r="X4" s="1812"/>
      <c r="Y4" s="3217" t="s">
        <v>2644</v>
      </c>
      <c r="Z4" s="3218"/>
      <c r="AA4" s="3204" t="s">
        <v>2640</v>
      </c>
      <c r="AB4" s="3205" t="s">
        <v>2641</v>
      </c>
      <c r="AC4" s="3204" t="s">
        <v>2642</v>
      </c>
    </row>
    <row r="5" spans="1:29">
      <c r="A5" s="403"/>
      <c r="B5" s="404"/>
      <c r="C5" s="3226" t="s">
        <v>2535</v>
      </c>
      <c r="D5" s="3227"/>
      <c r="E5" s="3233" t="s">
        <v>2536</v>
      </c>
      <c r="F5" s="3234"/>
      <c r="G5" s="3226" t="s">
        <v>2537</v>
      </c>
      <c r="H5" s="3227"/>
      <c r="I5" s="3226" t="s">
        <v>2538</v>
      </c>
      <c r="J5" s="3227"/>
      <c r="K5" s="609"/>
      <c r="L5" s="1129"/>
      <c r="M5" s="1130"/>
      <c r="N5" s="1130"/>
      <c r="O5" s="1130"/>
      <c r="P5" s="3213"/>
      <c r="Q5" s="3214"/>
      <c r="R5" s="3219"/>
      <c r="S5" s="3220"/>
      <c r="T5" s="3219"/>
      <c r="U5" s="3220"/>
      <c r="V5" s="3223"/>
      <c r="W5" s="3223"/>
      <c r="X5" s="1812"/>
      <c r="Y5" s="3219"/>
      <c r="Z5" s="3220"/>
      <c r="AA5" s="3205"/>
      <c r="AB5" s="3205"/>
      <c r="AC5" s="3205"/>
    </row>
    <row r="6" spans="1:29" ht="15" thickBot="1">
      <c r="A6" s="405"/>
      <c r="B6" s="406"/>
      <c r="C6" s="3255" t="s">
        <v>2790</v>
      </c>
      <c r="D6" s="3256"/>
      <c r="E6" s="3257" t="s">
        <v>2790</v>
      </c>
      <c r="F6" s="3258"/>
      <c r="G6" s="3255" t="s">
        <v>2790</v>
      </c>
      <c r="H6" s="3256"/>
      <c r="I6" s="3255" t="s">
        <v>2790</v>
      </c>
      <c r="J6" s="3256"/>
      <c r="K6" s="609" t="s">
        <v>2540</v>
      </c>
      <c r="L6" s="1129"/>
      <c r="M6" s="1130"/>
      <c r="N6" s="1130"/>
      <c r="O6" s="1130"/>
      <c r="P6" s="3215"/>
      <c r="Q6" s="3216"/>
      <c r="R6" s="3219"/>
      <c r="S6" s="3220"/>
      <c r="T6" s="3221"/>
      <c r="U6" s="3222"/>
      <c r="V6" s="3223"/>
      <c r="W6" s="3223"/>
      <c r="X6" s="1812"/>
      <c r="Y6" s="3221"/>
      <c r="Z6" s="3222"/>
      <c r="AA6" s="3206"/>
      <c r="AB6" s="3206"/>
      <c r="AC6" s="3206"/>
    </row>
    <row r="7" spans="1:29" s="117" customFormat="1" ht="15" thickBot="1">
      <c r="A7" s="407" t="s">
        <v>2541</v>
      </c>
      <c r="B7" s="408"/>
      <c r="C7" s="409">
        <f>'数据-取费表'!B2</f>
        <v>43942</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228" t="s">
        <v>2542</v>
      </c>
      <c r="Q7" s="3230"/>
      <c r="R7" s="769" t="s">
        <v>17</v>
      </c>
      <c r="S7" s="770">
        <f t="shared" ref="S7:S15" si="0">F7</f>
        <v>0</v>
      </c>
      <c r="T7" s="769" t="s">
        <v>17</v>
      </c>
      <c r="U7" s="770">
        <f t="shared" ref="U7:U15" si="1">H7</f>
        <v>0</v>
      </c>
      <c r="V7" s="769" t="s">
        <v>17</v>
      </c>
      <c r="W7" s="770">
        <f t="shared" ref="W7:W15" si="2">J7</f>
        <v>0</v>
      </c>
      <c r="X7" s="771"/>
      <c r="Y7" s="3228" t="s">
        <v>2542</v>
      </c>
      <c r="Z7" s="3229"/>
      <c r="AA7" s="772" t="e">
        <f>D7/F7</f>
        <v>#DIV/0!</v>
      </c>
      <c r="AB7" s="772" t="e">
        <f>D7/H7</f>
        <v>#DIV/0!</v>
      </c>
      <c r="AC7" s="772" t="e">
        <f>D7/J7</f>
        <v>#DIV/0!</v>
      </c>
    </row>
    <row r="8" spans="1:29" s="117" customFormat="1" ht="1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28" t="s">
        <v>2545</v>
      </c>
      <c r="Q8" s="3229"/>
      <c r="R8" s="769" t="s">
        <v>17</v>
      </c>
      <c r="S8" s="770">
        <f t="shared" si="0"/>
        <v>0</v>
      </c>
      <c r="T8" s="769" t="s">
        <v>17</v>
      </c>
      <c r="U8" s="770">
        <f t="shared" si="1"/>
        <v>0</v>
      </c>
      <c r="V8" s="769" t="s">
        <v>17</v>
      </c>
      <c r="W8" s="770">
        <f t="shared" si="2"/>
        <v>0</v>
      </c>
      <c r="X8" s="771"/>
      <c r="Y8" s="3228" t="s">
        <v>2545</v>
      </c>
      <c r="Z8" s="3229"/>
      <c r="AA8" s="772" t="e">
        <f t="shared" ref="AA8:AA40" si="3">D8/F8</f>
        <v>#DIV/0!</v>
      </c>
      <c r="AB8" s="772" t="e">
        <f t="shared" ref="AB8:AB40" si="4">D8/H8</f>
        <v>#DIV/0!</v>
      </c>
      <c r="AC8" s="772" t="e">
        <f t="shared" ref="AC8:AC40" si="5">D8/J8</f>
        <v>#DIV/0!</v>
      </c>
    </row>
    <row r="9" spans="1:29" s="117" customFormat="1" ht="14.4">
      <c r="A9" s="414" t="s">
        <v>2546</v>
      </c>
      <c r="B9" s="71" t="s">
        <v>2547</v>
      </c>
      <c r="C9" s="2698"/>
      <c r="D9" s="134">
        <v>100</v>
      </c>
      <c r="E9" s="2698"/>
      <c r="F9" s="134">
        <f>SUMIF(70:70,E9,71:71)-SUMIF(70:70,C9,71:71)+100</f>
        <v>100</v>
      </c>
      <c r="G9" s="2698"/>
      <c r="H9" s="134">
        <f>SUMIF(70:70,G9,71:71)-SUMIF(70:70,C9,71:71)+100</f>
        <v>100</v>
      </c>
      <c r="I9" s="2698"/>
      <c r="J9" s="134">
        <f>SUMIF(70:70,I9,71:71)-SUMIF(70:70,C9,71:71)+100</f>
        <v>100</v>
      </c>
      <c r="K9" s="610"/>
      <c r="L9" s="1131"/>
      <c r="M9" s="1132"/>
      <c r="N9" s="1132"/>
      <c r="O9" s="1133"/>
      <c r="P9" s="3192" t="s">
        <v>2548</v>
      </c>
      <c r="Q9" s="1794" t="str">
        <f t="shared" ref="Q9:Q15" si="6">B9</f>
        <v>用途</v>
      </c>
      <c r="R9" s="769" t="s">
        <v>17</v>
      </c>
      <c r="S9" s="770">
        <f t="shared" si="0"/>
        <v>100</v>
      </c>
      <c r="T9" s="769" t="s">
        <v>17</v>
      </c>
      <c r="U9" s="770">
        <f t="shared" si="1"/>
        <v>100</v>
      </c>
      <c r="V9" s="769" t="s">
        <v>17</v>
      </c>
      <c r="W9" s="770">
        <f t="shared" si="2"/>
        <v>100</v>
      </c>
      <c r="X9" s="771"/>
      <c r="Y9" s="3017" t="s">
        <v>2549</v>
      </c>
      <c r="Z9" s="55" t="str">
        <f t="shared" ref="Z9:Z15" si="7">Q9</f>
        <v>用途</v>
      </c>
      <c r="AA9" s="772">
        <f t="shared" si="3"/>
        <v>1</v>
      </c>
      <c r="AB9" s="772">
        <f t="shared" si="4"/>
        <v>1</v>
      </c>
      <c r="AC9" s="772">
        <f t="shared" si="5"/>
        <v>1</v>
      </c>
    </row>
    <row r="10" spans="1:29" s="426" customFormat="1" ht="28.8">
      <c r="A10" s="420"/>
      <c r="B10" s="421" t="s">
        <v>2550</v>
      </c>
      <c r="C10" s="431"/>
      <c r="D10" s="135">
        <v>100</v>
      </c>
      <c r="E10" s="431"/>
      <c r="F10" s="135">
        <f>ROUND(100/'数据-取费表'!G16,0)</f>
        <v>111</v>
      </c>
      <c r="G10" s="431"/>
      <c r="H10" s="135">
        <f>ROUND(100/'数据-取费表'!G16,0)</f>
        <v>111</v>
      </c>
      <c r="I10" s="431"/>
      <c r="J10" s="135">
        <f>ROUND(100/'数据-取费表'!G16,0)</f>
        <v>111</v>
      </c>
      <c r="K10" s="671"/>
      <c r="L10" s="1134"/>
      <c r="M10" s="1135"/>
      <c r="N10" s="1135"/>
      <c r="O10" s="1136"/>
      <c r="P10" s="3192"/>
      <c r="Q10" s="1794" t="str">
        <f t="shared" si="6"/>
        <v>土地使用年限（年）</v>
      </c>
      <c r="R10" s="769" t="s">
        <v>17</v>
      </c>
      <c r="S10" s="770">
        <f t="shared" si="0"/>
        <v>111</v>
      </c>
      <c r="T10" s="769" t="s">
        <v>17</v>
      </c>
      <c r="U10" s="770">
        <f t="shared" si="1"/>
        <v>111</v>
      </c>
      <c r="V10" s="769" t="s">
        <v>17</v>
      </c>
      <c r="W10" s="770">
        <f t="shared" si="2"/>
        <v>111</v>
      </c>
      <c r="X10" s="771"/>
      <c r="Y10" s="3017"/>
      <c r="Z10" s="55" t="str">
        <f t="shared" si="7"/>
        <v>土地使用年限（年）</v>
      </c>
      <c r="AA10" s="772">
        <f t="shared" si="3"/>
        <v>0.90090090090090091</v>
      </c>
      <c r="AB10" s="772">
        <f t="shared" si="4"/>
        <v>0.90090090090090091</v>
      </c>
      <c r="AC10" s="772">
        <f t="shared" si="5"/>
        <v>0.90090090090090091</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92"/>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92"/>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92"/>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6"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92"/>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69">
      <c r="A15" s="439" t="s">
        <v>2552</v>
      </c>
      <c r="B15" s="628" t="s">
        <v>2791</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94" t="s">
        <v>2553</v>
      </c>
      <c r="Q15" s="1809" t="str">
        <f t="shared" si="6"/>
        <v>产业集聚程度</v>
      </c>
      <c r="R15" s="773" t="s">
        <v>17</v>
      </c>
      <c r="S15" s="774">
        <f t="shared" si="0"/>
        <v>100</v>
      </c>
      <c r="T15" s="773" t="s">
        <v>17</v>
      </c>
      <c r="U15" s="774">
        <f t="shared" si="1"/>
        <v>100</v>
      </c>
      <c r="V15" s="773" t="s">
        <v>17</v>
      </c>
      <c r="W15" s="774">
        <f t="shared" si="2"/>
        <v>100</v>
      </c>
      <c r="X15" s="1812"/>
      <c r="Y15" s="3194" t="s">
        <v>2553</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195"/>
      <c r="Q16" s="1809"/>
      <c r="R16" s="773"/>
      <c r="S16" s="774"/>
      <c r="T16" s="773"/>
      <c r="U16" s="774"/>
      <c r="V16" s="773"/>
      <c r="W16" s="774"/>
      <c r="X16" s="1812"/>
      <c r="Y16" s="3195"/>
      <c r="Z16" s="1813"/>
      <c r="AA16" s="1810">
        <v>1</v>
      </c>
      <c r="AB16" s="1810">
        <v>1</v>
      </c>
      <c r="AC16" s="1810">
        <v>1</v>
      </c>
    </row>
    <row r="17" spans="1:29" ht="96.6">
      <c r="A17" s="427"/>
      <c r="B17" s="630" t="s">
        <v>2702</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95"/>
      <c r="Q17" s="1809" t="str">
        <f>B17</f>
        <v>交通便捷度</v>
      </c>
      <c r="R17" s="773" t="s">
        <v>17</v>
      </c>
      <c r="S17" s="774">
        <f>F17</f>
        <v>100</v>
      </c>
      <c r="T17" s="773" t="s">
        <v>17</v>
      </c>
      <c r="U17" s="774">
        <f>H17</f>
        <v>100</v>
      </c>
      <c r="V17" s="773" t="s">
        <v>17</v>
      </c>
      <c r="W17" s="774">
        <f>J17</f>
        <v>100</v>
      </c>
      <c r="X17" s="1812"/>
      <c r="Y17" s="3195"/>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195"/>
      <c r="Q18" s="1809"/>
      <c r="R18" s="773"/>
      <c r="S18" s="774"/>
      <c r="T18" s="773"/>
      <c r="U18" s="774"/>
      <c r="V18" s="773"/>
      <c r="W18" s="774"/>
      <c r="X18" s="1812"/>
      <c r="Y18" s="3195"/>
      <c r="Z18" s="1813"/>
      <c r="AA18" s="1810">
        <v>1</v>
      </c>
      <c r="AB18" s="1810">
        <v>1</v>
      </c>
      <c r="AC18" s="1810">
        <v>1</v>
      </c>
    </row>
    <row r="19" spans="1:29" ht="28.8">
      <c r="A19" s="427"/>
      <c r="B19" s="630" t="s">
        <v>2741</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95"/>
      <c r="Q19" s="1809" t="str">
        <f t="shared" ref="Q19:Q33" si="8">B19</f>
        <v>区域土地利用方向</v>
      </c>
      <c r="R19" s="773" t="s">
        <v>17</v>
      </c>
      <c r="S19" s="774">
        <f>F19</f>
        <v>100</v>
      </c>
      <c r="T19" s="773" t="s">
        <v>17</v>
      </c>
      <c r="U19" s="774">
        <f>H19</f>
        <v>100</v>
      </c>
      <c r="V19" s="773" t="s">
        <v>17</v>
      </c>
      <c r="W19" s="774">
        <f>J19</f>
        <v>100</v>
      </c>
      <c r="X19" s="1812"/>
      <c r="Y19" s="3195"/>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195"/>
      <c r="Q20" s="1809"/>
      <c r="R20" s="773"/>
      <c r="S20" s="774"/>
      <c r="T20" s="773"/>
      <c r="U20" s="774"/>
      <c r="V20" s="773"/>
      <c r="W20" s="774"/>
      <c r="X20" s="1812"/>
      <c r="Y20" s="3195"/>
      <c r="Z20" s="1813"/>
      <c r="AA20" s="1810"/>
      <c r="AB20" s="1810"/>
      <c r="AC20" s="1810"/>
    </row>
    <row r="21" spans="1:29" ht="82.8">
      <c r="A21" s="403"/>
      <c r="B21" s="630" t="s">
        <v>2792</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95"/>
      <c r="Q21" s="1809" t="str">
        <f t="shared" si="8"/>
        <v>环境状况</v>
      </c>
      <c r="R21" s="773" t="s">
        <v>17</v>
      </c>
      <c r="S21" s="774">
        <f>F21</f>
        <v>100</v>
      </c>
      <c r="T21" s="773" t="s">
        <v>17</v>
      </c>
      <c r="U21" s="774">
        <f>H21</f>
        <v>100</v>
      </c>
      <c r="V21" s="773" t="s">
        <v>17</v>
      </c>
      <c r="W21" s="774">
        <f>J21</f>
        <v>100</v>
      </c>
      <c r="X21" s="1812"/>
      <c r="Y21" s="3195"/>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195"/>
      <c r="Q22" s="1809"/>
      <c r="R22" s="773"/>
      <c r="S22" s="774"/>
      <c r="T22" s="773"/>
      <c r="U22" s="774"/>
      <c r="V22" s="773"/>
      <c r="W22" s="774"/>
      <c r="X22" s="1812"/>
      <c r="Y22" s="3195"/>
      <c r="Z22" s="1813"/>
      <c r="AA22" s="1810">
        <v>1</v>
      </c>
      <c r="AB22" s="1810">
        <v>1</v>
      </c>
      <c r="AC22" s="1810">
        <v>1</v>
      </c>
    </row>
    <row r="23" spans="1:29" s="117" customFormat="1" ht="41.4">
      <c r="A23" s="648"/>
      <c r="B23" s="632" t="s">
        <v>2647</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95"/>
      <c r="Q23" s="1794" t="str">
        <f t="shared" si="8"/>
        <v>公共配套设施</v>
      </c>
      <c r="R23" s="769" t="s">
        <v>17</v>
      </c>
      <c r="S23" s="770">
        <f>F23</f>
        <v>100</v>
      </c>
      <c r="T23" s="769" t="s">
        <v>17</v>
      </c>
      <c r="U23" s="770">
        <f>H23</f>
        <v>100</v>
      </c>
      <c r="V23" s="769" t="s">
        <v>17</v>
      </c>
      <c r="W23" s="770">
        <f>J23</f>
        <v>100</v>
      </c>
      <c r="X23" s="771"/>
      <c r="Y23" s="3195"/>
      <c r="Z23" s="55" t="str">
        <f>Q23</f>
        <v>公共配套设施</v>
      </c>
      <c r="AA23" s="1810">
        <f>D23/F23</f>
        <v>1</v>
      </c>
      <c r="AB23" s="1810">
        <f>D23/H23</f>
        <v>1</v>
      </c>
      <c r="AC23" s="1810">
        <f>D23/J23</f>
        <v>1</v>
      </c>
    </row>
    <row r="24" spans="1:29" s="117" customFormat="1" ht="15">
      <c r="A24" s="648"/>
      <c r="B24" s="631"/>
      <c r="C24" s="2699"/>
      <c r="D24" s="447"/>
      <c r="E24" s="2610"/>
      <c r="F24" s="447"/>
      <c r="G24" s="2610"/>
      <c r="H24" s="447"/>
      <c r="I24" s="446"/>
      <c r="J24" s="447"/>
      <c r="K24" s="671"/>
      <c r="L24" s="1131"/>
      <c r="M24" s="1132"/>
      <c r="N24" s="1132"/>
      <c r="O24" s="1133"/>
      <c r="P24" s="3195"/>
      <c r="Q24" s="1794"/>
      <c r="R24" s="769"/>
      <c r="S24" s="770"/>
      <c r="T24" s="769"/>
      <c r="U24" s="770"/>
      <c r="V24" s="769"/>
      <c r="W24" s="770"/>
      <c r="X24" s="771"/>
      <c r="Y24" s="3195"/>
      <c r="Z24" s="55"/>
      <c r="AA24" s="772">
        <v>1</v>
      </c>
      <c r="AB24" s="772">
        <v>1</v>
      </c>
      <c r="AC24" s="772">
        <v>1</v>
      </c>
    </row>
    <row r="25" spans="1:29" s="117" customFormat="1" ht="41.4">
      <c r="A25" s="648"/>
      <c r="B25" s="632" t="s">
        <v>2648</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95"/>
      <c r="Q25" s="1794" t="str">
        <f t="shared" ref="Q25" si="9">B25</f>
        <v>基础设施水平</v>
      </c>
      <c r="R25" s="769" t="s">
        <v>17</v>
      </c>
      <c r="S25" s="770">
        <f>F25</f>
        <v>100</v>
      </c>
      <c r="T25" s="769" t="s">
        <v>17</v>
      </c>
      <c r="U25" s="770">
        <f>H25</f>
        <v>100</v>
      </c>
      <c r="V25" s="769" t="s">
        <v>17</v>
      </c>
      <c r="W25" s="770">
        <f>J25</f>
        <v>100</v>
      </c>
      <c r="X25" s="771"/>
      <c r="Y25" s="3195"/>
      <c r="Z25" s="55" t="str">
        <f>Q25</f>
        <v>基础设施水平</v>
      </c>
      <c r="AA25" s="1810">
        <f>D25/F25</f>
        <v>1</v>
      </c>
      <c r="AB25" s="1810">
        <f>D25/H25</f>
        <v>1</v>
      </c>
      <c r="AC25" s="1810">
        <f>D25/J25</f>
        <v>1</v>
      </c>
    </row>
    <row r="26" spans="1:29" s="117" customFormat="1" ht="15">
      <c r="A26" s="648"/>
      <c r="B26" s="631"/>
      <c r="C26" s="2699"/>
      <c r="D26" s="447"/>
      <c r="E26" s="2700"/>
      <c r="F26" s="447"/>
      <c r="G26" s="2700"/>
      <c r="H26" s="447"/>
      <c r="I26" s="2700"/>
      <c r="J26" s="447"/>
      <c r="K26" s="671"/>
      <c r="L26" s="1131"/>
      <c r="M26" s="1132"/>
      <c r="N26" s="1132"/>
      <c r="O26" s="1133"/>
      <c r="P26" s="3195"/>
      <c r="Q26" s="1794"/>
      <c r="R26" s="769"/>
      <c r="S26" s="770"/>
      <c r="T26" s="769"/>
      <c r="U26" s="770"/>
      <c r="V26" s="769"/>
      <c r="W26" s="770"/>
      <c r="X26" s="771"/>
      <c r="Y26" s="3195"/>
      <c r="Z26" s="55"/>
      <c r="AA26" s="772">
        <v>1</v>
      </c>
      <c r="AB26" s="772">
        <v>1</v>
      </c>
      <c r="AC26" s="772">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95"/>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95"/>
      <c r="Z27" s="1813" t="str">
        <f t="shared" ref="Z27:Z40" si="13">Q27</f>
        <v>临街状况</v>
      </c>
      <c r="AA27" s="1810">
        <f t="shared" si="3"/>
        <v>1</v>
      </c>
      <c r="AB27" s="1810">
        <f t="shared" si="4"/>
        <v>1</v>
      </c>
      <c r="AC27" s="1810">
        <f t="shared" si="5"/>
        <v>1</v>
      </c>
    </row>
    <row r="28" spans="1:29" ht="28.8">
      <c r="A28" s="427"/>
      <c r="B28" s="632" t="s">
        <v>2684</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95"/>
      <c r="Q28" s="1809" t="str">
        <f t="shared" si="8"/>
        <v>毗邻道路的类型与等级</v>
      </c>
      <c r="R28" s="773" t="s">
        <v>17</v>
      </c>
      <c r="S28" s="774">
        <f t="shared" si="10"/>
        <v>100</v>
      </c>
      <c r="T28" s="773" t="s">
        <v>17</v>
      </c>
      <c r="U28" s="774">
        <f t="shared" si="11"/>
        <v>100</v>
      </c>
      <c r="V28" s="773" t="s">
        <v>17</v>
      </c>
      <c r="W28" s="774">
        <f t="shared" si="12"/>
        <v>100</v>
      </c>
      <c r="X28" s="1812"/>
      <c r="Y28" s="3195"/>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195"/>
      <c r="Q29" s="1809"/>
      <c r="R29" s="773"/>
      <c r="S29" s="774"/>
      <c r="T29" s="773"/>
      <c r="U29" s="774"/>
      <c r="V29" s="773"/>
      <c r="W29" s="774"/>
      <c r="X29" s="1812"/>
      <c r="Y29" s="3195"/>
      <c r="Z29" s="1813"/>
      <c r="AA29" s="1810">
        <v>1</v>
      </c>
      <c r="AB29" s="1810">
        <v>1</v>
      </c>
      <c r="AC29" s="1810">
        <v>1</v>
      </c>
    </row>
    <row r="30" spans="1:29" ht="15">
      <c r="A30" s="427"/>
      <c r="B30" s="653" t="s">
        <v>2743</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95"/>
      <c r="Q30" s="1809" t="str">
        <f t="shared" si="8"/>
        <v>土地级别</v>
      </c>
      <c r="R30" s="773" t="s">
        <v>17</v>
      </c>
      <c r="S30" s="774">
        <f t="shared" si="10"/>
        <v>100</v>
      </c>
      <c r="T30" s="773" t="s">
        <v>17</v>
      </c>
      <c r="U30" s="774">
        <f t="shared" si="11"/>
        <v>100</v>
      </c>
      <c r="V30" s="773" t="s">
        <v>17</v>
      </c>
      <c r="W30" s="774">
        <f t="shared" si="12"/>
        <v>100</v>
      </c>
      <c r="X30" s="1812"/>
      <c r="Y30" s="3195"/>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95"/>
      <c r="Q31" s="1809">
        <f t="shared" si="8"/>
        <v>111</v>
      </c>
      <c r="R31" s="773" t="s">
        <v>17</v>
      </c>
      <c r="S31" s="774">
        <f t="shared" si="10"/>
        <v>100</v>
      </c>
      <c r="T31" s="773" t="s">
        <v>17</v>
      </c>
      <c r="U31" s="774">
        <f t="shared" si="11"/>
        <v>100</v>
      </c>
      <c r="V31" s="773" t="s">
        <v>17</v>
      </c>
      <c r="W31" s="774">
        <f t="shared" si="12"/>
        <v>100</v>
      </c>
      <c r="X31" s="1812"/>
      <c r="Y31" s="3195"/>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50" t="s">
        <v>2558</v>
      </c>
      <c r="Q32" s="1809">
        <f t="shared" si="8"/>
        <v>111</v>
      </c>
      <c r="R32" s="773" t="s">
        <v>17</v>
      </c>
      <c r="S32" s="774">
        <f t="shared" si="10"/>
        <v>100</v>
      </c>
      <c r="T32" s="773" t="s">
        <v>17</v>
      </c>
      <c r="U32" s="774">
        <f t="shared" si="11"/>
        <v>100</v>
      </c>
      <c r="V32" s="773" t="s">
        <v>17</v>
      </c>
      <c r="W32" s="774">
        <f t="shared" si="12"/>
        <v>100</v>
      </c>
      <c r="X32" s="1812"/>
      <c r="Y32" s="3199" t="s">
        <v>2558</v>
      </c>
      <c r="Z32" s="1813">
        <f t="shared" si="13"/>
        <v>111</v>
      </c>
      <c r="AA32" s="1810">
        <f t="shared" si="3"/>
        <v>1</v>
      </c>
      <c r="AB32" s="1810">
        <f t="shared" si="4"/>
        <v>1</v>
      </c>
      <c r="AC32" s="1810">
        <f t="shared" si="5"/>
        <v>1</v>
      </c>
    </row>
    <row r="33" spans="1:29" s="470" customFormat="1" ht="15.6"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99"/>
      <c r="Q33" s="1809">
        <f t="shared" si="8"/>
        <v>111</v>
      </c>
      <c r="R33" s="776" t="s">
        <v>17</v>
      </c>
      <c r="S33" s="777">
        <f t="shared" si="10"/>
        <v>100</v>
      </c>
      <c r="T33" s="776" t="s">
        <v>17</v>
      </c>
      <c r="U33" s="777">
        <f t="shared" si="11"/>
        <v>100</v>
      </c>
      <c r="V33" s="776" t="s">
        <v>17</v>
      </c>
      <c r="W33" s="777">
        <f t="shared" si="12"/>
        <v>100</v>
      </c>
      <c r="X33" s="778"/>
      <c r="Y33" s="3199"/>
      <c r="Z33" s="779">
        <f t="shared" si="13"/>
        <v>111</v>
      </c>
      <c r="AA33" s="1810">
        <f t="shared" si="3"/>
        <v>1</v>
      </c>
      <c r="AB33" s="1810">
        <f t="shared" si="4"/>
        <v>1</v>
      </c>
      <c r="AC33" s="1810">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99"/>
      <c r="Q34" s="1809" t="str">
        <f>B34</f>
        <v>宗地面积</v>
      </c>
      <c r="R34" s="773" t="s">
        <v>17</v>
      </c>
      <c r="S34" s="774" t="e">
        <f t="shared" si="10"/>
        <v>#N/A</v>
      </c>
      <c r="T34" s="773" t="s">
        <v>17</v>
      </c>
      <c r="U34" s="774" t="e">
        <f t="shared" si="11"/>
        <v>#N/A</v>
      </c>
      <c r="V34" s="773" t="s">
        <v>17</v>
      </c>
      <c r="W34" s="774" t="e">
        <f t="shared" si="12"/>
        <v>#N/A</v>
      </c>
      <c r="X34" s="1812"/>
      <c r="Y34" s="3199"/>
      <c r="Z34" s="1813" t="str">
        <f t="shared" si="13"/>
        <v>宗地面积</v>
      </c>
      <c r="AA34" s="1810" t="e">
        <f t="shared" si="3"/>
        <v>#N/A</v>
      </c>
      <c r="AB34" s="1810" t="e">
        <f t="shared" si="4"/>
        <v>#N/A</v>
      </c>
      <c r="AC34" s="1810" t="e">
        <f t="shared" si="5"/>
        <v>#N/A</v>
      </c>
    </row>
    <row r="35" spans="1:29" ht="15">
      <c r="A35" s="471"/>
      <c r="B35" s="421" t="s">
        <v>2745</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199"/>
      <c r="Q35" s="1809" t="str">
        <f t="shared" ref="Q35:Q40" si="14">B35</f>
        <v>宗地形状</v>
      </c>
      <c r="R35" s="773" t="s">
        <v>17</v>
      </c>
      <c r="S35" s="774">
        <f t="shared" si="10"/>
        <v>100</v>
      </c>
      <c r="T35" s="773" t="s">
        <v>17</v>
      </c>
      <c r="U35" s="774">
        <f t="shared" si="11"/>
        <v>100</v>
      </c>
      <c r="V35" s="773" t="s">
        <v>17</v>
      </c>
      <c r="W35" s="774">
        <f t="shared" si="12"/>
        <v>100</v>
      </c>
      <c r="X35" s="1812"/>
      <c r="Y35" s="3199"/>
      <c r="Z35" s="1813" t="str">
        <f t="shared" si="13"/>
        <v>宗地形状</v>
      </c>
      <c r="AA35" s="1810">
        <f t="shared" si="3"/>
        <v>1</v>
      </c>
      <c r="AB35" s="1810">
        <f t="shared" si="4"/>
        <v>1</v>
      </c>
      <c r="AC35" s="1810">
        <f t="shared" si="5"/>
        <v>1</v>
      </c>
    </row>
    <row r="36" spans="1:29" s="117" customFormat="1" ht="15">
      <c r="A36" s="472"/>
      <c r="B36" s="421" t="s">
        <v>2747</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199"/>
      <c r="Q36" s="1809" t="str">
        <f t="shared" si="14"/>
        <v>宗地开发程度</v>
      </c>
      <c r="R36" s="769" t="s">
        <v>17</v>
      </c>
      <c r="S36" s="770">
        <f t="shared" si="10"/>
        <v>100</v>
      </c>
      <c r="T36" s="769" t="s">
        <v>17</v>
      </c>
      <c r="U36" s="770">
        <f t="shared" si="11"/>
        <v>100</v>
      </c>
      <c r="V36" s="769" t="s">
        <v>17</v>
      </c>
      <c r="W36" s="770">
        <f t="shared" si="12"/>
        <v>100</v>
      </c>
      <c r="X36" s="771"/>
      <c r="Y36" s="3199"/>
      <c r="Z36" s="55" t="str">
        <f t="shared" si="13"/>
        <v>宗地开发程度</v>
      </c>
      <c r="AA36" s="772">
        <f t="shared" si="3"/>
        <v>1</v>
      </c>
      <c r="AB36" s="772">
        <f t="shared" si="4"/>
        <v>1</v>
      </c>
      <c r="AC36" s="772">
        <f t="shared" si="5"/>
        <v>1</v>
      </c>
    </row>
    <row r="37" spans="1:29" ht="15">
      <c r="A37" s="471"/>
      <c r="B37" s="421" t="s">
        <v>2748</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199" t="s">
        <v>2558</v>
      </c>
      <c r="Q37" s="1809" t="str">
        <f t="shared" si="14"/>
        <v>工程地质条件</v>
      </c>
      <c r="R37" s="773" t="s">
        <v>17</v>
      </c>
      <c r="S37" s="774">
        <f t="shared" si="10"/>
        <v>100</v>
      </c>
      <c r="T37" s="773" t="s">
        <v>17</v>
      </c>
      <c r="U37" s="774">
        <f t="shared" si="11"/>
        <v>100</v>
      </c>
      <c r="V37" s="773" t="s">
        <v>17</v>
      </c>
      <c r="W37" s="774">
        <f t="shared" si="12"/>
        <v>100</v>
      </c>
      <c r="X37" s="1812"/>
      <c r="Y37" s="3199" t="s">
        <v>2558</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99"/>
      <c r="Q38" s="1809">
        <f t="shared" si="14"/>
        <v>111</v>
      </c>
      <c r="R38" s="773" t="s">
        <v>17</v>
      </c>
      <c r="S38" s="774">
        <f t="shared" si="10"/>
        <v>100</v>
      </c>
      <c r="T38" s="773" t="s">
        <v>17</v>
      </c>
      <c r="U38" s="774">
        <f t="shared" si="11"/>
        <v>100</v>
      </c>
      <c r="V38" s="773" t="s">
        <v>17</v>
      </c>
      <c r="W38" s="774">
        <f t="shared" si="12"/>
        <v>100</v>
      </c>
      <c r="X38" s="1812"/>
      <c r="Y38" s="3199"/>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99"/>
      <c r="Q39" s="1809">
        <f t="shared" si="14"/>
        <v>111</v>
      </c>
      <c r="R39" s="773" t="s">
        <v>17</v>
      </c>
      <c r="S39" s="774">
        <f t="shared" si="10"/>
        <v>100</v>
      </c>
      <c r="T39" s="773" t="s">
        <v>17</v>
      </c>
      <c r="U39" s="774">
        <f t="shared" si="11"/>
        <v>100</v>
      </c>
      <c r="V39" s="773" t="s">
        <v>17</v>
      </c>
      <c r="W39" s="774">
        <f t="shared" si="12"/>
        <v>100</v>
      </c>
      <c r="X39" s="1812"/>
      <c r="Y39" s="3199"/>
      <c r="Z39" s="1813">
        <f t="shared" si="13"/>
        <v>111</v>
      </c>
      <c r="AA39" s="1810">
        <f t="shared" si="3"/>
        <v>1</v>
      </c>
      <c r="AB39" s="1810">
        <f t="shared" si="4"/>
        <v>1</v>
      </c>
      <c r="AC39" s="1810">
        <f t="shared" si="5"/>
        <v>1</v>
      </c>
    </row>
    <row r="40" spans="1:29" s="470" customFormat="1" ht="15.6" thickBot="1">
      <c r="A40" s="467"/>
      <c r="B40" s="1386">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99"/>
      <c r="Q40" s="1809">
        <f t="shared" si="14"/>
        <v>111</v>
      </c>
      <c r="R40" s="776" t="s">
        <v>17</v>
      </c>
      <c r="S40" s="777">
        <f t="shared" si="10"/>
        <v>100</v>
      </c>
      <c r="T40" s="776" t="s">
        <v>17</v>
      </c>
      <c r="U40" s="777">
        <f t="shared" si="11"/>
        <v>100</v>
      </c>
      <c r="V40" s="776" t="s">
        <v>17</v>
      </c>
      <c r="W40" s="777">
        <f t="shared" si="12"/>
        <v>100</v>
      </c>
      <c r="X40" s="778"/>
      <c r="Y40" s="3199"/>
      <c r="Z40" s="779">
        <f t="shared" si="13"/>
        <v>111</v>
      </c>
      <c r="AA40" s="1810">
        <f t="shared" si="3"/>
        <v>1</v>
      </c>
      <c r="AB40" s="1810">
        <f t="shared" si="4"/>
        <v>1</v>
      </c>
      <c r="AC40" s="1810">
        <f t="shared" si="5"/>
        <v>1</v>
      </c>
    </row>
    <row r="41" spans="1:29" ht="14.4">
      <c r="A41" s="478" t="s">
        <v>2713</v>
      </c>
      <c r="B41" s="2703" t="s">
        <v>2793</v>
      </c>
      <c r="C41" s="681" t="s">
        <v>1</v>
      </c>
      <c r="D41" s="480"/>
      <c r="E41" s="481"/>
      <c r="F41" s="482"/>
      <c r="G41" s="483"/>
      <c r="H41" s="484"/>
      <c r="I41" s="481"/>
      <c r="J41" s="484"/>
      <c r="K41" s="782"/>
      <c r="L41" s="1142"/>
      <c r="M41" s="1130"/>
      <c r="N41" s="1130"/>
      <c r="O41" s="1143"/>
      <c r="P41" s="3192" t="str">
        <f>A41</f>
        <v>成交单价</v>
      </c>
      <c r="Q41" s="3192"/>
      <c r="R41" s="3223">
        <f>E41</f>
        <v>0</v>
      </c>
      <c r="S41" s="3223"/>
      <c r="T41" s="3223">
        <f>G41</f>
        <v>0</v>
      </c>
      <c r="U41" s="3223"/>
      <c r="V41" s="3223">
        <f>I41</f>
        <v>0</v>
      </c>
      <c r="W41" s="3223"/>
      <c r="X41" s="758"/>
      <c r="Y41" s="780"/>
      <c r="Z41" s="758"/>
      <c r="AA41" s="758"/>
      <c r="AB41" s="758"/>
      <c r="AC41" s="758"/>
    </row>
    <row r="42" spans="1:29" ht="15" thickBot="1">
      <c r="A42" s="485" t="s">
        <v>2662</v>
      </c>
      <c r="B42" s="682"/>
      <c r="C42" s="489" t="e">
        <f>R43</f>
        <v>#DIV/0!</v>
      </c>
      <c r="D42" s="488"/>
      <c r="E42" s="489" t="e">
        <f>R42</f>
        <v>#DIV/0!</v>
      </c>
      <c r="F42" s="490"/>
      <c r="G42" s="487" t="e">
        <f>T42</f>
        <v>#DIV/0!</v>
      </c>
      <c r="H42" s="488"/>
      <c r="I42" s="489" t="e">
        <f>V42</f>
        <v>#DIV/0!</v>
      </c>
      <c r="J42" s="488"/>
      <c r="K42" s="783"/>
      <c r="L42" s="1142"/>
      <c r="M42" s="1130"/>
      <c r="N42" s="1130"/>
      <c r="O42" s="1143"/>
      <c r="P42" s="3192" t="str">
        <f>A42</f>
        <v>比较价值（元/平方米）</v>
      </c>
      <c r="Q42" s="3192"/>
      <c r="R42" s="3251" t="e">
        <f>ROUND(PRODUCT(R41,AA7:AA40),0)</f>
        <v>#DIV/0!</v>
      </c>
      <c r="S42" s="3251"/>
      <c r="T42" s="3251" t="e">
        <f>ROUND(PRODUCT(T41,AB7:AB40),0)</f>
        <v>#DIV/0!</v>
      </c>
      <c r="U42" s="3251"/>
      <c r="V42" s="3251" t="e">
        <f>ROUND(PRODUCT(V41,AC7:AC40),0)</f>
        <v>#DIV/0!</v>
      </c>
      <c r="W42" s="3251"/>
      <c r="X42" s="758"/>
      <c r="Y42" s="758"/>
      <c r="Z42" s="758"/>
      <c r="AA42" s="758"/>
      <c r="AB42" s="758"/>
      <c r="AC42" s="758"/>
    </row>
    <row r="43" spans="1:29" ht="15" thickBot="1">
      <c r="A43" s="491" t="s">
        <v>2663</v>
      </c>
      <c r="B43" s="492"/>
      <c r="C43" s="493" t="e">
        <f>R43</f>
        <v>#DIV/0!</v>
      </c>
      <c r="D43" s="493"/>
      <c r="E43" s="493"/>
      <c r="F43" s="493"/>
      <c r="G43" s="493"/>
      <c r="H43" s="493"/>
      <c r="I43" s="493"/>
      <c r="J43" s="493"/>
      <c r="K43" s="784"/>
      <c r="L43" s="1142"/>
      <c r="M43" s="1130"/>
      <c r="N43" s="1130"/>
      <c r="O43" s="1143"/>
      <c r="P43" s="3189" t="str">
        <f>A43</f>
        <v>估价对象XX用房的比较价值（楼面单价，元/平方米）</v>
      </c>
      <c r="Q43" s="3190"/>
      <c r="R43" s="3252" t="e">
        <f>ROUND(AVERAGE(R42:V42),0)</f>
        <v>#DIV/0!</v>
      </c>
      <c r="S43" s="3252"/>
      <c r="T43" s="3252"/>
      <c r="U43" s="3252"/>
      <c r="V43" s="3252"/>
      <c r="W43" s="3252"/>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2751</v>
      </c>
      <c r="B50" s="684" t="s">
        <v>2752</v>
      </c>
      <c r="C50" s="2704" t="s">
        <v>2753</v>
      </c>
      <c r="D50" s="2705" t="s">
        <v>2754</v>
      </c>
      <c r="E50" s="685" t="s">
        <v>2755</v>
      </c>
      <c r="F50" s="686" t="s">
        <v>2756</v>
      </c>
      <c r="G50" s="3207" t="s">
        <v>2757</v>
      </c>
      <c r="H50" s="3253"/>
      <c r="I50" s="1813" t="s">
        <v>2794</v>
      </c>
      <c r="J50" s="1813">
        <f>项目基本情况!F35</f>
        <v>0</v>
      </c>
      <c r="K50" s="2707" t="s">
        <v>2759</v>
      </c>
      <c r="L50" s="1105"/>
      <c r="M50" s="1143"/>
      <c r="N50" s="1143"/>
      <c r="O50" s="1143"/>
    </row>
    <row r="51" spans="1:17" s="691" customFormat="1">
      <c r="A51" s="687" t="s">
        <v>2760</v>
      </c>
      <c r="B51" s="688" t="e">
        <f>C43</f>
        <v>#DIV/0!</v>
      </c>
      <c r="C51" s="689">
        <v>1</v>
      </c>
      <c r="D51" s="1162">
        <v>1</v>
      </c>
      <c r="E51" s="689">
        <f>'数据-汇总表'!E8+'数据-汇总表'!E9</f>
        <v>1106.44</v>
      </c>
      <c r="F51" s="690" t="e">
        <f t="shared" ref="F51:F60" si="15">ROUND(B51*E51/10000,0)</f>
        <v>#DIV/0!</v>
      </c>
      <c r="G51" s="3203"/>
      <c r="H51" s="3192"/>
      <c r="I51" s="941">
        <v>1</v>
      </c>
      <c r="J51" s="941">
        <v>1</v>
      </c>
      <c r="K51" s="1144"/>
      <c r="L51" s="940"/>
      <c r="M51" s="940"/>
      <c r="N51" s="940"/>
      <c r="O51" s="940"/>
    </row>
    <row r="52" spans="1:17" s="691" customFormat="1">
      <c r="A52" s="692" t="s">
        <v>2761</v>
      </c>
      <c r="B52" s="261" t="e">
        <f>ROUND($C$43*C52*D52,0)</f>
        <v>#DIV/0!</v>
      </c>
      <c r="C52" s="199">
        <f t="shared" ref="C52:C60" si="16">IF($C$50="北京市系数",I52,J52)</f>
        <v>0</v>
      </c>
      <c r="D52" s="1163">
        <v>0.25</v>
      </c>
      <c r="E52" s="693"/>
      <c r="F52" s="690" t="e">
        <f t="shared" si="15"/>
        <v>#DIV/0!</v>
      </c>
      <c r="G52" s="3254" t="s">
        <v>2762</v>
      </c>
      <c r="H52" s="1103">
        <f>项目基本情况!B37</f>
        <v>0</v>
      </c>
      <c r="I52" s="941">
        <f>SUMIF(修正!A45:A56,H52,修正!B45:B56)</f>
        <v>0</v>
      </c>
      <c r="J52" s="942"/>
      <c r="K52" s="1143"/>
      <c r="L52" s="940"/>
      <c r="M52" s="940"/>
      <c r="N52" s="940"/>
      <c r="O52" s="940"/>
    </row>
    <row r="53" spans="1:17" s="691" customFormat="1">
      <c r="A53" s="692" t="s">
        <v>2763</v>
      </c>
      <c r="B53" s="261" t="e">
        <f t="shared" ref="B53:B60" si="17">ROUND($C$43*C53*D53,0)</f>
        <v>#DIV/0!</v>
      </c>
      <c r="C53" s="199">
        <f t="shared" si="16"/>
        <v>0</v>
      </c>
      <c r="D53" s="1163">
        <v>0.25</v>
      </c>
      <c r="E53" s="693"/>
      <c r="F53" s="690" t="e">
        <f t="shared" si="15"/>
        <v>#DIV/0!</v>
      </c>
      <c r="G53" s="3254"/>
      <c r="H53" s="1103">
        <f>项目基本情况!B37</f>
        <v>0</v>
      </c>
      <c r="I53" s="941">
        <f>SUMIF(修正!A45:A56,H53,修正!C45:C56)</f>
        <v>0</v>
      </c>
      <c r="J53" s="942"/>
      <c r="K53" s="1144"/>
      <c r="L53" s="940"/>
      <c r="M53" s="940"/>
      <c r="N53" s="940"/>
      <c r="O53" s="940"/>
    </row>
    <row r="54" spans="1:17" s="691" customFormat="1">
      <c r="A54" s="692" t="s">
        <v>2764</v>
      </c>
      <c r="B54" s="261" t="e">
        <f t="shared" si="17"/>
        <v>#DIV/0!</v>
      </c>
      <c r="C54" s="199">
        <f t="shared" si="16"/>
        <v>0</v>
      </c>
      <c r="D54" s="1163">
        <v>0.25</v>
      </c>
      <c r="E54" s="693"/>
      <c r="F54" s="690" t="e">
        <f t="shared" si="15"/>
        <v>#DIV/0!</v>
      </c>
      <c r="G54" s="3254"/>
      <c r="H54" s="1103">
        <f>项目基本情况!B37</f>
        <v>0</v>
      </c>
      <c r="I54" s="941">
        <f>SUMIF(修正!A45:A56,H54,修正!D45:D56)</f>
        <v>0</v>
      </c>
      <c r="J54" s="942"/>
      <c r="K54" s="1143"/>
      <c r="L54" s="940"/>
      <c r="M54" s="940"/>
      <c r="N54" s="940"/>
      <c r="O54" s="940"/>
    </row>
    <row r="55" spans="1:17" s="691" customFormat="1">
      <c r="A55" s="692" t="s">
        <v>2765</v>
      </c>
      <c r="B55" s="261" t="e">
        <f t="shared" si="17"/>
        <v>#DIV/0!</v>
      </c>
      <c r="C55" s="199">
        <f t="shared" si="16"/>
        <v>0</v>
      </c>
      <c r="D55" s="1163">
        <v>0.25</v>
      </c>
      <c r="E55" s="693"/>
      <c r="F55" s="690" t="e">
        <f t="shared" si="15"/>
        <v>#DIV/0!</v>
      </c>
      <c r="G55" s="3254"/>
      <c r="H55" s="1103">
        <f>项目基本情况!B37</f>
        <v>0</v>
      </c>
      <c r="I55" s="941">
        <f>SUMIF(修正!A45:A56,H55,修正!E45:E56)</f>
        <v>0</v>
      </c>
      <c r="J55" s="942"/>
      <c r="K55" s="1144"/>
      <c r="L55" s="940"/>
      <c r="M55" s="940"/>
      <c r="N55" s="940"/>
      <c r="O55" s="940"/>
    </row>
    <row r="56" spans="1:17" s="691" customFormat="1">
      <c r="A56" s="692" t="s">
        <v>2766</v>
      </c>
      <c r="B56" s="261" t="e">
        <f t="shared" si="17"/>
        <v>#DIV/0!</v>
      </c>
      <c r="C56" s="199">
        <f t="shared" si="16"/>
        <v>0</v>
      </c>
      <c r="D56" s="1163">
        <v>0.25</v>
      </c>
      <c r="E56" s="260">
        <f>'数据-汇总表'!E11</f>
        <v>0</v>
      </c>
      <c r="F56" s="690" t="e">
        <f t="shared" si="15"/>
        <v>#DIV/0!</v>
      </c>
      <c r="G56" s="2708" t="s">
        <v>2767</v>
      </c>
      <c r="H56" s="1103">
        <f>项目基本情况!C37</f>
        <v>0</v>
      </c>
      <c r="I56" s="941">
        <f>SUMIF(修正!A45:A56,H56,修正!F45:F56)</f>
        <v>0</v>
      </c>
      <c r="J56" s="942"/>
      <c r="K56" s="1143"/>
      <c r="L56" s="940"/>
      <c r="M56" s="940"/>
      <c r="N56" s="940"/>
      <c r="O56" s="940"/>
    </row>
    <row r="57" spans="1:17" s="691" customFormat="1">
      <c r="A57" s="692" t="s">
        <v>2768</v>
      </c>
      <c r="B57" s="261" t="e">
        <f t="shared" si="17"/>
        <v>#DIV/0!</v>
      </c>
      <c r="C57" s="199">
        <f t="shared" si="16"/>
        <v>0</v>
      </c>
      <c r="D57" s="1163">
        <v>0.25</v>
      </c>
      <c r="E57" s="260">
        <f>'数据-汇总表'!E12</f>
        <v>0</v>
      </c>
      <c r="F57" s="690" t="e">
        <f t="shared" si="15"/>
        <v>#DIV/0!</v>
      </c>
      <c r="G57" s="1108" t="s">
        <v>2769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2770</v>
      </c>
      <c r="B58" s="261" t="e">
        <f t="shared" si="17"/>
        <v>#DIV/0!</v>
      </c>
      <c r="C58" s="199">
        <f t="shared" si="16"/>
        <v>0</v>
      </c>
      <c r="D58" s="1163">
        <v>0.25</v>
      </c>
      <c r="E58" s="260">
        <f>'数据-汇总表'!E13</f>
        <v>0</v>
      </c>
      <c r="F58" s="690" t="e">
        <f t="shared" si="15"/>
        <v>#DIV/0!</v>
      </c>
      <c r="G58" s="1108" t="s">
        <v>2771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2772</v>
      </c>
      <c r="B59" s="261" t="e">
        <f t="shared" si="17"/>
        <v>#DIV/0!</v>
      </c>
      <c r="C59" s="199">
        <f t="shared" si="16"/>
        <v>0</v>
      </c>
      <c r="D59" s="1163">
        <v>0.25</v>
      </c>
      <c r="E59" s="260">
        <f>'数据-汇总表'!E14</f>
        <v>0</v>
      </c>
      <c r="F59" s="690" t="e">
        <f t="shared" si="15"/>
        <v>#DIV/0!</v>
      </c>
      <c r="G59" s="2708" t="s">
        <v>2762</v>
      </c>
      <c r="H59" s="1103">
        <f>项目基本情况!B37</f>
        <v>0</v>
      </c>
      <c r="I59" s="941">
        <f>SUMIF(修正!A45:A56,H59,修正!H45:H56)</f>
        <v>0</v>
      </c>
      <c r="J59" s="942"/>
      <c r="K59" s="1144"/>
      <c r="L59" s="940"/>
      <c r="M59" s="940"/>
      <c r="N59" s="940"/>
      <c r="O59" s="940"/>
    </row>
    <row r="60" spans="1:17" s="691" customFormat="1" ht="14.4" thickBot="1">
      <c r="A60" s="692" t="s">
        <v>2773</v>
      </c>
      <c r="B60" s="261" t="e">
        <f t="shared" si="17"/>
        <v>#DIV/0!</v>
      </c>
      <c r="C60" s="199">
        <f t="shared" si="16"/>
        <v>0</v>
      </c>
      <c r="D60" s="1163">
        <v>0.25</v>
      </c>
      <c r="E60" s="260">
        <f>'数据-汇总表'!E15</f>
        <v>0</v>
      </c>
      <c r="F60" s="690" t="e">
        <f t="shared" si="15"/>
        <v>#DIV/0!</v>
      </c>
      <c r="G60" s="2709" t="s">
        <v>2767</v>
      </c>
      <c r="H60" s="1113">
        <f>项目基本情况!C37</f>
        <v>0</v>
      </c>
      <c r="I60" s="941">
        <f>SUMIF(修正!A45:A56,H60,修正!H45:H56)</f>
        <v>0</v>
      </c>
      <c r="J60" s="942"/>
      <c r="K60" s="1143"/>
      <c r="L60" s="940"/>
      <c r="M60" s="940"/>
      <c r="N60" s="940"/>
      <c r="O60" s="940"/>
    </row>
    <row r="61" spans="1:17" s="691" customFormat="1" ht="14.4" thickBot="1">
      <c r="A61" s="694" t="s">
        <v>2774</v>
      </c>
      <c r="B61" s="695" t="s">
        <v>28</v>
      </c>
      <c r="C61" s="695" t="s">
        <v>29</v>
      </c>
      <c r="D61" s="695" t="s">
        <v>1026</v>
      </c>
      <c r="E61" s="695">
        <f>IF(B41="楼面地价",SUM(E51:E60),'数据-汇总表'!D3)</f>
        <v>8001.46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2020-4-1</v>
      </c>
      <c r="D63" s="760">
        <f>EDATE(C63,-3)</f>
        <v>43831</v>
      </c>
      <c r="E63" s="760">
        <f>EDATE(D63,-3)</f>
        <v>43739</v>
      </c>
      <c r="F63" s="760">
        <f t="shared" ref="F63:O63" si="18">EDATE(E63,-3)</f>
        <v>43647</v>
      </c>
      <c r="G63" s="760">
        <f t="shared" si="18"/>
        <v>43556</v>
      </c>
      <c r="H63" s="760">
        <f t="shared" si="18"/>
        <v>43466</v>
      </c>
      <c r="I63" s="760">
        <f t="shared" si="18"/>
        <v>43374</v>
      </c>
      <c r="J63" s="760">
        <f t="shared" si="18"/>
        <v>43282</v>
      </c>
      <c r="K63" s="760">
        <f t="shared" si="18"/>
        <v>43191</v>
      </c>
      <c r="L63" s="760">
        <f t="shared" si="18"/>
        <v>43101</v>
      </c>
      <c r="M63" s="760">
        <f t="shared" si="18"/>
        <v>43009</v>
      </c>
      <c r="N63" s="760">
        <f t="shared" si="18"/>
        <v>42917</v>
      </c>
      <c r="O63" s="760">
        <f t="shared" si="18"/>
        <v>42826</v>
      </c>
    </row>
    <row r="64" spans="1:17" ht="22.2" thickBot="1">
      <c r="A64" s="762" t="s">
        <v>2667</v>
      </c>
      <c r="B64" s="758"/>
      <c r="C64" s="763"/>
      <c r="D64" s="763"/>
      <c r="E64" s="763"/>
      <c r="F64" s="764"/>
      <c r="G64" s="764"/>
      <c r="H64" s="763"/>
      <c r="I64" s="763"/>
      <c r="J64" s="763"/>
      <c r="K64" s="765"/>
      <c r="L64" s="766"/>
      <c r="M64" s="763"/>
      <c r="N64" s="763"/>
      <c r="O64" s="1158"/>
      <c r="P64" s="502"/>
      <c r="Q64" s="503"/>
    </row>
    <row r="65" spans="1:17" s="507" customFormat="1" ht="14.4">
      <c r="A65" s="2710" t="s">
        <v>2775</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7" customFormat="1" ht="30.75" customHeight="1">
      <c r="A66" s="2715" t="s">
        <v>2795</v>
      </c>
      <c r="B66" s="331" t="str">
        <f>"北京市平均增长率"&amp;TEXT(基准地价修正!P24,"0.00%")</f>
        <v>北京市平均增长率0.00%</v>
      </c>
      <c r="C66" s="602">
        <v>100</v>
      </c>
      <c r="D66" s="594"/>
      <c r="E66" s="594"/>
      <c r="F66" s="594"/>
      <c r="G66" s="594"/>
      <c r="H66" s="594"/>
      <c r="I66" s="594"/>
      <c r="J66" s="594"/>
      <c r="K66" s="594"/>
      <c r="L66" s="594"/>
      <c r="M66" s="1566"/>
      <c r="N66" s="1566"/>
      <c r="O66" s="1568"/>
      <c r="P66" s="503"/>
    </row>
    <row r="67" spans="1:17" s="117" customFormat="1" ht="15" thickBot="1">
      <c r="A67" s="514" t="s">
        <v>2578</v>
      </c>
      <c r="B67" s="515"/>
      <c r="C67" s="516"/>
      <c r="D67" s="517"/>
      <c r="E67" s="517"/>
      <c r="F67" s="517"/>
      <c r="G67" s="517"/>
      <c r="H67" s="517"/>
      <c r="I67" s="517"/>
      <c r="J67" s="517"/>
      <c r="K67" s="517"/>
      <c r="L67" s="517"/>
      <c r="M67" s="518"/>
      <c r="N67" s="518"/>
      <c r="O67" s="519"/>
      <c r="P67" s="503"/>
      <c r="Q67" s="503"/>
    </row>
    <row r="68" spans="1:17" s="117" customFormat="1" ht="14.4">
      <c r="A68" s="520" t="s">
        <v>2543</v>
      </c>
      <c r="B68" s="509"/>
      <c r="C68" s="521" t="s">
        <v>2645</v>
      </c>
      <c r="D68" s="522"/>
      <c r="E68" s="522"/>
      <c r="F68" s="522"/>
      <c r="G68" s="522"/>
      <c r="H68" s="522"/>
      <c r="I68" s="522"/>
      <c r="J68" s="522"/>
      <c r="K68" s="522"/>
      <c r="L68" s="523"/>
      <c r="M68" s="524"/>
      <c r="N68" s="1150"/>
      <c r="O68" s="1150"/>
      <c r="P68" s="525"/>
      <c r="Q68" s="503"/>
    </row>
    <row r="69" spans="1:17" s="117"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2581</v>
      </c>
      <c r="B70" s="527" t="s">
        <v>2547</v>
      </c>
      <c r="C70" s="529"/>
      <c r="D70" s="529"/>
      <c r="E70" s="529"/>
      <c r="F70" s="529"/>
      <c r="G70" s="529"/>
      <c r="H70" s="529"/>
      <c r="I70" s="529"/>
      <c r="J70" s="529"/>
      <c r="K70" s="530"/>
      <c r="L70" s="531"/>
      <c r="M70" s="532"/>
      <c r="N70" s="1151"/>
      <c r="O70" s="1151"/>
      <c r="P70" s="45"/>
      <c r="Q70" s="503"/>
    </row>
    <row r="71" spans="1:17" ht="14.4" thickBot="1">
      <c r="A71" s="533"/>
      <c r="B71" s="534"/>
      <c r="C71" s="535"/>
      <c r="D71" s="535"/>
      <c r="E71" s="535"/>
      <c r="F71" s="535"/>
      <c r="G71" s="535"/>
      <c r="H71" s="535"/>
      <c r="I71" s="535"/>
      <c r="J71" s="535"/>
      <c r="K71" s="535"/>
      <c r="L71" s="535"/>
      <c r="M71" s="536"/>
      <c r="N71" s="1152"/>
      <c r="O71" s="1152"/>
      <c r="P71" s="45"/>
      <c r="Q71" s="503"/>
    </row>
    <row r="72" spans="1:17" ht="29.4" thickTop="1">
      <c r="A72" s="533"/>
      <c r="B72" s="537" t="s">
        <v>2550</v>
      </c>
      <c r="C72" s="538"/>
      <c r="D72" s="538"/>
      <c r="E72" s="538"/>
      <c r="F72" s="538"/>
      <c r="G72" s="538"/>
      <c r="H72" s="538"/>
      <c r="I72" s="538"/>
      <c r="J72" s="538"/>
      <c r="K72" s="539"/>
      <c r="L72" s="540"/>
      <c r="M72" s="541"/>
      <c r="N72" s="1151"/>
      <c r="O72" s="1151"/>
      <c r="P72" s="45"/>
      <c r="Q72" s="503"/>
    </row>
    <row r="73" spans="1:17" ht="14.4" thickBot="1">
      <c r="A73" s="533"/>
      <c r="B73" s="542"/>
      <c r="C73" s="543"/>
      <c r="D73" s="543"/>
      <c r="E73" s="543"/>
      <c r="F73" s="543"/>
      <c r="G73" s="543"/>
      <c r="H73" s="543"/>
      <c r="I73" s="543"/>
      <c r="J73" s="543"/>
      <c r="K73" s="543"/>
      <c r="L73" s="543"/>
      <c r="M73" s="544"/>
      <c r="N73" s="1152"/>
      <c r="O73" s="1152"/>
      <c r="P73" s="45"/>
      <c r="Q73" s="503"/>
    </row>
    <row r="74" spans="1:17" ht="1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2552</v>
      </c>
      <c r="B83" s="527" t="s">
        <v>2698</v>
      </c>
      <c r="C83" s="572" t="s">
        <v>2590</v>
      </c>
      <c r="D83" s="572" t="s">
        <v>2591</v>
      </c>
      <c r="E83" s="572" t="s">
        <v>2592</v>
      </c>
      <c r="F83" s="572" t="s">
        <v>2593</v>
      </c>
      <c r="G83" s="572" t="s">
        <v>2594</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 thickTop="1">
      <c r="A85" s="533"/>
      <c r="B85" s="537" t="s">
        <v>2595</v>
      </c>
      <c r="C85" s="577" t="s">
        <v>2590</v>
      </c>
      <c r="D85" s="577" t="s">
        <v>2591</v>
      </c>
      <c r="E85" s="577" t="s">
        <v>2592</v>
      </c>
      <c r="F85" s="577" t="s">
        <v>2593</v>
      </c>
      <c r="G85" s="577" t="s">
        <v>2594</v>
      </c>
      <c r="H85" s="538"/>
      <c r="I85" s="538"/>
      <c r="J85" s="538"/>
      <c r="K85" s="539"/>
      <c r="L85" s="540"/>
      <c r="M85" s="541"/>
      <c r="N85" s="1151"/>
      <c r="O85" s="1151"/>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29.4" thickTop="1">
      <c r="A87" s="578"/>
      <c r="B87" s="537" t="s">
        <v>2778</v>
      </c>
      <c r="C87" s="572" t="s">
        <v>2590</v>
      </c>
      <c r="D87" s="572" t="s">
        <v>2591</v>
      </c>
      <c r="E87" s="572" t="s">
        <v>2592</v>
      </c>
      <c r="F87" s="572" t="s">
        <v>2593</v>
      </c>
      <c r="G87" s="572" t="s">
        <v>2594</v>
      </c>
      <c r="H87" s="577"/>
      <c r="I87" s="577"/>
      <c r="J87" s="577"/>
      <c r="K87" s="577"/>
      <c r="L87" s="697"/>
      <c r="M87" s="621"/>
      <c r="N87" s="1150"/>
      <c r="O87" s="1150"/>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9.4" thickTop="1">
      <c r="A89" s="578"/>
      <c r="B89" s="537" t="s">
        <v>2779</v>
      </c>
      <c r="C89" s="572" t="s">
        <v>2590</v>
      </c>
      <c r="D89" s="572" t="s">
        <v>2591</v>
      </c>
      <c r="E89" s="572" t="s">
        <v>2592</v>
      </c>
      <c r="F89" s="572" t="s">
        <v>2593</v>
      </c>
      <c r="G89" s="572" t="s">
        <v>2594</v>
      </c>
      <c r="H89" s="577"/>
      <c r="I89" s="577"/>
      <c r="J89" s="577"/>
      <c r="K89" s="577"/>
      <c r="L89" s="577"/>
      <c r="M89" s="621"/>
      <c r="N89" s="1150"/>
      <c r="O89" s="1150"/>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 thickTop="1">
      <c r="A91" s="552"/>
      <c r="B91" s="537" t="s">
        <v>2647</v>
      </c>
      <c r="C91" s="572" t="s">
        <v>2590</v>
      </c>
      <c r="D91" s="572" t="s">
        <v>2591</v>
      </c>
      <c r="E91" s="572" t="s">
        <v>2592</v>
      </c>
      <c r="F91" s="572" t="s">
        <v>2593</v>
      </c>
      <c r="G91" s="572" t="s">
        <v>2594</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2796</v>
      </c>
      <c r="C93" s="659" t="s">
        <v>2668</v>
      </c>
      <c r="D93" s="659" t="s">
        <v>2669</v>
      </c>
      <c r="E93" s="659" t="s">
        <v>2670</v>
      </c>
      <c r="F93" s="659" t="s">
        <v>2671</v>
      </c>
      <c r="G93" s="659" t="s">
        <v>2672</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2780</v>
      </c>
      <c r="D95" s="538" t="s">
        <v>2781</v>
      </c>
      <c r="E95" s="538" t="s">
        <v>2782</v>
      </c>
      <c r="F95" s="538" t="s">
        <v>2783</v>
      </c>
      <c r="G95" s="538"/>
      <c r="H95" s="538"/>
      <c r="I95" s="538"/>
      <c r="J95" s="538"/>
      <c r="K95" s="539"/>
      <c r="L95" s="540"/>
      <c r="M95" s="541"/>
      <c r="N95" s="1151"/>
      <c r="O95" s="1151"/>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9.4" thickTop="1">
      <c r="A97" s="533"/>
      <c r="B97" s="537" t="s">
        <v>2684</v>
      </c>
      <c r="C97" s="553"/>
      <c r="D97" s="553"/>
      <c r="E97" s="553"/>
      <c r="F97" s="553"/>
      <c r="G97" s="553"/>
      <c r="H97" s="582"/>
      <c r="I97" s="582"/>
      <c r="J97" s="582"/>
      <c r="K97" s="583"/>
      <c r="L97" s="584"/>
      <c r="M97" s="585"/>
      <c r="N97" s="1151"/>
      <c r="O97" s="1151"/>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 thickTop="1">
      <c r="A99" s="533"/>
      <c r="B99" s="537" t="s">
        <v>2743</v>
      </c>
      <c r="C99" s="582"/>
      <c r="D99" s="582"/>
      <c r="E99" s="582"/>
      <c r="F99" s="582"/>
      <c r="G99" s="582"/>
      <c r="H99" s="582"/>
      <c r="I99" s="582"/>
      <c r="J99" s="582"/>
      <c r="K99" s="583"/>
      <c r="L99" s="584"/>
      <c r="M99" s="585"/>
      <c r="N99" s="1151"/>
      <c r="O99" s="1151"/>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4" thickTop="1">
      <c r="A101" s="533"/>
      <c r="B101" s="545">
        <f>B31</f>
        <v>111</v>
      </c>
      <c r="C101" s="553"/>
      <c r="D101" s="553"/>
      <c r="E101" s="553"/>
      <c r="F101" s="553"/>
      <c r="G101" s="586"/>
      <c r="H101" s="586"/>
      <c r="I101" s="586"/>
      <c r="J101" s="586"/>
      <c r="K101" s="587"/>
      <c r="L101" s="588"/>
      <c r="M101" s="589"/>
      <c r="N101" s="1151"/>
      <c r="O101" s="1151"/>
      <c r="P101" s="45"/>
      <c r="Q101" s="503"/>
    </row>
    <row r="102" spans="1:17" ht="14.4" thickBot="1">
      <c r="A102" s="533"/>
      <c r="B102" s="568"/>
      <c r="C102" s="559"/>
      <c r="D102" s="535"/>
      <c r="E102" s="535"/>
      <c r="F102" s="535"/>
      <c r="G102" s="590"/>
      <c r="H102" s="590"/>
      <c r="I102" s="590"/>
      <c r="J102" s="590"/>
      <c r="K102" s="590"/>
      <c r="L102" s="590"/>
      <c r="M102" s="591"/>
      <c r="N102" s="1152"/>
      <c r="O102" s="1152"/>
      <c r="P102" s="45"/>
      <c r="Q102" s="503"/>
    </row>
    <row r="103" spans="1:17" ht="14.4" thickTop="1">
      <c r="A103" s="674"/>
      <c r="B103" s="537">
        <f>B32</f>
        <v>111</v>
      </c>
      <c r="C103" s="553"/>
      <c r="D103" s="553"/>
      <c r="E103" s="553"/>
      <c r="F103" s="553"/>
      <c r="G103" s="582"/>
      <c r="H103" s="582"/>
      <c r="I103" s="582"/>
      <c r="J103" s="582"/>
      <c r="K103" s="583"/>
      <c r="L103" s="584"/>
      <c r="M103" s="585"/>
      <c r="N103" s="1151"/>
      <c r="O103" s="1151"/>
      <c r="P103" s="45"/>
      <c r="Q103" s="503"/>
    </row>
    <row r="104" spans="1:17" ht="14.4" thickBot="1">
      <c r="A104" s="533"/>
      <c r="B104" s="542"/>
      <c r="C104" s="559"/>
      <c r="D104" s="559"/>
      <c r="E104" s="559"/>
      <c r="F104" s="559"/>
      <c r="G104" s="535"/>
      <c r="H104" s="535"/>
      <c r="I104" s="535"/>
      <c r="J104" s="535"/>
      <c r="K104" s="535"/>
      <c r="L104" s="535"/>
      <c r="M104" s="536"/>
      <c r="N104" s="1152"/>
      <c r="O104" s="1152"/>
      <c r="P104" s="45"/>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4"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2785</v>
      </c>
      <c r="C110" s="582"/>
      <c r="D110" s="582"/>
      <c r="E110" s="582"/>
      <c r="F110" s="582"/>
      <c r="G110" s="582"/>
      <c r="H110" s="582"/>
      <c r="I110" s="582"/>
      <c r="J110" s="582"/>
      <c r="K110" s="583"/>
      <c r="L110" s="584"/>
      <c r="M110" s="585"/>
      <c r="N110" s="1151"/>
      <c r="O110" s="1151"/>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2787</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2788</v>
      </c>
      <c r="C114" s="553"/>
      <c r="D114" s="553"/>
      <c r="E114" s="582"/>
      <c r="F114" s="582"/>
      <c r="G114" s="582"/>
      <c r="H114" s="582"/>
      <c r="I114" s="582"/>
      <c r="J114" s="582"/>
      <c r="K114" s="583"/>
      <c r="L114" s="584"/>
      <c r="M114" s="585"/>
      <c r="N114" s="1151"/>
      <c r="O114" s="1151"/>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4" thickTop="1">
      <c r="A116" s="598"/>
      <c r="B116" s="537">
        <f>B38</f>
        <v>111</v>
      </c>
      <c r="C116" s="553"/>
      <c r="D116" s="553"/>
      <c r="E116" s="553"/>
      <c r="F116" s="553"/>
      <c r="G116" s="553"/>
      <c r="H116" s="582"/>
      <c r="I116" s="582"/>
      <c r="J116" s="582"/>
      <c r="K116" s="583"/>
      <c r="L116" s="584"/>
      <c r="M116" s="585"/>
      <c r="N116" s="1151"/>
      <c r="O116" s="1151"/>
      <c r="P116" s="45"/>
      <c r="Q116" s="503"/>
    </row>
    <row r="117" spans="1:17" ht="14.4" thickBot="1">
      <c r="A117" s="533"/>
      <c r="B117" s="542"/>
      <c r="C117" s="559"/>
      <c r="D117" s="535"/>
      <c r="E117" s="535"/>
      <c r="F117" s="535"/>
      <c r="G117" s="535"/>
      <c r="H117" s="535"/>
      <c r="I117" s="535"/>
      <c r="J117" s="535"/>
      <c r="K117" s="535"/>
      <c r="L117" s="535"/>
      <c r="M117" s="536"/>
      <c r="N117" s="1152"/>
      <c r="O117" s="1152"/>
      <c r="P117" s="45"/>
      <c r="Q117" s="503"/>
    </row>
    <row r="118" spans="1:17" ht="14.4" thickTop="1">
      <c r="A118" s="598"/>
      <c r="B118" s="537">
        <f>B39</f>
        <v>111</v>
      </c>
      <c r="C118" s="553"/>
      <c r="D118" s="553"/>
      <c r="E118" s="553"/>
      <c r="F118" s="553"/>
      <c r="G118" s="582"/>
      <c r="H118" s="582"/>
      <c r="I118" s="582"/>
      <c r="J118" s="582"/>
      <c r="K118" s="583"/>
      <c r="L118" s="584"/>
      <c r="M118" s="585"/>
      <c r="N118" s="1151"/>
      <c r="O118" s="1151"/>
      <c r="P118" s="45"/>
      <c r="Q118" s="503"/>
    </row>
    <row r="119" spans="1:17" ht="14.4" thickBot="1">
      <c r="A119" s="533"/>
      <c r="B119" s="542"/>
      <c r="C119" s="559"/>
      <c r="D119" s="559"/>
      <c r="E119" s="559"/>
      <c r="F119" s="559"/>
      <c r="G119" s="535"/>
      <c r="H119" s="535"/>
      <c r="I119" s="535"/>
      <c r="J119" s="535"/>
      <c r="K119" s="535"/>
      <c r="L119" s="535"/>
      <c r="M119" s="536"/>
      <c r="N119" s="1152"/>
      <c r="O119" s="1152"/>
      <c r="P119" s="45"/>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C19" sqref="C19"/>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71" customWidth="1"/>
    <col min="33" max="36" width="9.33203125" style="2787" customWidth="1"/>
    <col min="37" max="38" width="9.33203125" style="2719" customWidth="1"/>
    <col min="39" max="16384" width="12" style="2719"/>
  </cols>
  <sheetData>
    <row r="1" spans="1:36" ht="31.2">
      <c r="A1" s="239" t="s">
        <v>2797</v>
      </c>
      <c r="B1" s="240"/>
      <c r="C1" s="244" t="s">
        <v>2798</v>
      </c>
      <c r="D1" s="387">
        <f>SUM(D29:D30,D33:D39)</f>
        <v>1106.44</v>
      </c>
      <c r="E1" s="2716"/>
      <c r="F1" s="2716"/>
      <c r="G1" s="2716"/>
      <c r="H1" s="2716"/>
      <c r="I1" s="2716"/>
      <c r="J1" s="2716"/>
      <c r="K1" s="1369"/>
      <c r="L1" s="2717" t="s">
        <v>2799</v>
      </c>
      <c r="M1" s="1079">
        <f>SUMPRODUCT((区片价!B5:B9=I2)*(区片价!C3:F3=E2)*(区片价!C5:F9))</f>
        <v>0</v>
      </c>
      <c r="N1" s="1082">
        <f>SUMPRODUCT((因素修正幅度!B5:B9=I2)*(因素修正幅度!C3:F3=E2)*(因素修正幅度!C5:F9))</f>
        <v>0</v>
      </c>
      <c r="O1" s="2718"/>
      <c r="P1" s="2718"/>
      <c r="Q1" s="1369"/>
      <c r="R1" s="1601" t="s">
        <v>2800</v>
      </c>
      <c r="S1" s="1601" t="s">
        <v>2801</v>
      </c>
      <c r="T1" s="1601" t="s">
        <v>2802</v>
      </c>
      <c r="U1" s="1601" t="s">
        <v>2803</v>
      </c>
      <c r="V1" s="1601" t="s">
        <v>2804</v>
      </c>
      <c r="W1" s="1605"/>
      <c r="X1" s="1605"/>
      <c r="Y1" s="1605"/>
      <c r="Z1" s="1605"/>
      <c r="AA1" s="1605"/>
      <c r="AB1" s="1605"/>
      <c r="AC1" s="1606"/>
      <c r="AD1" s="1607"/>
      <c r="AE1" s="1607"/>
      <c r="AF1" s="1607"/>
      <c r="AG1" s="1607"/>
      <c r="AH1" s="1607"/>
      <c r="AI1" s="1607"/>
      <c r="AJ1" s="1608"/>
    </row>
    <row r="2" spans="1:36" ht="15.6">
      <c r="A2" s="244" t="s">
        <v>2805</v>
      </c>
      <c r="B2" s="247">
        <f ca="1">C26</f>
        <v>612</v>
      </c>
      <c r="C2" s="2720" t="s">
        <v>2806</v>
      </c>
      <c r="D2" s="2721" t="s">
        <v>2807</v>
      </c>
      <c r="E2" s="2722" t="s">
        <v>6</v>
      </c>
      <c r="F2" s="2721" t="s">
        <v>2808</v>
      </c>
      <c r="G2" s="2723" t="str">
        <f>IF(E2="商业",项目基本情况!B37,IF(E2="办公",项目基本情况!C37,IF(E2="住宅",项目基本情况!D37,项目基本情况!E37)))</f>
        <v>十级</v>
      </c>
      <c r="H2" s="2721" t="s">
        <v>2809</v>
      </c>
      <c r="I2" s="2723" t="str">
        <f>IF(E2="商业",项目基本情况!B38,IF(E2="办公",项目基本情况!C38,IF(E2="住宅",项目基本情况!D38,项目基本情况!E38)))</f>
        <v>Ⅹ-昌2</v>
      </c>
      <c r="J2" s="2724"/>
      <c r="K2" s="1369"/>
      <c r="L2" s="2725" t="s">
        <v>2810</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13.8714</v>
      </c>
      <c r="T2" s="1601">
        <f ca="1">ROUND($C$5*$C$18*$C$19*$C$20*S2*$C$24,0)</f>
        <v>9594</v>
      </c>
      <c r="U2" s="1602"/>
      <c r="V2" s="1601">
        <f ca="1">ROUND(T2*U2/10000,0)</f>
        <v>0</v>
      </c>
      <c r="W2" s="1605"/>
      <c r="X2" s="1605"/>
      <c r="Y2" s="1605"/>
      <c r="Z2" s="1605"/>
      <c r="AA2" s="1605"/>
      <c r="AB2" s="1605"/>
      <c r="AC2" s="1606"/>
      <c r="AD2" s="1607"/>
      <c r="AE2" s="1607"/>
      <c r="AF2" s="1607"/>
      <c r="AG2" s="1607"/>
      <c r="AH2" s="1607"/>
      <c r="AI2" s="1607"/>
      <c r="AJ2" s="1608"/>
    </row>
    <row r="3" spans="1:36" ht="15.6">
      <c r="A3" s="246" t="s">
        <v>2811</v>
      </c>
      <c r="B3" s="247">
        <f ca="1">ROUND(B2*10000/D1,0)</f>
        <v>5531</v>
      </c>
      <c r="C3" s="2720" t="s">
        <v>2812</v>
      </c>
      <c r="D3" s="2721" t="s">
        <v>2813</v>
      </c>
      <c r="E3" s="2726" t="s">
        <v>3081</v>
      </c>
      <c r="F3" s="2727" t="s">
        <v>3095</v>
      </c>
      <c r="G3" s="915">
        <f>IF(F3="宗地容积率",'数据-汇总表'!I4,IF(F3="估价对象容积率",'数据-汇总表'!I6,'数据-汇总表'!I7))</f>
        <v>0.14000000000000001</v>
      </c>
      <c r="H3" s="197" t="s">
        <v>2814</v>
      </c>
      <c r="I3" s="943"/>
      <c r="J3" s="2724" t="s">
        <v>2815</v>
      </c>
      <c r="K3" s="1369"/>
      <c r="L3" s="2725" t="s">
        <v>2816</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9.1420999999999992</v>
      </c>
      <c r="T3" s="1601">
        <f t="shared" ref="T3:T16" ca="1" si="0">ROUND($C$5*$C$18*$C$19*$C$20*S3*$C$24,0)</f>
        <v>6323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62"/>
      <c r="B4" s="3263"/>
      <c r="C4" s="3263"/>
      <c r="D4" s="3264"/>
      <c r="E4" s="3264"/>
      <c r="F4" s="3264"/>
      <c r="G4" s="3264"/>
      <c r="H4" s="3264"/>
      <c r="I4" s="3264"/>
      <c r="J4" s="3265"/>
      <c r="K4" s="1369"/>
      <c r="L4" s="2725" t="s">
        <v>2817</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7.1943000000000001</v>
      </c>
      <c r="T4" s="1601">
        <f t="shared" ca="1" si="0"/>
        <v>4976</v>
      </c>
      <c r="U4" s="1602"/>
      <c r="V4" s="1601">
        <f t="shared" ca="1" si="1"/>
        <v>0</v>
      </c>
      <c r="W4" s="1605"/>
      <c r="X4" s="1605"/>
      <c r="Y4" s="1605"/>
      <c r="Z4" s="1605"/>
      <c r="AA4" s="1605"/>
      <c r="AB4" s="1605"/>
      <c r="AC4" s="1606"/>
      <c r="AD4" s="1607"/>
      <c r="AE4" s="1607"/>
      <c r="AF4" s="1607"/>
      <c r="AG4" s="1607"/>
      <c r="AH4" s="1607"/>
      <c r="AI4" s="1607"/>
      <c r="AJ4" s="1608"/>
    </row>
    <row r="5" spans="1:36" s="2737" customFormat="1" ht="15.6" thickBot="1">
      <c r="A5" s="2728" t="s">
        <v>807</v>
      </c>
      <c r="B5" s="2729" t="s">
        <v>2818</v>
      </c>
      <c r="C5" s="916">
        <f>ROUND(IF(E2="商业",C6*C7+C16,(IF(E2="住宅",C6*C12+C16,C6+C16))),0)</f>
        <v>570</v>
      </c>
      <c r="D5" s="1786">
        <f>ROUND(C6+C16,0)</f>
        <v>570</v>
      </c>
      <c r="E5" s="1786"/>
      <c r="F5" s="2730"/>
      <c r="G5" s="2731"/>
      <c r="H5" s="2731"/>
      <c r="I5" s="2731"/>
      <c r="J5" s="2732"/>
      <c r="K5" s="2733"/>
      <c r="L5" s="2725" t="s">
        <v>2819</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5.375</v>
      </c>
      <c r="T5" s="1601">
        <f t="shared" ca="1" si="0"/>
        <v>3718</v>
      </c>
      <c r="U5" s="1602"/>
      <c r="V5" s="1601">
        <f t="shared" ca="1" si="1"/>
        <v>0</v>
      </c>
      <c r="W5" s="1605"/>
      <c r="X5" s="1605"/>
      <c r="Y5" s="1605"/>
      <c r="Z5" s="1605"/>
      <c r="AA5" s="1605"/>
      <c r="AB5" s="1605"/>
      <c r="AC5" s="2734"/>
      <c r="AD5" s="2735"/>
      <c r="AE5" s="2735"/>
      <c r="AF5" s="2735"/>
      <c r="AG5" s="2735"/>
      <c r="AH5" s="2735"/>
      <c r="AI5" s="2735"/>
      <c r="AJ5" s="2736"/>
    </row>
    <row r="6" spans="1:36" ht="15.6" thickBot="1">
      <c r="A6" s="2738" t="s">
        <v>2820</v>
      </c>
      <c r="B6" s="2739" t="s">
        <v>2821</v>
      </c>
      <c r="C6" s="917">
        <f>SUMIF(L1:L12,G2,M1:M12)</f>
        <v>540</v>
      </c>
      <c r="D6" s="2740" t="s">
        <v>2822</v>
      </c>
      <c r="E6" s="2741"/>
      <c r="F6" s="2741"/>
      <c r="G6" s="2742"/>
      <c r="H6" s="2742"/>
      <c r="I6" s="2742"/>
      <c r="J6" s="2743"/>
      <c r="K6" s="1841"/>
      <c r="L6" s="2725" t="s">
        <v>2823</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4.0420999999999996</v>
      </c>
      <c r="T6" s="1601">
        <f t="shared" ca="1" si="0"/>
        <v>2796</v>
      </c>
      <c r="U6" s="1602"/>
      <c r="V6" s="1601">
        <f t="shared" ca="1" si="1"/>
        <v>0</v>
      </c>
      <c r="W6" s="1605"/>
      <c r="X6" s="1605"/>
      <c r="Y6" s="1605"/>
      <c r="Z6" s="1605"/>
      <c r="AA6" s="1605"/>
      <c r="AB6" s="1605"/>
      <c r="AC6" s="2734"/>
      <c r="AD6" s="2735"/>
      <c r="AE6" s="2735"/>
      <c r="AF6" s="2735"/>
      <c r="AG6" s="2735"/>
      <c r="AH6" s="2735"/>
      <c r="AI6" s="2735"/>
      <c r="AJ6" s="2736"/>
    </row>
    <row r="7" spans="1:36" ht="24">
      <c r="A7" s="3266" t="str">
        <f>IF(E2="商业",IF(C8="不临58条商业街","",2),"")</f>
        <v/>
      </c>
      <c r="B7" s="2744" t="s">
        <v>2824</v>
      </c>
      <c r="C7" s="918">
        <f>IF(C8="不临58条商业街",1,ROUND(1+(1.6*E8+1.2*E9+0.8*E10+0.4*E11)*C9,4))</f>
        <v>1</v>
      </c>
      <c r="D7" s="2745" t="s">
        <v>2825</v>
      </c>
      <c r="E7" s="944"/>
      <c r="F7" s="2746"/>
      <c r="G7" s="2747"/>
      <c r="H7" s="2747"/>
      <c r="I7" s="2747"/>
      <c r="J7" s="2748"/>
      <c r="K7" s="1841"/>
      <c r="L7" s="2725" t="s">
        <v>2826</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3.2321</v>
      </c>
      <c r="T7" s="1601">
        <f t="shared" ca="1" si="0"/>
        <v>2236</v>
      </c>
      <c r="U7" s="1602"/>
      <c r="V7" s="1601">
        <f t="shared" ca="1" si="1"/>
        <v>0</v>
      </c>
      <c r="W7" s="1815" t="s">
        <v>2827</v>
      </c>
      <c r="X7" s="1603" t="str">
        <f>G2</f>
        <v>十级</v>
      </c>
      <c r="Y7" s="1603" t="s">
        <v>2828</v>
      </c>
      <c r="Z7" s="1604">
        <f>G3</f>
        <v>0.14000000000000001</v>
      </c>
      <c r="AA7" s="1605"/>
      <c r="AB7" s="1605"/>
      <c r="AC7" s="1606"/>
      <c r="AD7" s="1607"/>
      <c r="AE7" s="1607"/>
      <c r="AF7" s="1607"/>
      <c r="AG7" s="1607"/>
      <c r="AH7" s="1607"/>
      <c r="AI7" s="1607"/>
      <c r="AJ7" s="1608"/>
    </row>
    <row r="8" spans="1:36" ht="26.4">
      <c r="A8" s="3267"/>
      <c r="B8" s="197" t="s">
        <v>2829</v>
      </c>
      <c r="C8" s="2749" t="s">
        <v>3082</v>
      </c>
      <c r="D8" s="919" t="s">
        <v>139</v>
      </c>
      <c r="E8" s="920" t="e">
        <f>ROUND(C11/E7,4)</f>
        <v>#DIV/0!</v>
      </c>
      <c r="F8" s="2750" t="s">
        <v>2830</v>
      </c>
      <c r="G8" s="2751"/>
      <c r="H8" s="2751"/>
      <c r="I8" s="2751"/>
      <c r="J8" s="2752"/>
      <c r="K8" s="1369"/>
      <c r="L8" s="2725" t="s">
        <v>2831</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59" t="s">
        <v>2832</v>
      </c>
      <c r="X8" s="3260"/>
      <c r="Y8" s="1609" t="s">
        <v>2833</v>
      </c>
      <c r="Z8" s="1609" t="s">
        <v>2834</v>
      </c>
      <c r="AA8" s="1609" t="s">
        <v>2835</v>
      </c>
      <c r="AB8" s="1609" t="s">
        <v>2836</v>
      </c>
      <c r="AC8" s="1609" t="s">
        <v>2837</v>
      </c>
      <c r="AD8" s="1609" t="s">
        <v>2838</v>
      </c>
      <c r="AE8" s="1609" t="s">
        <v>2839</v>
      </c>
      <c r="AF8" s="1609" t="s">
        <v>2840</v>
      </c>
      <c r="AG8" s="1609" t="s">
        <v>2841</v>
      </c>
      <c r="AH8" s="1609" t="s">
        <v>2842</v>
      </c>
      <c r="AI8" s="1609" t="s">
        <v>2843</v>
      </c>
      <c r="AJ8" s="1609" t="s">
        <v>2844</v>
      </c>
    </row>
    <row r="9" spans="1:36" ht="15">
      <c r="A9" s="3267"/>
      <c r="B9" s="197" t="s">
        <v>2845</v>
      </c>
      <c r="C9" s="921">
        <f>SUMIF(修正!C59:C119,C8,修正!E59:E119)</f>
        <v>0</v>
      </c>
      <c r="D9" s="199" t="s">
        <v>140</v>
      </c>
      <c r="E9" s="199" t="e">
        <f>ROUND(C11/E7,4)</f>
        <v>#DIV/0!</v>
      </c>
      <c r="F9" s="2750" t="s">
        <v>2846</v>
      </c>
      <c r="G9" s="2751"/>
      <c r="H9" s="2751"/>
      <c r="I9" s="2751"/>
      <c r="J9" s="2752"/>
      <c r="K9" s="1369"/>
      <c r="L9" s="2725" t="s">
        <v>2847</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61" t="s">
        <v>2848</v>
      </c>
      <c r="X9" s="1610" t="s">
        <v>2849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7"/>
      <c r="B10" s="197" t="s">
        <v>2850</v>
      </c>
      <c r="C10" s="199">
        <f>SUMIF(修正!C59:C119,C8,修正!F59:F119)</f>
        <v>0</v>
      </c>
      <c r="D10" s="199" t="s">
        <v>141</v>
      </c>
      <c r="E10" s="199" t="e">
        <f>ROUND(C11/E7,4)</f>
        <v>#DIV/0!</v>
      </c>
      <c r="F10" s="2750" t="s">
        <v>2851</v>
      </c>
      <c r="G10" s="2751"/>
      <c r="H10" s="2751"/>
      <c r="I10" s="2751"/>
      <c r="J10" s="2752"/>
      <c r="K10" s="1369"/>
      <c r="L10" s="2725" t="s">
        <v>2852</v>
      </c>
      <c r="M10" s="1080">
        <f>SUMPRODUCT((区片价!B290:B316=I2)*(区片价!C3:F3=E2)*(区片价!C290:F316))</f>
        <v>540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26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67"/>
      <c r="B11" s="2753" t="s">
        <v>2853</v>
      </c>
      <c r="C11" s="922">
        <f>C10/4</f>
        <v>0</v>
      </c>
      <c r="D11" s="922" t="s">
        <v>142</v>
      </c>
      <c r="E11" s="922" t="e">
        <f>ROUND(C11/E7,4)</f>
        <v>#DIV/0!</v>
      </c>
      <c r="F11" s="2754" t="s">
        <v>2854</v>
      </c>
      <c r="G11" s="2755"/>
      <c r="H11" s="2755"/>
      <c r="I11" s="2755"/>
      <c r="J11" s="2756"/>
      <c r="K11" s="1369"/>
      <c r="L11" s="2725" t="s">
        <v>2855</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61" t="s">
        <v>2856</v>
      </c>
      <c r="X11" s="1613" t="s">
        <v>2857</v>
      </c>
      <c r="Y11" s="1614">
        <f>$G$3</f>
        <v>0.14000000000000001</v>
      </c>
      <c r="Z11" s="1614">
        <f t="shared" ref="Z11:AJ11" si="3">$G$3</f>
        <v>0.14000000000000001</v>
      </c>
      <c r="AA11" s="1614">
        <f t="shared" si="3"/>
        <v>0.14000000000000001</v>
      </c>
      <c r="AB11" s="1614">
        <f t="shared" si="3"/>
        <v>0.14000000000000001</v>
      </c>
      <c r="AC11" s="1614">
        <f t="shared" si="3"/>
        <v>0.14000000000000001</v>
      </c>
      <c r="AD11" s="1614">
        <f t="shared" si="3"/>
        <v>0.14000000000000001</v>
      </c>
      <c r="AE11" s="1614">
        <f t="shared" si="3"/>
        <v>0.14000000000000001</v>
      </c>
      <c r="AF11" s="1614">
        <f t="shared" si="3"/>
        <v>0.14000000000000001</v>
      </c>
      <c r="AG11" s="1614">
        <f t="shared" si="3"/>
        <v>0.14000000000000001</v>
      </c>
      <c r="AH11" s="1614">
        <f t="shared" si="3"/>
        <v>0.14000000000000001</v>
      </c>
      <c r="AI11" s="1614">
        <f t="shared" si="3"/>
        <v>0.14000000000000001</v>
      </c>
      <c r="AJ11" s="1614">
        <f t="shared" si="3"/>
        <v>0.14000000000000001</v>
      </c>
    </row>
    <row r="12" spans="1:36" ht="25.8" thickBot="1">
      <c r="A12" s="3266" t="s">
        <v>2858</v>
      </c>
      <c r="B12" s="2757" t="s">
        <v>2859</v>
      </c>
      <c r="C12" s="918">
        <f>ROUND(C15*D15*E15*F15*G15*H15*I15*J15,4)</f>
        <v>1</v>
      </c>
      <c r="D12" s="2758" t="s">
        <v>2860</v>
      </c>
      <c r="E12" s="2759"/>
      <c r="F12" s="2759"/>
      <c r="G12" s="2760"/>
      <c r="H12" s="2760"/>
      <c r="I12" s="2760"/>
      <c r="J12" s="2761"/>
      <c r="K12" s="1369"/>
      <c r="L12" s="2762" t="s">
        <v>2861</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61"/>
      <c r="X12" s="1615" t="s">
        <v>2862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8"/>
      <c r="B13" s="2763" t="s">
        <v>2863</v>
      </c>
      <c r="C13" s="2764" t="s">
        <v>2864</v>
      </c>
      <c r="D13" s="1807" t="s">
        <v>2865</v>
      </c>
      <c r="E13" s="1807" t="s">
        <v>2866</v>
      </c>
      <c r="F13" s="30" t="s">
        <v>2867</v>
      </c>
      <c r="G13" s="2765" t="s">
        <v>2868</v>
      </c>
      <c r="H13" s="2765" t="s">
        <v>2868</v>
      </c>
      <c r="I13" s="2765" t="s">
        <v>2868</v>
      </c>
      <c r="J13" s="2766" t="s">
        <v>2868</v>
      </c>
      <c r="K13" s="1369"/>
      <c r="L13" s="1369"/>
      <c r="M13" s="1369"/>
      <c r="N13" s="1369"/>
      <c r="O13" s="1369"/>
      <c r="P13" s="1369"/>
      <c r="Q13" s="1369"/>
      <c r="R13" s="1601">
        <v>12</v>
      </c>
      <c r="S13" s="1602"/>
      <c r="T13" s="1601">
        <f t="shared" ca="1" si="0"/>
        <v>0</v>
      </c>
      <c r="U13" s="1602"/>
      <c r="V13" s="1601">
        <f t="shared" ca="1" si="1"/>
        <v>0</v>
      </c>
      <c r="W13" s="3261"/>
      <c r="X13" s="1615"/>
      <c r="Y13" s="1612">
        <f>(-0.163*(Y12^2)-0.59*Y12+7617)*(10^(-4))/Y11</f>
        <v>5.4407142857142858</v>
      </c>
      <c r="Z13" s="1612">
        <f t="shared" ref="Z13:AJ13" si="5">(-0.163*(Z12^2)-0.59*Z12+7617)*(10^(-4))/Z11</f>
        <v>5.4407142857142858</v>
      </c>
      <c r="AA13" s="1612">
        <f t="shared" si="5"/>
        <v>5.4407142857142858</v>
      </c>
      <c r="AB13" s="1612">
        <f t="shared" si="5"/>
        <v>5.4407142857142858</v>
      </c>
      <c r="AC13" s="1612">
        <f t="shared" si="5"/>
        <v>5.4407142857142858</v>
      </c>
      <c r="AD13" s="1612">
        <f t="shared" si="5"/>
        <v>5.4407142857142858</v>
      </c>
      <c r="AE13" s="1612">
        <f t="shared" si="5"/>
        <v>5.4407142857142858</v>
      </c>
      <c r="AF13" s="1612">
        <f t="shared" si="5"/>
        <v>5.4407142857142858</v>
      </c>
      <c r="AG13" s="1612">
        <f t="shared" si="5"/>
        <v>5.4407142857142858</v>
      </c>
      <c r="AH13" s="1612">
        <f t="shared" si="5"/>
        <v>5.4407142857142858</v>
      </c>
      <c r="AI13" s="1612">
        <f t="shared" si="5"/>
        <v>5.4407142857142858</v>
      </c>
      <c r="AJ13" s="1612">
        <f t="shared" si="5"/>
        <v>5.4407142857142858</v>
      </c>
    </row>
    <row r="14" spans="1:36" ht="15">
      <c r="A14" s="3268"/>
      <c r="B14" s="2767"/>
      <c r="C14" s="2768"/>
      <c r="D14" s="2769"/>
      <c r="E14" s="2769"/>
      <c r="F14" s="2770"/>
      <c r="G14" s="2771" t="s">
        <v>2869</v>
      </c>
      <c r="H14" s="2772"/>
      <c r="I14" s="2773"/>
      <c r="J14" s="2774"/>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69"/>
      <c r="B15" s="2775" t="s">
        <v>2870</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66" t="s">
        <v>2875</v>
      </c>
      <c r="B16" s="2744" t="s">
        <v>2876</v>
      </c>
      <c r="C16" s="2934">
        <f>ROUND(IF(F17="与级别开发程度一致",0,(G17-E17)/C17),0)</f>
        <v>30</v>
      </c>
      <c r="D16" s="3280" t="s">
        <v>2880</v>
      </c>
      <c r="E16" s="3281"/>
      <c r="F16" s="3280" t="s">
        <v>2877</v>
      </c>
      <c r="G16" s="3281"/>
      <c r="H16" s="2778" t="s">
        <v>3063</v>
      </c>
      <c r="I16" s="2778" t="s">
        <v>3064</v>
      </c>
      <c r="J16" s="2938" t="s">
        <v>3065</v>
      </c>
      <c r="K16" s="2778" t="s">
        <v>3066</v>
      </c>
      <c r="L16" s="2778" t="s">
        <v>3067</v>
      </c>
      <c r="M16" s="2778" t="s">
        <v>3068</v>
      </c>
      <c r="N16" s="2778" t="s">
        <v>3087</v>
      </c>
      <c r="O16" s="2779"/>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70"/>
      <c r="B17" s="2945" t="s">
        <v>2879</v>
      </c>
      <c r="C17" s="2946">
        <f>SUMPRODUCT((修正!A2:A5=E2)*(修正!B1:M1=G2)*(修正!B2:M5))</f>
        <v>1</v>
      </c>
      <c r="D17" s="228" t="str">
        <f>IF(OR(G2="八级",G2="九级",G2="十级",G2="十一级",G2="十二级"),"五通一平","七通一平")</f>
        <v>五通一平</v>
      </c>
      <c r="E17" s="2935">
        <f>SUMPRODUCT((修正!B1:M1=G2)*(修正!B15:M15))</f>
        <v>155</v>
      </c>
      <c r="F17" s="2936" t="s">
        <v>3086</v>
      </c>
      <c r="G17" s="2937">
        <f>SUM(H17:O17)</f>
        <v>185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30</v>
      </c>
      <c r="N17" s="2946">
        <f>SUMPRODUCT((七通一平=N16)*(修正!B1:M1=G2)*(修正!B6:M14))</f>
        <v>10</v>
      </c>
      <c r="O17" s="2948">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 thickBot="1">
      <c r="A18" s="2939" t="s">
        <v>808</v>
      </c>
      <c r="B18" s="2940" t="s">
        <v>2882</v>
      </c>
      <c r="C18" s="2941">
        <f>SUMIF(修正!C18:C39,E3,修正!E18:E39)</f>
        <v>1</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9.4" thickBot="1">
      <c r="A19" s="2783" t="s">
        <v>809</v>
      </c>
      <c r="B19" s="2784" t="s">
        <v>2883</v>
      </c>
      <c r="C19" s="2965">
        <f>ROUND(IF(H19="按公示增长率计算",SUMPRODUCT((地价!A3:A26=YEAR(G19)&amp;"-"&amp;ROUNDUP(MONTH(G19)/3,0))*(地价!X2:AB2=E2)*(地价!X3:AB26)),IF(H19="地价指数",M20/M19,(1+I19)^O19)),4)</f>
        <v>1.3474999999999999</v>
      </c>
      <c r="D19" s="2788" t="s">
        <v>2884</v>
      </c>
      <c r="E19" s="924">
        <v>41640</v>
      </c>
      <c r="F19" s="2788" t="s">
        <v>2885</v>
      </c>
      <c r="G19" s="925">
        <f>'数据-取费表'!B2</f>
        <v>43942</v>
      </c>
      <c r="H19" s="2789" t="s">
        <v>3097</v>
      </c>
      <c r="I19" s="926">
        <f>IF(H19="季度增幅（自定义）",SUMIF(N21:N24,E2,O21:O24),"")</f>
        <v>1.2E-2</v>
      </c>
      <c r="J19" s="2786"/>
      <c r="K19" s="1376"/>
      <c r="L19" s="2790" t="s">
        <v>2886</v>
      </c>
      <c r="M19" s="1733">
        <f>ROUND(SUMIF(地价!B2:F2,E2,地价!B26:F26),0)</f>
        <v>230</v>
      </c>
      <c r="N19" s="2791" t="s">
        <v>2887</v>
      </c>
      <c r="O19" s="927">
        <f>ROUNDDOWN(DATEDIF(E19,G19,"M")/3,0)</f>
        <v>25</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9.4" thickBot="1">
      <c r="A20" s="2795" t="s">
        <v>810</v>
      </c>
      <c r="B20" s="2796" t="s">
        <v>2888</v>
      </c>
      <c r="C20" s="928">
        <f ca="1">ROUND(POWER(1+G20,J20-I20)*(POWER(1+G20,I20)-1)/(POWER(1+G20,J20)-1),4)</f>
        <v>0.90059999999999996</v>
      </c>
      <c r="D20" s="2797" t="s">
        <v>2889</v>
      </c>
      <c r="E20" s="1767">
        <f ca="1">存贷款利率!D4/100</f>
        <v>4.3499999999999997E-2</v>
      </c>
      <c r="F20" s="2797" t="s">
        <v>2881</v>
      </c>
      <c r="G20" s="933">
        <f ca="1">SUMIF(M26:P26,E2,M28:P28)</f>
        <v>4.8000000000000001E-2</v>
      </c>
      <c r="H20" s="2797" t="s">
        <v>2890</v>
      </c>
      <c r="I20" s="934">
        <f>SUMIF('数据-取费表'!C6:C15,E2,'数据-取费表'!F6:F15)/COUNTIF('数据-取费表'!C6:C15,E2)</f>
        <v>35.9</v>
      </c>
      <c r="J20" s="935">
        <f>IF(E2="住宅",70,IF(E2="商业",40,50))</f>
        <v>50</v>
      </c>
      <c r="K20" s="1376"/>
      <c r="L20" s="2798" t="s">
        <v>2891</v>
      </c>
      <c r="M20" s="1734">
        <f>ROUND(SUMPRODUCT((地价!A4:A26=YEAR(G19)&amp;"-"&amp;ROUNDUP(MONTH(G19)/3,0))*(地价!B2:F2=E2)*(地价!B4:F26)),0)</f>
        <v>0</v>
      </c>
      <c r="N20" s="2799" t="s">
        <v>2892</v>
      </c>
      <c r="O20" s="2800" t="s">
        <v>2893</v>
      </c>
      <c r="P20" s="2801" t="s">
        <v>2894</v>
      </c>
      <c r="R20" s="1375"/>
      <c r="S20" s="1375"/>
      <c r="T20" s="1370"/>
      <c r="U20" s="1370"/>
      <c r="V20" s="1370"/>
      <c r="W20" s="1369"/>
      <c r="X20" s="1369"/>
      <c r="Y20" s="1369"/>
      <c r="Z20" s="1376"/>
      <c r="AA20" s="1377"/>
      <c r="AB20" s="1377"/>
      <c r="AC20" s="1377"/>
      <c r="AD20" s="1377"/>
      <c r="AE20" s="1377"/>
      <c r="AF20" s="1377"/>
    </row>
    <row r="21" spans="1:37" s="2737" customFormat="1" ht="14.4">
      <c r="A21" s="2802" t="s">
        <v>811</v>
      </c>
      <c r="B21" s="2803" t="s">
        <v>3088</v>
      </c>
      <c r="C21" s="936">
        <f>IF(B21="容积率修正",IF(G3&lt;=10,D22,J22),C23)</f>
        <v>8</v>
      </c>
      <c r="D21" s="2804"/>
      <c r="E21" s="2804"/>
      <c r="F21" s="2804"/>
      <c r="G21" s="2804"/>
      <c r="H21" s="2804"/>
      <c r="I21" s="2804"/>
      <c r="J21" s="2805"/>
      <c r="K21" s="1376"/>
      <c r="N21" s="2806" t="s">
        <v>2895</v>
      </c>
      <c r="O21" s="1560"/>
      <c r="P21" s="1561">
        <f>SUMPRODUCT((地价!A3:A26=YEAR(G19)&amp;"-"&amp;ROUNDUP(MONTH(G19)/3,0))*(地价!AD2:AH2=N21)*(地价!AD3:AH26))</f>
        <v>0</v>
      </c>
      <c r="R21" s="1375"/>
      <c r="S21" s="1375"/>
      <c r="T21" s="1370"/>
      <c r="U21" s="1370"/>
      <c r="V21" s="1370"/>
      <c r="W21" s="1369"/>
      <c r="X21" s="1369"/>
      <c r="Y21" s="1369"/>
      <c r="Z21" s="1376"/>
      <c r="AA21" s="1377"/>
      <c r="AB21" s="1377"/>
      <c r="AC21" s="1377"/>
      <c r="AD21" s="1377"/>
      <c r="AE21" s="1377"/>
      <c r="AF21" s="1377"/>
    </row>
    <row r="22" spans="1:37" s="2737" customFormat="1" ht="14.4">
      <c r="A22" s="2663" t="s">
        <v>2896</v>
      </c>
      <c r="B22" s="2807" t="s">
        <v>2897</v>
      </c>
      <c r="C22" s="1809" t="s">
        <v>2898</v>
      </c>
      <c r="D22" s="1809">
        <f>IF(E22=G22,F22,IF(G3&lt;=10,ROUND(F22+(H22-F22)*(G3-E22)/(G22-E22),4),"——"))</f>
        <v>8</v>
      </c>
      <c r="E22" s="915">
        <f>ROUNDDOWN(G3,1)</f>
        <v>0.1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5">
        <f>ROUNDUP(G3,1)</f>
        <v>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09" t="s">
        <v>155</v>
      </c>
      <c r="J22" s="937" t="str">
        <f>IF(G3&gt;10,D113,"——")</f>
        <v>——</v>
      </c>
      <c r="K22" s="1376"/>
      <c r="N22" s="2806" t="s">
        <v>2899</v>
      </c>
      <c r="O22" s="1560"/>
      <c r="P22" s="1561">
        <f>SUMPRODUCT((地价!A3:A26=YEAR(G19)&amp;"-"&amp;ROUNDUP(MONTH(G19)/3,0))*(地价!AD2:AH2=N22)*(地价!AD3:AH26))</f>
        <v>0</v>
      </c>
      <c r="R22" s="1375"/>
      <c r="S22" s="1375"/>
      <c r="T22" s="1370"/>
      <c r="U22" s="1370"/>
      <c r="V22" s="1370"/>
      <c r="W22" s="1369"/>
      <c r="X22" s="1369"/>
      <c r="Y22" s="1369"/>
      <c r="Z22" s="1376"/>
      <c r="AA22" s="1377"/>
      <c r="AB22" s="1377"/>
      <c r="AC22" s="1377"/>
      <c r="AD22" s="1377"/>
      <c r="AE22" s="1377"/>
      <c r="AF22" s="1377"/>
    </row>
    <row r="23" spans="1:37" ht="29.4" thickBot="1">
      <c r="A23" s="2663" t="s">
        <v>2900</v>
      </c>
      <c r="B23" s="2808" t="s">
        <v>2901</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2902</v>
      </c>
      <c r="O23" s="1560"/>
      <c r="P23" s="1561">
        <f>SUMPRODUCT((地价!A3:A26=YEAR(G19)&amp;"-"&amp;ROUNDUP(MONTH(G19)/3,0))*(地价!AD2:AH2=N23)*(地价!AD3:AH26))</f>
        <v>0</v>
      </c>
      <c r="R23" s="1375"/>
      <c r="S23" s="1375"/>
      <c r="T23" s="1370"/>
      <c r="U23" s="1370"/>
      <c r="V23" s="1370"/>
      <c r="W23" s="1369"/>
      <c r="X23" s="1369"/>
      <c r="Y23" s="1369"/>
      <c r="Z23" s="1376"/>
      <c r="AA23" s="1377"/>
      <c r="AB23" s="1377"/>
      <c r="AC23" s="1377"/>
      <c r="AD23" s="1377"/>
      <c r="AK23" s="2787"/>
    </row>
    <row r="24" spans="1:37" s="2737" customFormat="1" ht="15" thickBot="1">
      <c r="A24" s="2795" t="s">
        <v>812</v>
      </c>
      <c r="B24" s="2784" t="s">
        <v>2903</v>
      </c>
      <c r="C24" s="923">
        <f>SUMIF(A45:A88,E2,B45:B88)</f>
        <v>0.99990000000000001</v>
      </c>
      <c r="D24" s="2785"/>
      <c r="E24" s="2814"/>
      <c r="F24" s="2814"/>
      <c r="G24" s="2814"/>
      <c r="H24" s="2814"/>
      <c r="I24" s="2814"/>
      <c r="J24" s="2815"/>
      <c r="K24" s="1376"/>
      <c r="N24" s="2816" t="s">
        <v>2904</v>
      </c>
      <c r="O24" s="1562">
        <v>1.2E-2</v>
      </c>
      <c r="P24" s="1563">
        <f>SUMPRODUCT((地价!A3:A26=YEAR(G19)&amp;"-"&amp;ROUNDUP(MONTH(G19)/3,0))*(地价!AD2:AH2=N24)*(地价!AD3:AH26))</f>
        <v>0</v>
      </c>
      <c r="R24" s="1375"/>
      <c r="S24" s="1375"/>
      <c r="T24" s="1370"/>
      <c r="U24" s="1370"/>
      <c r="V24" s="1370"/>
      <c r="W24" s="1369"/>
      <c r="X24" s="1369"/>
      <c r="Y24" s="1369"/>
      <c r="Z24" s="1376"/>
      <c r="AA24" s="1377"/>
      <c r="AB24" s="1377"/>
      <c r="AC24" s="1377"/>
      <c r="AD24" s="1377"/>
      <c r="AE24" s="1377"/>
      <c r="AF24" s="1377"/>
    </row>
    <row r="25" spans="1:37" ht="15" thickBot="1">
      <c r="A25" s="2795" t="s">
        <v>813</v>
      </c>
      <c r="B25" s="2817" t="s">
        <v>2905</v>
      </c>
      <c r="C25" s="929"/>
      <c r="D25" s="2747"/>
      <c r="E25" s="2747"/>
      <c r="F25" s="2818"/>
      <c r="G25" s="2747"/>
      <c r="H25" s="2747"/>
      <c r="I25" s="2747"/>
      <c r="J25" s="2748"/>
      <c r="K25" s="1369"/>
      <c r="N25" s="2819" t="s">
        <v>2906</v>
      </c>
      <c r="O25" s="1564"/>
      <c r="P25" s="1563">
        <f>SUMPRODUCT((地价!A3:A26=YEAR(G19)&amp;"-"&amp;ROUNDUP(MONTH(G19)/3,0))*(地价!AD2:AH2=N25)*(地价!AD3:AH26))</f>
        <v>0</v>
      </c>
      <c r="R25" s="1375"/>
      <c r="S25" s="1375"/>
      <c r="T25" s="1370"/>
      <c r="U25" s="1370"/>
      <c r="V25" s="1370"/>
      <c r="W25" s="1369"/>
      <c r="X25" s="1369"/>
      <c r="Y25" s="1369"/>
      <c r="Z25" s="1376"/>
      <c r="AA25" s="1377"/>
      <c r="AB25" s="1377"/>
      <c r="AC25" s="1377"/>
      <c r="AD25" s="1377"/>
    </row>
    <row r="26" spans="1:37" ht="14.4">
      <c r="A26" s="2820"/>
      <c r="B26" s="2807" t="s">
        <v>2907</v>
      </c>
      <c r="C26" s="205">
        <f ca="1">E29+SUM(E33:E39)</f>
        <v>612</v>
      </c>
      <c r="D26" s="2821"/>
      <c r="E26" s="2772"/>
      <c r="F26" s="2822"/>
      <c r="G26" s="2772"/>
      <c r="H26" s="2772"/>
      <c r="I26" s="2772"/>
      <c r="J26" s="2823"/>
      <c r="K26" s="1369"/>
      <c r="L26" s="2776" t="s">
        <v>2807</v>
      </c>
      <c r="M26" s="919" t="s">
        <v>2871</v>
      </c>
      <c r="N26" s="919" t="s">
        <v>2872</v>
      </c>
      <c r="O26" s="919" t="s">
        <v>2873</v>
      </c>
      <c r="P26" s="2777" t="s">
        <v>2874</v>
      </c>
      <c r="R26" s="1375"/>
      <c r="S26" s="1375"/>
      <c r="T26" s="1370"/>
      <c r="U26" s="1370"/>
      <c r="V26" s="1370"/>
      <c r="W26" s="1369"/>
      <c r="X26" s="1369"/>
      <c r="Y26" s="1369"/>
      <c r="Z26" s="1376"/>
      <c r="AA26" s="1377"/>
      <c r="AB26" s="1377"/>
      <c r="AC26" s="1377"/>
      <c r="AD26" s="1377"/>
    </row>
    <row r="27" spans="1:37" ht="15" thickBot="1">
      <c r="A27" s="2820"/>
      <c r="B27" s="2824" t="s">
        <v>2908</v>
      </c>
      <c r="C27" s="930">
        <f ca="1">E30+SUM(I33:I39)</f>
        <v>0</v>
      </c>
      <c r="D27" s="2825"/>
      <c r="E27" s="2826"/>
      <c r="F27" s="2827"/>
      <c r="G27" s="2826"/>
      <c r="H27" s="2826"/>
      <c r="I27" s="2826"/>
      <c r="J27" s="2828"/>
      <c r="K27" s="1369"/>
      <c r="L27" s="2780" t="s">
        <v>2878</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9"/>
      <c r="B28" s="2830" t="s">
        <v>2909</v>
      </c>
      <c r="C28" s="2831" t="s">
        <v>2910</v>
      </c>
      <c r="D28" s="2831" t="s">
        <v>2911</v>
      </c>
      <c r="E28" s="2832" t="s">
        <v>2912</v>
      </c>
      <c r="F28" s="2833"/>
      <c r="G28" s="2760"/>
      <c r="H28" s="2760"/>
      <c r="I28" s="2760"/>
      <c r="J28" s="2761"/>
      <c r="K28" s="1369"/>
      <c r="L28" s="2781" t="s">
        <v>2881</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2913</v>
      </c>
      <c r="C29" s="205">
        <f ca="1">ROUND(C5*C18*C19*C20*C21*C24,0)</f>
        <v>5533</v>
      </c>
      <c r="D29" s="2836">
        <v>1106.44</v>
      </c>
      <c r="E29" s="941">
        <f ca="1">ROUND(C29*D29/10000,0)</f>
        <v>612</v>
      </c>
      <c r="F29" s="2837" t="s">
        <v>2914</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8" thickBot="1">
      <c r="A30" s="2840"/>
      <c r="B30" s="2841" t="s">
        <v>2915</v>
      </c>
      <c r="C30" s="228">
        <f ca="1">ROUND(IF(E2="工业",C29*M39,C29*M38),0)</f>
        <v>830</v>
      </c>
      <c r="D30" s="2842"/>
      <c r="E30" s="941">
        <f ca="1">ROUND(C30*D30/10000,0)</f>
        <v>0</v>
      </c>
      <c r="F30" s="2843" t="s">
        <v>2916</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3.8">
      <c r="A31" s="2846"/>
      <c r="B31" s="2847" t="s">
        <v>2917</v>
      </c>
      <c r="C31" s="2848" t="s">
        <v>2918</v>
      </c>
      <c r="D31" s="2760"/>
      <c r="E31" s="2848"/>
      <c r="F31" s="2848"/>
      <c r="G31" s="2758" t="s">
        <v>2919</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36">
      <c r="A32" s="2834"/>
      <c r="B32" s="2850"/>
      <c r="C32" s="500" t="s">
        <v>2910</v>
      </c>
      <c r="D32" s="497" t="s">
        <v>2911</v>
      </c>
      <c r="E32" s="497" t="s">
        <v>2912</v>
      </c>
      <c r="F32" s="387" t="s">
        <v>2920</v>
      </c>
      <c r="G32" s="2851" t="s">
        <v>2910</v>
      </c>
      <c r="H32" s="2851" t="s">
        <v>2911</v>
      </c>
      <c r="I32" s="2851" t="s">
        <v>2912</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277" t="s">
        <v>2921</v>
      </c>
      <c r="B33" s="2852" t="s">
        <v>2922</v>
      </c>
      <c r="C33" s="205">
        <f ca="1">ROUND(D5*C19*C20*C24*F33,0)</f>
        <v>415</v>
      </c>
      <c r="D33" s="2836"/>
      <c r="E33" s="199">
        <f ca="1">ROUND(C33*D33/10000,0)</f>
        <v>0</v>
      </c>
      <c r="F33" s="199">
        <f>SUMIF(修正!A45:A56,G2,修正!B45:B56)</f>
        <v>0.6</v>
      </c>
      <c r="G33" s="199">
        <f t="shared" ref="G33" ca="1" si="6">ROUND(IF(E2="工业",C33*$M$39,C33*$M$38),0)</f>
        <v>62</v>
      </c>
      <c r="H33" s="199">
        <f>D33</f>
        <v>0</v>
      </c>
      <c r="I33" s="199">
        <f ca="1">ROUND(G33*H33/10000,0)</f>
        <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78"/>
      <c r="B34" s="2764" t="s">
        <v>2923</v>
      </c>
      <c r="C34" s="205">
        <f ca="1">ROUND(D5*C19*C20*C24*F34,0)</f>
        <v>207</v>
      </c>
      <c r="D34" s="2836"/>
      <c r="E34" s="199">
        <f t="shared" ref="E34:E39" ca="1" si="7">ROUND(C34*D34/10000,0)</f>
        <v>0</v>
      </c>
      <c r="F34" s="199">
        <f>SUMIF(修正!A45:A56,G2,修正!C45:C56)</f>
        <v>0.3</v>
      </c>
      <c r="G34" s="199">
        <f ca="1">ROUND(IF(E2="工业",C34*$M$39,C34*$M$38),0)</f>
        <v>31</v>
      </c>
      <c r="H34" s="199">
        <f t="shared" ref="H34:H39" si="8">D34</f>
        <v>0</v>
      </c>
      <c r="I34" s="199">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8"/>
      <c r="B35" s="2764" t="s">
        <v>2924</v>
      </c>
      <c r="C35" s="205">
        <f ca="1">ROUND(D5*C19*C20*C24*F35,0)</f>
        <v>138</v>
      </c>
      <c r="D35" s="2836"/>
      <c r="E35" s="199">
        <f t="shared" ca="1" si="7"/>
        <v>0</v>
      </c>
      <c r="F35" s="199">
        <f>SUMIF(修正!A45:A56,G2,修正!D45:D56)</f>
        <v>0.2</v>
      </c>
      <c r="G35" s="199">
        <f ca="1">ROUND(IF(E2="工业",C35*$M$39,C35*$M$38),0)</f>
        <v>21</v>
      </c>
      <c r="H35" s="199">
        <f t="shared" si="8"/>
        <v>0</v>
      </c>
      <c r="I35" s="199">
        <f t="shared" ca="1" si="9"/>
        <v>0</v>
      </c>
      <c r="J35" s="2853"/>
      <c r="K35" s="1369"/>
      <c r="L35" s="1369"/>
      <c r="M35" s="1369"/>
      <c r="N35" s="1369"/>
      <c r="O35" s="1369"/>
      <c r="P35" s="1369"/>
      <c r="Q35" s="1369"/>
      <c r="R35" s="1369"/>
      <c r="S35" s="1369"/>
      <c r="T35" s="1369"/>
      <c r="U35" s="1369"/>
      <c r="V35" s="1369"/>
      <c r="W35" s="1369"/>
      <c r="X35" s="1369"/>
      <c r="Y35" s="1369"/>
      <c r="Z35" s="1370"/>
    </row>
    <row r="36" spans="1:37" ht="13.8" thickBot="1">
      <c r="A36" s="3279"/>
      <c r="B36" s="2764" t="s">
        <v>2925</v>
      </c>
      <c r="C36" s="205">
        <f ca="1">ROUND(D5*C19*C20*C24*F36,0)</f>
        <v>138</v>
      </c>
      <c r="D36" s="2836"/>
      <c r="E36" s="199">
        <f t="shared" ca="1" si="7"/>
        <v>0</v>
      </c>
      <c r="F36" s="199">
        <f>SUMIF(修正!A45:A56,G2,修正!E45:E56)</f>
        <v>0.2</v>
      </c>
      <c r="G36" s="199">
        <f ca="1">ROUND(IF(E2="工业",C36*$M$39,C36*$M$38),0)</f>
        <v>21</v>
      </c>
      <c r="H36" s="199">
        <f t="shared" si="8"/>
        <v>0</v>
      </c>
      <c r="I36" s="199">
        <f t="shared" ca="1" si="9"/>
        <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2926</v>
      </c>
      <c r="C37" s="199">
        <f ca="1">ROUND(D5*C19*C20*C24*F37,0)</f>
        <v>138</v>
      </c>
      <c r="D37" s="2836"/>
      <c r="E37" s="199">
        <f t="shared" ca="1" si="7"/>
        <v>0</v>
      </c>
      <c r="F37" s="205">
        <f>SUMIF(修正!A45:A56,G2,修正!F45:F56)</f>
        <v>0.2</v>
      </c>
      <c r="G37" s="199">
        <f ca="1">ROUND(IF(E2="工业",C37*$M$39,C37*$M$38),0)</f>
        <v>21</v>
      </c>
      <c r="H37" s="199">
        <f t="shared" si="8"/>
        <v>0</v>
      </c>
      <c r="I37" s="199">
        <f t="shared" ca="1" si="9"/>
        <v>0</v>
      </c>
      <c r="J37" s="2853"/>
      <c r="K37" s="1369"/>
      <c r="L37" s="2855" t="s">
        <v>2927</v>
      </c>
      <c r="M37" s="2856"/>
      <c r="N37" s="1369"/>
      <c r="O37" s="1369"/>
      <c r="P37" s="1369"/>
      <c r="Q37" s="1369"/>
      <c r="R37" s="1369"/>
      <c r="S37" s="1369"/>
      <c r="T37" s="1369"/>
      <c r="U37" s="1369"/>
      <c r="V37" s="1369"/>
      <c r="W37" s="1369"/>
      <c r="X37" s="1369"/>
      <c r="Y37" s="1369"/>
      <c r="Z37" s="1370"/>
    </row>
    <row r="38" spans="1:37">
      <c r="A38" s="2854"/>
      <c r="B38" s="2764" t="s">
        <v>2928</v>
      </c>
      <c r="C38" s="199">
        <f ca="1">ROUND(D5*C19*C41*C24*F38,0)</f>
        <v>0</v>
      </c>
      <c r="D38" s="2836"/>
      <c r="E38" s="199">
        <f t="shared" ca="1" si="7"/>
        <v>0</v>
      </c>
      <c r="F38" s="205">
        <f>SUMIF(修正!A45:A56,G2,修正!G45:G56)</f>
        <v>0.2</v>
      </c>
      <c r="G38" s="199">
        <f ca="1">ROUND(IF(E2="工业",C38*$M$39,C38*$M$38),0)</f>
        <v>0</v>
      </c>
      <c r="H38" s="199">
        <f t="shared" si="8"/>
        <v>0</v>
      </c>
      <c r="I38" s="199">
        <f t="shared" ca="1" si="9"/>
        <v>0</v>
      </c>
      <c r="J38" s="2853"/>
      <c r="K38" s="1369"/>
      <c r="L38" s="1886" t="s">
        <v>2929</v>
      </c>
      <c r="M38" s="2857">
        <v>0.25</v>
      </c>
      <c r="N38" s="1369"/>
      <c r="O38" s="1369"/>
      <c r="P38" s="1369"/>
      <c r="Q38" s="1369"/>
      <c r="R38" s="1369"/>
      <c r="S38" s="1369"/>
      <c r="T38" s="1369"/>
      <c r="U38" s="1369"/>
      <c r="V38" s="1369"/>
      <c r="W38" s="1369"/>
      <c r="X38" s="1369"/>
      <c r="Y38" s="1369"/>
      <c r="Z38" s="1370"/>
    </row>
    <row r="39" spans="1:37" ht="13.8" thickBot="1">
      <c r="A39" s="2840"/>
      <c r="B39" s="2858" t="s">
        <v>2930</v>
      </c>
      <c r="C39" s="228">
        <f ca="1">ROUND(D5*C19*C41*C24*F39,0)</f>
        <v>0</v>
      </c>
      <c r="D39" s="2842"/>
      <c r="E39" s="228">
        <f t="shared" ca="1" si="7"/>
        <v>0</v>
      </c>
      <c r="F39" s="931">
        <f>SUMIF(修正!A45:A56,G2,修正!H45:H56)</f>
        <v>0.15</v>
      </c>
      <c r="G39" s="228">
        <f ca="1">ROUND(IF(E2="工业",C39*$M$39,C39*$M$38),0)</f>
        <v>0</v>
      </c>
      <c r="H39" s="228">
        <f t="shared" si="8"/>
        <v>0</v>
      </c>
      <c r="I39" s="228">
        <f t="shared" ca="1" si="9"/>
        <v>0</v>
      </c>
      <c r="J39" s="2859"/>
      <c r="K39" s="1369"/>
      <c r="L39" s="2860" t="s">
        <v>2874</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9" t="s">
        <v>3041</v>
      </c>
      <c r="C41" s="387">
        <f ca="1">ROUND(POWER(1+E41,H41-G41)*(POWER(1+E41,G41)-1)/(POWER(1+E41,H41)-1),4)</f>
        <v>0</v>
      </c>
      <c r="D41" s="199" t="s">
        <v>2881</v>
      </c>
      <c r="E41" s="2928">
        <f ca="1">G20</f>
        <v>4.8000000000000001E-2</v>
      </c>
      <c r="F41" s="199" t="s">
        <v>2890</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 thickBot="1">
      <c r="A45" s="2863" t="s">
        <v>2931</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thickBot="1">
      <c r="A46" s="2865" t="s">
        <v>2932</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5.2" hidden="1">
      <c r="A47" s="2869" t="s">
        <v>2933</v>
      </c>
      <c r="B47" s="1808" t="s">
        <v>2934</v>
      </c>
      <c r="C47" s="1808" t="s">
        <v>2935</v>
      </c>
      <c r="D47" s="1808" t="s">
        <v>2936</v>
      </c>
      <c r="E47" s="818" t="s">
        <v>2937</v>
      </c>
      <c r="F47" s="2870" t="s">
        <v>2938</v>
      </c>
      <c r="G47" s="1808" t="s">
        <v>754</v>
      </c>
      <c r="H47" s="2871" t="s">
        <v>2939</v>
      </c>
      <c r="I47" s="1808" t="s">
        <v>2940</v>
      </c>
      <c r="J47" s="602" t="s">
        <v>2590</v>
      </c>
      <c r="K47" s="602" t="s">
        <v>2591</v>
      </c>
      <c r="L47" s="602" t="s">
        <v>2592</v>
      </c>
      <c r="M47" s="602" t="s">
        <v>2593</v>
      </c>
      <c r="N47" s="602" t="s">
        <v>2594</v>
      </c>
      <c r="AA47" s="1370"/>
      <c r="AB47" s="1370"/>
      <c r="AC47" s="1370"/>
      <c r="AD47" s="1370"/>
      <c r="AE47" s="1370"/>
      <c r="AF47" s="1370"/>
      <c r="AG47" s="1370"/>
      <c r="AH47" s="1370"/>
      <c r="AI47" s="1370"/>
      <c r="AJ47" s="1370"/>
      <c r="AK47" s="1370"/>
    </row>
    <row r="48" spans="1:37" s="1369" customFormat="1" ht="52.8" hidden="1">
      <c r="A48" s="2869" t="s">
        <v>2941</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hidden="1">
      <c r="A49" s="2869" t="s">
        <v>2942</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9" t="s">
        <v>2943</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hidden="1">
      <c r="A51" s="2869" t="s">
        <v>2944</v>
      </c>
      <c r="B51" s="2874" t="s">
        <v>2945</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9" t="s">
        <v>2946</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hidden="1">
      <c r="A53" s="2869" t="s">
        <v>2947</v>
      </c>
      <c r="B53" s="2875" t="s">
        <v>2948</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hidden="1">
      <c r="A54" s="2876" t="s">
        <v>2949</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hidden="1">
      <c r="A55" s="2876" t="s">
        <v>2950</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hidden="1" thickBot="1">
      <c r="A56" s="2877" t="s">
        <v>2951</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thickBot="1">
      <c r="A57" s="2865" t="s">
        <v>2952</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hidden="1">
      <c r="A58" s="2869" t="s">
        <v>2933</v>
      </c>
      <c r="B58" s="1808"/>
      <c r="C58" s="1808" t="s">
        <v>2935</v>
      </c>
      <c r="D58" s="1808" t="s">
        <v>2936</v>
      </c>
      <c r="E58" s="818" t="s">
        <v>2937</v>
      </c>
      <c r="F58" s="2870" t="s">
        <v>2953</v>
      </c>
      <c r="G58" s="1808" t="s">
        <v>754</v>
      </c>
      <c r="H58" s="2871" t="s">
        <v>2939</v>
      </c>
      <c r="I58" s="1808" t="s">
        <v>2940</v>
      </c>
      <c r="J58" s="602" t="s">
        <v>2590</v>
      </c>
      <c r="K58" s="602" t="s">
        <v>2591</v>
      </c>
      <c r="L58" s="602" t="s">
        <v>2592</v>
      </c>
      <c r="M58" s="602" t="s">
        <v>2593</v>
      </c>
      <c r="N58" s="602" t="s">
        <v>2594</v>
      </c>
      <c r="AA58" s="1370"/>
      <c r="AB58" s="1370"/>
      <c r="AC58" s="1370"/>
      <c r="AD58" s="1370"/>
      <c r="AE58" s="1370"/>
      <c r="AF58" s="1370"/>
      <c r="AG58" s="1370"/>
      <c r="AH58" s="1370"/>
      <c r="AI58" s="1370"/>
      <c r="AJ58" s="1370"/>
      <c r="AK58" s="1370"/>
    </row>
    <row r="59" spans="1:37" s="1369" customFormat="1" ht="52.8" hidden="1">
      <c r="A59" s="2869" t="s">
        <v>2954</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hidden="1">
      <c r="A60" s="2869" t="s">
        <v>2942</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9" t="s">
        <v>2943</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hidden="1">
      <c r="A62" s="2869" t="s">
        <v>2944</v>
      </c>
      <c r="B62" s="2874" t="s">
        <v>2945</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9" t="s">
        <v>2946</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hidden="1">
      <c r="A64" s="2869" t="s">
        <v>2947</v>
      </c>
      <c r="B64" s="2875" t="s">
        <v>2948</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hidden="1">
      <c r="A65" s="2869" t="s">
        <v>2949</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hidden="1">
      <c r="A66" s="2869" t="s">
        <v>2950</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hidden="1" thickBot="1">
      <c r="A67" s="2877" t="s">
        <v>2951</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thickBot="1">
      <c r="A68" s="2865" t="s">
        <v>2955</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hidden="1">
      <c r="A69" s="2869" t="s">
        <v>2933</v>
      </c>
      <c r="B69" s="1808"/>
      <c r="C69" s="1808" t="s">
        <v>2935</v>
      </c>
      <c r="D69" s="1808" t="s">
        <v>2936</v>
      </c>
      <c r="E69" s="818" t="s">
        <v>2937</v>
      </c>
      <c r="F69" s="2870" t="s">
        <v>2953</v>
      </c>
      <c r="G69" s="1808" t="s">
        <v>754</v>
      </c>
      <c r="H69" s="2871" t="s">
        <v>2939</v>
      </c>
      <c r="I69" s="1808" t="s">
        <v>2940</v>
      </c>
      <c r="J69" s="602" t="s">
        <v>2590</v>
      </c>
      <c r="K69" s="602" t="s">
        <v>2591</v>
      </c>
      <c r="L69" s="602" t="s">
        <v>2592</v>
      </c>
      <c r="M69" s="602" t="s">
        <v>2593</v>
      </c>
      <c r="N69" s="602" t="s">
        <v>2594</v>
      </c>
      <c r="AA69" s="1370"/>
      <c r="AB69" s="1370"/>
      <c r="AC69" s="1370"/>
      <c r="AD69" s="1370"/>
      <c r="AE69" s="1370"/>
      <c r="AF69" s="1370"/>
      <c r="AG69" s="1370"/>
      <c r="AH69" s="1370"/>
      <c r="AI69" s="1370"/>
      <c r="AJ69" s="1370"/>
      <c r="AK69" s="1370"/>
    </row>
    <row r="70" spans="1:37" s="1369" customFormat="1" ht="66" hidden="1">
      <c r="A70" s="2869" t="s">
        <v>2956</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hidden="1">
      <c r="A71" s="2869" t="s">
        <v>2942</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9" t="s">
        <v>2943</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hidden="1">
      <c r="A73" s="2869" t="s">
        <v>2957</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hidden="1">
      <c r="A74" s="2869" t="s">
        <v>2949</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hidden="1">
      <c r="A75" s="2869" t="s">
        <v>2950</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36" hidden="1">
      <c r="A76" s="2869" t="s">
        <v>2947</v>
      </c>
      <c r="B76" s="2875" t="s">
        <v>2948</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9.6" hidden="1">
      <c r="A77" s="2869" t="s">
        <v>2951</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36.6" hidden="1" thickBot="1">
      <c r="A78" s="2877" t="s">
        <v>2958</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4.4">
      <c r="A79" s="2865" t="s">
        <v>2959</v>
      </c>
      <c r="B79" s="2866">
        <f>1+E81</f>
        <v>0.99990000000000001</v>
      </c>
      <c r="C79" s="813"/>
      <c r="D79" s="813"/>
      <c r="E79" s="814"/>
      <c r="F79" s="2868"/>
      <c r="G79" s="6"/>
      <c r="H79" s="6"/>
      <c r="I79" s="6"/>
      <c r="J79" s="7"/>
      <c r="K79" s="7"/>
      <c r="L79" s="7"/>
      <c r="M79" s="7"/>
      <c r="N79" s="7"/>
      <c r="Z79" s="2719"/>
      <c r="AA79" s="2787"/>
      <c r="AG79" s="1371"/>
      <c r="AK79" s="2787"/>
    </row>
    <row r="80" spans="1:37" ht="25.2">
      <c r="A80" s="2869" t="s">
        <v>2933</v>
      </c>
      <c r="B80" s="1808"/>
      <c r="C80" s="1808" t="s">
        <v>2935</v>
      </c>
      <c r="D80" s="1808" t="s">
        <v>2936</v>
      </c>
      <c r="E80" s="818" t="s">
        <v>2937</v>
      </c>
      <c r="F80" s="2870" t="s">
        <v>2953</v>
      </c>
      <c r="G80" s="1808" t="s">
        <v>754</v>
      </c>
      <c r="H80" s="2871" t="s">
        <v>2939</v>
      </c>
      <c r="I80" s="1808" t="s">
        <v>2940</v>
      </c>
      <c r="J80" s="602" t="s">
        <v>2590</v>
      </c>
      <c r="K80" s="602" t="s">
        <v>2591</v>
      </c>
      <c r="L80" s="602" t="s">
        <v>2592</v>
      </c>
      <c r="M80" s="602" t="s">
        <v>2593</v>
      </c>
      <c r="N80" s="602" t="s">
        <v>2594</v>
      </c>
      <c r="Z80" s="2719"/>
      <c r="AA80" s="2787"/>
      <c r="AG80" s="1371"/>
      <c r="AK80" s="2787"/>
    </row>
    <row r="81" spans="1:37" ht="39.6">
      <c r="A81" s="2869" t="s">
        <v>2960</v>
      </c>
      <c r="B81" s="2873" t="str">
        <f>估价对象房地状况!G15</f>
        <v>估价对象位于XX开发区，园区建设成熟度XX，产业集聚程度XX</v>
      </c>
      <c r="C81" s="2769" t="s">
        <v>3083</v>
      </c>
      <c r="D81" s="1285">
        <f t="shared" ref="D81:D88" si="25">SUMIF($J$80:$N$80,C81,J81:N81)</f>
        <v>-1.95E-2</v>
      </c>
      <c r="E81" s="820">
        <f>ROUND(SUM(D81:D88),4)</f>
        <v>-1E-4</v>
      </c>
      <c r="F81" s="2500">
        <f>IF(E2="工业",SUMIF(L1:L12,G2,N1:N12),"——")</f>
        <v>0.15</v>
      </c>
      <c r="G81" s="1283">
        <f>H81</f>
        <v>1.95E-2</v>
      </c>
      <c r="H81" s="1287">
        <f t="shared" ref="H81:H88" si="26">IFERROR(ROUNDDOWN($F$81*I81/2,4),"——")</f>
        <v>1.95E-2</v>
      </c>
      <c r="I81" s="819">
        <v>0.26</v>
      </c>
      <c r="J81" s="1284">
        <f t="shared" ref="J81:J88" si="27">K81+$G81</f>
        <v>3.9E-2</v>
      </c>
      <c r="K81" s="1284">
        <f t="shared" ref="K81:K88" si="28">$L81+$G81</f>
        <v>1.95E-2</v>
      </c>
      <c r="L81" s="1284">
        <v>0</v>
      </c>
      <c r="M81" s="1284">
        <f t="shared" ref="M81:N88" si="29">L81-$G81</f>
        <v>-1.95E-2</v>
      </c>
      <c r="N81" s="1284">
        <f t="shared" si="29"/>
        <v>-3.9E-2</v>
      </c>
      <c r="Z81" s="2719"/>
      <c r="AA81" s="2787"/>
      <c r="AG81" s="1371"/>
      <c r="AK81" s="2787"/>
    </row>
    <row r="82" spans="1:37" ht="66">
      <c r="A82" s="2869" t="s">
        <v>2942</v>
      </c>
      <c r="B82" s="2873" t="str">
        <f>估价对象房地状况!G16</f>
        <v>估价对象周边道路状况、公共交通通达情况、停车便捷程度，综合评价交通便捷度较好</v>
      </c>
      <c r="C82" s="2769" t="s">
        <v>3084</v>
      </c>
      <c r="D82" s="1285">
        <f t="shared" si="25"/>
        <v>0</v>
      </c>
      <c r="E82" s="825"/>
      <c r="F82" s="2500"/>
      <c r="G82" s="1283">
        <f t="shared" ref="G82:G88" si="30">H82</f>
        <v>2.47E-2</v>
      </c>
      <c r="H82" s="1287">
        <f t="shared" si="26"/>
        <v>2.47E-2</v>
      </c>
      <c r="I82" s="819">
        <v>0.33</v>
      </c>
      <c r="J82" s="1284">
        <f t="shared" si="27"/>
        <v>4.9399999999999999E-2</v>
      </c>
      <c r="K82" s="1284">
        <f t="shared" si="28"/>
        <v>2.47E-2</v>
      </c>
      <c r="L82" s="1284">
        <v>0</v>
      </c>
      <c r="M82" s="1284">
        <f t="shared" si="29"/>
        <v>-2.47E-2</v>
      </c>
      <c r="N82" s="1284">
        <f t="shared" si="29"/>
        <v>-4.9399999999999999E-2</v>
      </c>
      <c r="Z82" s="2719"/>
      <c r="AA82" s="2787"/>
      <c r="AG82" s="1371"/>
      <c r="AK82" s="2787"/>
    </row>
    <row r="83" spans="1:37" ht="24">
      <c r="A83" s="2869" t="s">
        <v>2943</v>
      </c>
      <c r="B83" s="2873">
        <f>估价对象房地状况!G17</f>
        <v>0</v>
      </c>
      <c r="C83" s="2769" t="s">
        <v>3084</v>
      </c>
      <c r="D83" s="1285">
        <f t="shared" si="25"/>
        <v>0</v>
      </c>
      <c r="E83" s="825"/>
      <c r="F83" s="2500"/>
      <c r="G83" s="1283">
        <f t="shared" si="30"/>
        <v>3.7000000000000002E-3</v>
      </c>
      <c r="H83" s="1287">
        <f t="shared" si="26"/>
        <v>3.7000000000000002E-3</v>
      </c>
      <c r="I83" s="819">
        <v>0.05</v>
      </c>
      <c r="J83" s="1284">
        <f t="shared" si="27"/>
        <v>7.4000000000000003E-3</v>
      </c>
      <c r="K83" s="1284">
        <f t="shared" si="28"/>
        <v>3.7000000000000002E-3</v>
      </c>
      <c r="L83" s="1284">
        <v>0</v>
      </c>
      <c r="M83" s="1284">
        <f t="shared" si="29"/>
        <v>-3.7000000000000002E-3</v>
      </c>
      <c r="N83" s="1284">
        <f t="shared" si="29"/>
        <v>-7.4000000000000003E-3</v>
      </c>
      <c r="Z83" s="2719"/>
      <c r="AA83" s="2787"/>
      <c r="AG83" s="1371"/>
      <c r="AK83" s="2787"/>
    </row>
    <row r="84" spans="1:37" ht="13.8">
      <c r="A84" s="2869" t="s">
        <v>2957</v>
      </c>
      <c r="B84" s="2873">
        <f>估价对象房地状况!G22</f>
        <v>0</v>
      </c>
      <c r="C84" s="2769" t="s">
        <v>3084</v>
      </c>
      <c r="D84" s="1285">
        <f t="shared" si="25"/>
        <v>0</v>
      </c>
      <c r="E84" s="825"/>
      <c r="F84" s="2500"/>
      <c r="G84" s="1283">
        <f t="shared" si="30"/>
        <v>3.0000000000000001E-3</v>
      </c>
      <c r="H84" s="1287">
        <f t="shared" si="26"/>
        <v>3.0000000000000001E-3</v>
      </c>
      <c r="I84" s="819">
        <v>0.04</v>
      </c>
      <c r="J84" s="1284">
        <f t="shared" si="27"/>
        <v>6.0000000000000001E-3</v>
      </c>
      <c r="K84" s="1284">
        <f t="shared" si="28"/>
        <v>3.0000000000000001E-3</v>
      </c>
      <c r="L84" s="1284">
        <v>0</v>
      </c>
      <c r="M84" s="1284">
        <f t="shared" si="29"/>
        <v>-3.0000000000000001E-3</v>
      </c>
      <c r="N84" s="1284">
        <f t="shared" si="29"/>
        <v>-6.0000000000000001E-3</v>
      </c>
      <c r="Z84" s="2719"/>
      <c r="AA84" s="2787"/>
      <c r="AG84" s="1371"/>
      <c r="AK84" s="2787"/>
    </row>
    <row r="85" spans="1:37" ht="26.4">
      <c r="A85" s="2869" t="s">
        <v>2949</v>
      </c>
      <c r="B85" s="1724" t="str">
        <f>估价对象房地状况!G19</f>
        <v>估价对象所在区域公共配套设施齐备情况</v>
      </c>
      <c r="C85" s="2769" t="s">
        <v>3084</v>
      </c>
      <c r="D85" s="1285">
        <f t="shared" si="25"/>
        <v>0</v>
      </c>
      <c r="E85" s="825"/>
      <c r="F85" s="2500"/>
      <c r="G85" s="1283">
        <f t="shared" si="30"/>
        <v>4.4999999999999997E-3</v>
      </c>
      <c r="H85" s="1287">
        <f t="shared" si="26"/>
        <v>4.4999999999999997E-3</v>
      </c>
      <c r="I85" s="819">
        <v>0.06</v>
      </c>
      <c r="J85" s="1284">
        <f t="shared" si="27"/>
        <v>8.9999999999999993E-3</v>
      </c>
      <c r="K85" s="1284">
        <f t="shared" si="28"/>
        <v>4.4999999999999997E-3</v>
      </c>
      <c r="L85" s="1284">
        <v>0</v>
      </c>
      <c r="M85" s="1284">
        <f t="shared" si="29"/>
        <v>-4.4999999999999997E-3</v>
      </c>
      <c r="N85" s="1284">
        <f t="shared" si="29"/>
        <v>-8.9999999999999993E-3</v>
      </c>
      <c r="Z85" s="2719"/>
      <c r="AA85" s="2787"/>
      <c r="AG85" s="1371"/>
      <c r="AK85" s="2787"/>
    </row>
    <row r="86" spans="1:37" ht="26.4">
      <c r="A86" s="2869" t="s">
        <v>2950</v>
      </c>
      <c r="B86" s="1724" t="str">
        <f>估价对象房地状况!G20</f>
        <v>估价对象所在区域基础设施水平</v>
      </c>
      <c r="C86" s="2769" t="s">
        <v>3085</v>
      </c>
      <c r="D86" s="1285">
        <f t="shared" si="25"/>
        <v>1.12E-2</v>
      </c>
      <c r="E86" s="825"/>
      <c r="F86" s="2500"/>
      <c r="G86" s="1283">
        <f t="shared" si="30"/>
        <v>1.12E-2</v>
      </c>
      <c r="H86" s="1287">
        <f t="shared" si="26"/>
        <v>1.12E-2</v>
      </c>
      <c r="I86" s="819">
        <v>0.15</v>
      </c>
      <c r="J86" s="1284">
        <f t="shared" si="27"/>
        <v>2.24E-2</v>
      </c>
      <c r="K86" s="1284">
        <f t="shared" si="28"/>
        <v>1.12E-2</v>
      </c>
      <c r="L86" s="1284">
        <v>0</v>
      </c>
      <c r="M86" s="1284">
        <f t="shared" si="29"/>
        <v>-1.12E-2</v>
      </c>
      <c r="N86" s="1284">
        <f t="shared" si="29"/>
        <v>-2.24E-2</v>
      </c>
      <c r="Z86" s="2719"/>
      <c r="AA86" s="2787"/>
      <c r="AG86" s="1371"/>
      <c r="AK86" s="2787"/>
    </row>
    <row r="87" spans="1:37" ht="36">
      <c r="A87" s="2869" t="s">
        <v>2947</v>
      </c>
      <c r="B87" s="2875" t="s">
        <v>2961</v>
      </c>
      <c r="C87" s="2769" t="s">
        <v>3085</v>
      </c>
      <c r="D87" s="1285">
        <f t="shared" si="25"/>
        <v>3.7000000000000002E-3</v>
      </c>
      <c r="E87" s="825"/>
      <c r="F87" s="2500"/>
      <c r="G87" s="1283">
        <f t="shared" si="30"/>
        <v>3.7000000000000002E-3</v>
      </c>
      <c r="H87" s="1287">
        <f t="shared" si="26"/>
        <v>3.7000000000000002E-3</v>
      </c>
      <c r="I87" s="819">
        <v>0.05</v>
      </c>
      <c r="J87" s="1284">
        <f t="shared" si="27"/>
        <v>7.4000000000000003E-3</v>
      </c>
      <c r="K87" s="1284">
        <f t="shared" si="28"/>
        <v>3.7000000000000002E-3</v>
      </c>
      <c r="L87" s="1284">
        <v>0</v>
      </c>
      <c r="M87" s="1284">
        <f t="shared" si="29"/>
        <v>-3.7000000000000002E-3</v>
      </c>
      <c r="N87" s="1284">
        <f t="shared" si="29"/>
        <v>-7.4000000000000003E-3</v>
      </c>
      <c r="Z87" s="2719"/>
      <c r="AA87" s="2787"/>
      <c r="AG87" s="1371"/>
      <c r="AK87" s="2787"/>
    </row>
    <row r="88" spans="1:37" ht="53.4" thickBot="1">
      <c r="A88" s="2877" t="s">
        <v>2962</v>
      </c>
      <c r="B88" s="2882" t="str">
        <f>估价对象房地状况!G18</f>
        <v>该园区内是否有污染型企业，绿化情况，卫生条件，整体环境状况判断</v>
      </c>
      <c r="C88" s="2769" t="s">
        <v>3085</v>
      </c>
      <c r="D88" s="1285">
        <f t="shared" si="25"/>
        <v>4.4999999999999997E-3</v>
      </c>
      <c r="E88" s="826"/>
      <c r="F88" s="2500"/>
      <c r="G88" s="1283">
        <f t="shared" si="30"/>
        <v>4.4999999999999997E-3</v>
      </c>
      <c r="H88" s="1287">
        <f t="shared" si="26"/>
        <v>4.4999999999999997E-3</v>
      </c>
      <c r="I88" s="823">
        <v>0.06</v>
      </c>
      <c r="J88" s="1284">
        <f t="shared" si="27"/>
        <v>8.9999999999999993E-3</v>
      </c>
      <c r="K88" s="1284">
        <f t="shared" si="28"/>
        <v>4.4999999999999997E-3</v>
      </c>
      <c r="L88" s="1284">
        <v>0</v>
      </c>
      <c r="M88" s="1284">
        <f t="shared" si="29"/>
        <v>-4.4999999999999997E-3</v>
      </c>
      <c r="N88" s="1284">
        <f t="shared" si="29"/>
        <v>-8.9999999999999993E-3</v>
      </c>
      <c r="Z88" s="2719"/>
      <c r="AA88" s="2787"/>
      <c r="AG88" s="1371"/>
      <c r="AK88" s="2787"/>
    </row>
    <row r="90" spans="1:37">
      <c r="A90" s="3271" t="s">
        <v>2963</v>
      </c>
      <c r="B90" s="3271"/>
      <c r="C90" s="3271"/>
      <c r="D90" s="3271"/>
      <c r="E90" s="3271"/>
      <c r="F90" s="3271"/>
      <c r="G90" s="3271"/>
      <c r="H90" s="3271"/>
      <c r="I90" s="3271"/>
      <c r="J90" s="3271"/>
      <c r="K90" s="2883"/>
      <c r="L90" s="2883"/>
      <c r="M90" s="2883"/>
      <c r="N90" s="2883"/>
    </row>
    <row r="91" spans="1:37">
      <c r="A91" s="3273" t="s">
        <v>2964</v>
      </c>
      <c r="B91" s="3273" t="s">
        <v>2965</v>
      </c>
      <c r="C91" s="2837" t="s">
        <v>2966</v>
      </c>
      <c r="D91" s="2838"/>
      <c r="E91" s="2838"/>
      <c r="F91" s="2838"/>
      <c r="G91" s="2838"/>
      <c r="H91" s="2838"/>
      <c r="I91" s="2838"/>
      <c r="J91" s="2884"/>
      <c r="K91" s="2885"/>
      <c r="L91" s="2885"/>
      <c r="M91" s="2885"/>
      <c r="N91" s="2885"/>
    </row>
    <row r="92" spans="1:37">
      <c r="A92" s="3273"/>
      <c r="B92" s="3273"/>
      <c r="C92" s="941" t="s">
        <v>2833</v>
      </c>
      <c r="D92" s="941" t="s">
        <v>2834</v>
      </c>
      <c r="E92" s="941" t="s">
        <v>2835</v>
      </c>
      <c r="F92" s="941" t="s">
        <v>2836</v>
      </c>
      <c r="G92" s="941" t="s">
        <v>2837</v>
      </c>
      <c r="H92" s="941" t="s">
        <v>2838</v>
      </c>
      <c r="I92" s="941" t="s">
        <v>2839</v>
      </c>
      <c r="J92" s="941" t="s">
        <v>2840</v>
      </c>
      <c r="K92" s="941" t="s">
        <v>2841</v>
      </c>
      <c r="L92" s="941" t="s">
        <v>2842</v>
      </c>
      <c r="M92" s="941" t="s">
        <v>2843</v>
      </c>
      <c r="N92" s="941" t="s">
        <v>2844</v>
      </c>
    </row>
    <row r="93" spans="1:37">
      <c r="A93" s="3274" t="s">
        <v>2967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75"/>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75"/>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75"/>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75"/>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75"/>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75"/>
      <c r="B99" s="2886" t="s">
        <v>2849</v>
      </c>
      <c r="C99" s="2888">
        <f>$I$3</f>
        <v>0</v>
      </c>
      <c r="D99" s="2888">
        <f t="shared" ref="D99:M99" si="31">$I$3</f>
        <v>0</v>
      </c>
      <c r="E99" s="2888">
        <f t="shared" si="31"/>
        <v>0</v>
      </c>
      <c r="F99" s="2888">
        <f t="shared" si="31"/>
        <v>0</v>
      </c>
      <c r="G99" s="2888">
        <f t="shared" si="31"/>
        <v>0</v>
      </c>
      <c r="H99" s="2888">
        <f t="shared" si="31"/>
        <v>0</v>
      </c>
      <c r="I99" s="2888">
        <f t="shared" si="31"/>
        <v>0</v>
      </c>
      <c r="J99" s="2888">
        <f t="shared" si="31"/>
        <v>0</v>
      </c>
      <c r="K99" s="2888">
        <f t="shared" si="31"/>
        <v>0</v>
      </c>
      <c r="L99" s="2888">
        <f t="shared" si="31"/>
        <v>0</v>
      </c>
      <c r="M99" s="2888">
        <f t="shared" si="31"/>
        <v>0</v>
      </c>
      <c r="N99" s="2888">
        <f>$I$3</f>
        <v>0</v>
      </c>
    </row>
    <row r="100" spans="1:14">
      <c r="A100" s="3276"/>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74" t="s">
        <v>2968</v>
      </c>
      <c r="B101" s="2890" t="s">
        <v>2969</v>
      </c>
      <c r="C101" s="2891">
        <f>$G$3</f>
        <v>0.14000000000000001</v>
      </c>
      <c r="D101" s="2891">
        <f t="shared" ref="D101:N101" si="32">$G$3</f>
        <v>0.14000000000000001</v>
      </c>
      <c r="E101" s="2891">
        <f t="shared" si="32"/>
        <v>0.14000000000000001</v>
      </c>
      <c r="F101" s="2891">
        <f t="shared" si="32"/>
        <v>0.14000000000000001</v>
      </c>
      <c r="G101" s="2891">
        <f t="shared" si="32"/>
        <v>0.14000000000000001</v>
      </c>
      <c r="H101" s="2891">
        <f t="shared" si="32"/>
        <v>0.14000000000000001</v>
      </c>
      <c r="I101" s="2891">
        <f t="shared" si="32"/>
        <v>0.14000000000000001</v>
      </c>
      <c r="J101" s="2891">
        <f t="shared" si="32"/>
        <v>0.14000000000000001</v>
      </c>
      <c r="K101" s="2891">
        <f t="shared" si="32"/>
        <v>0.14000000000000001</v>
      </c>
      <c r="L101" s="2891">
        <f t="shared" si="32"/>
        <v>0.14000000000000001</v>
      </c>
      <c r="M101" s="2891">
        <f t="shared" si="32"/>
        <v>0.14000000000000001</v>
      </c>
      <c r="N101" s="2891">
        <f t="shared" si="32"/>
        <v>0.14000000000000001</v>
      </c>
    </row>
    <row r="102" spans="1:14">
      <c r="A102" s="3275"/>
      <c r="B102" s="2886">
        <v>1</v>
      </c>
      <c r="C102" s="2887">
        <f>1.9362/C101</f>
        <v>13.829999999999998</v>
      </c>
      <c r="D102" s="2887">
        <f>1.9362/D101</f>
        <v>13.829999999999998</v>
      </c>
      <c r="E102" s="2887">
        <f>1.8629/E101</f>
        <v>13.306428571428571</v>
      </c>
      <c r="F102" s="2887">
        <f>1.8629/F101</f>
        <v>13.306428571428571</v>
      </c>
      <c r="G102" s="2887">
        <f>1.8629/G101</f>
        <v>13.306428571428571</v>
      </c>
      <c r="H102" s="2887">
        <f>1.8629/H101</f>
        <v>13.306428571428571</v>
      </c>
      <c r="I102" s="2887">
        <f>1.8629/I101</f>
        <v>13.306428571428571</v>
      </c>
      <c r="J102" s="2887">
        <f>1.942/J101</f>
        <v>13.87142857142857</v>
      </c>
      <c r="K102" s="2887">
        <f>1.942/K101</f>
        <v>13.87142857142857</v>
      </c>
      <c r="L102" s="2887">
        <f>1.942/L101</f>
        <v>13.87142857142857</v>
      </c>
      <c r="M102" s="2887">
        <f>1.942/M101</f>
        <v>13.87142857142857</v>
      </c>
      <c r="N102" s="2887">
        <f>1.942/N101</f>
        <v>13.87142857142857</v>
      </c>
    </row>
    <row r="103" spans="1:14">
      <c r="A103" s="3275"/>
      <c r="B103" s="2886">
        <v>2</v>
      </c>
      <c r="C103" s="2887">
        <f>1.4198/C101</f>
        <v>10.14142857142857</v>
      </c>
      <c r="D103" s="2887">
        <f>1.4198/D101</f>
        <v>10.14142857142857</v>
      </c>
      <c r="E103" s="2887">
        <f>1.3372/E101</f>
        <v>9.5514285714285698</v>
      </c>
      <c r="F103" s="2887">
        <f>1.3372/F101</f>
        <v>9.5514285714285698</v>
      </c>
      <c r="G103" s="2887">
        <f>1.3372/G101</f>
        <v>9.5514285714285698</v>
      </c>
      <c r="H103" s="2887">
        <f>1.3372/H101</f>
        <v>9.5514285714285698</v>
      </c>
      <c r="I103" s="2887">
        <f>1.3372/I101</f>
        <v>9.5514285714285698</v>
      </c>
      <c r="J103" s="2887">
        <f>1.2799/J101</f>
        <v>9.142142857142856</v>
      </c>
      <c r="K103" s="2887">
        <f>1.2799/K101</f>
        <v>9.142142857142856</v>
      </c>
      <c r="L103" s="2887">
        <f>1.2799/L101</f>
        <v>9.142142857142856</v>
      </c>
      <c r="M103" s="2887">
        <f>1.2799/M101</f>
        <v>9.142142857142856</v>
      </c>
      <c r="N103" s="2887">
        <f>1.2799/N101</f>
        <v>9.142142857142856</v>
      </c>
    </row>
    <row r="104" spans="1:14">
      <c r="A104" s="3275"/>
      <c r="B104" s="2886">
        <v>3</v>
      </c>
      <c r="C104" s="2887">
        <f>1.1594/C101</f>
        <v>8.2814285714285703</v>
      </c>
      <c r="D104" s="2887">
        <f>1.1594/D101</f>
        <v>8.2814285714285703</v>
      </c>
      <c r="E104" s="2887">
        <f>1.0788/E101</f>
        <v>7.7057142857142846</v>
      </c>
      <c r="F104" s="2887">
        <f>1.0788/F101</f>
        <v>7.7057142857142846</v>
      </c>
      <c r="G104" s="2887">
        <f>1.0788/G101</f>
        <v>7.7057142857142846</v>
      </c>
      <c r="H104" s="2887">
        <f>1.0788/H101</f>
        <v>7.7057142857142846</v>
      </c>
      <c r="I104" s="2887">
        <f>1.0788/I101</f>
        <v>7.7057142857142846</v>
      </c>
      <c r="J104" s="2887">
        <f>1.0072/J101</f>
        <v>7.194285714285714</v>
      </c>
      <c r="K104" s="2887">
        <f>1.0072/K101</f>
        <v>7.194285714285714</v>
      </c>
      <c r="L104" s="2887">
        <f>1.0072/L101</f>
        <v>7.194285714285714</v>
      </c>
      <c r="M104" s="2887">
        <f>1.0072/M101</f>
        <v>7.194285714285714</v>
      </c>
      <c r="N104" s="2887">
        <f>1.0072/N101</f>
        <v>7.194285714285714</v>
      </c>
    </row>
    <row r="105" spans="1:14">
      <c r="A105" s="3275"/>
      <c r="B105" s="2886">
        <v>4</v>
      </c>
      <c r="C105" s="2887">
        <f>0.9622/C101</f>
        <v>6.8728571428571428</v>
      </c>
      <c r="D105" s="2887">
        <f>0.9622/D101</f>
        <v>6.8728571428571428</v>
      </c>
      <c r="E105" s="2887">
        <f>0.8656/E101</f>
        <v>6.1828571428571424</v>
      </c>
      <c r="F105" s="2887">
        <f>0.8656/F101</f>
        <v>6.1828571428571424</v>
      </c>
      <c r="G105" s="2887">
        <f>0.8656/G101</f>
        <v>6.1828571428571424</v>
      </c>
      <c r="H105" s="2887">
        <f>0.8656/H101</f>
        <v>6.1828571428571424</v>
      </c>
      <c r="I105" s="2887">
        <f>0.8656/I101</f>
        <v>6.1828571428571424</v>
      </c>
      <c r="J105" s="2887">
        <f>0.7525/J101</f>
        <v>5.3749999999999991</v>
      </c>
      <c r="K105" s="2887">
        <f>0.7525/K101</f>
        <v>5.3749999999999991</v>
      </c>
      <c r="L105" s="2887">
        <f>0.7525/L101</f>
        <v>5.3749999999999991</v>
      </c>
      <c r="M105" s="2887">
        <f>0.7525/M101</f>
        <v>5.3749999999999991</v>
      </c>
      <c r="N105" s="2887">
        <f>0.7525/N101</f>
        <v>5.3749999999999991</v>
      </c>
    </row>
    <row r="106" spans="1:14">
      <c r="A106" s="3275"/>
      <c r="B106" s="2886">
        <v>5</v>
      </c>
      <c r="C106" s="2887">
        <f>0.8417/C101</f>
        <v>6.012142857142857</v>
      </c>
      <c r="D106" s="2887">
        <f>0.8417/D101</f>
        <v>6.012142857142857</v>
      </c>
      <c r="E106" s="2887">
        <f>0.7371/E101</f>
        <v>5.2649999999999997</v>
      </c>
      <c r="F106" s="2887">
        <f>0.7371/F101</f>
        <v>5.2649999999999997</v>
      </c>
      <c r="G106" s="2887">
        <f>0.7371/G101</f>
        <v>5.2649999999999997</v>
      </c>
      <c r="H106" s="2887">
        <f>0.7371/H101</f>
        <v>5.2649999999999997</v>
      </c>
      <c r="I106" s="2887">
        <f>0.7371/I101</f>
        <v>5.2649999999999997</v>
      </c>
      <c r="J106" s="2887">
        <f>0.5659/J101</f>
        <v>4.0421428571428564</v>
      </c>
      <c r="K106" s="2887">
        <f>0.5659/K101</f>
        <v>4.0421428571428564</v>
      </c>
      <c r="L106" s="2887">
        <f>0.5659/L101</f>
        <v>4.0421428571428564</v>
      </c>
      <c r="M106" s="2887">
        <f>0.5659/M101</f>
        <v>4.0421428571428564</v>
      </c>
      <c r="N106" s="2887">
        <f>0.5659/N101</f>
        <v>4.0421428571428564</v>
      </c>
    </row>
    <row r="107" spans="1:14">
      <c r="A107" s="3275"/>
      <c r="B107" s="2886">
        <v>6</v>
      </c>
      <c r="C107" s="2887">
        <f>0.7608/C101</f>
        <v>5.4342857142857142</v>
      </c>
      <c r="D107" s="2887">
        <f>0.7608/D101</f>
        <v>5.4342857142857142</v>
      </c>
      <c r="E107" s="2887">
        <f>0.6482/E101</f>
        <v>4.63</v>
      </c>
      <c r="F107" s="2887">
        <f>0.6482/F101</f>
        <v>4.63</v>
      </c>
      <c r="G107" s="2887">
        <f>0.6482/G101</f>
        <v>4.63</v>
      </c>
      <c r="H107" s="2887">
        <f>0.6482/H101</f>
        <v>4.63</v>
      </c>
      <c r="I107" s="2887">
        <f>0.6482/I101</f>
        <v>4.63</v>
      </c>
      <c r="J107" s="2887">
        <f>0.4525/J101</f>
        <v>3.2321428571428568</v>
      </c>
      <c r="K107" s="2887">
        <f>0.4525/K101</f>
        <v>3.2321428571428568</v>
      </c>
      <c r="L107" s="2887">
        <f>0.4525/L101</f>
        <v>3.2321428571428568</v>
      </c>
      <c r="M107" s="2887">
        <f>0.4525/M101</f>
        <v>3.2321428571428568</v>
      </c>
      <c r="N107" s="2887">
        <f>0.4525/N101</f>
        <v>3.2321428571428568</v>
      </c>
    </row>
    <row r="108" spans="1:14">
      <c r="A108" s="3275"/>
      <c r="B108" s="3132" t="s">
        <v>2970</v>
      </c>
      <c r="C108" s="2888">
        <f>C99</f>
        <v>0</v>
      </c>
      <c r="D108" s="2888">
        <f t="shared" ref="D108:N108" si="33">D99</f>
        <v>0</v>
      </c>
      <c r="E108" s="2888">
        <f t="shared" si="33"/>
        <v>0</v>
      </c>
      <c r="F108" s="2888">
        <f t="shared" si="33"/>
        <v>0</v>
      </c>
      <c r="G108" s="2888">
        <f t="shared" si="33"/>
        <v>0</v>
      </c>
      <c r="H108" s="2888">
        <f t="shared" si="33"/>
        <v>0</v>
      </c>
      <c r="I108" s="2888">
        <f t="shared" si="33"/>
        <v>0</v>
      </c>
      <c r="J108" s="2888">
        <f t="shared" si="33"/>
        <v>0</v>
      </c>
      <c r="K108" s="2888">
        <f t="shared" si="33"/>
        <v>0</v>
      </c>
      <c r="L108" s="2888">
        <f t="shared" si="33"/>
        <v>0</v>
      </c>
      <c r="M108" s="2888">
        <f t="shared" si="33"/>
        <v>0</v>
      </c>
      <c r="N108" s="2888">
        <f t="shared" si="33"/>
        <v>0</v>
      </c>
    </row>
    <row r="109" spans="1:14">
      <c r="A109" s="3276"/>
      <c r="B109" s="3133"/>
      <c r="C109" s="2889">
        <f>(-0.163*(C108^2)-0.59*C108+7617)*(10^(-4))/C101</f>
        <v>5.4407142857142858</v>
      </c>
      <c r="D109" s="2889">
        <f>(-0.163*(D108^2)-0.59*D108+7617)*(10^(-4))/D101</f>
        <v>5.4407142857142858</v>
      </c>
      <c r="E109" s="2889">
        <f>(-0.161*(E108^2)-7.509*E108+6533)*(10^(-4))/E101</f>
        <v>4.6664285714285709</v>
      </c>
      <c r="F109" s="2889">
        <f>(-0.161*(F108^2)-7.509*F108+6533)*(10^(-4))/F101</f>
        <v>4.6664285714285709</v>
      </c>
      <c r="G109" s="2889">
        <f>(-0.161*(G108^2)-7.509*G108+6533)*(10^(-4))/G101</f>
        <v>4.6664285714285709</v>
      </c>
      <c r="H109" s="2889">
        <f>(-0.161*(H108^2)-7.509*H108+6533)*(10^(-4))/H101</f>
        <v>4.6664285714285709</v>
      </c>
      <c r="I109" s="2889">
        <f>(-0.161*(I108^2)-7.509*I108+6533)*(10^(-4))/I101</f>
        <v>4.6664285714285709</v>
      </c>
      <c r="J109" s="2889">
        <f>(-0.214*(J108^2)-21.991*J108+4665)*(10^(-4))/J101</f>
        <v>3.3321428571428569</v>
      </c>
      <c r="K109" s="2889">
        <f>(-0.214*(K108^2)-21.991*K108+4665)*(10^(-4))/K101</f>
        <v>3.3321428571428569</v>
      </c>
      <c r="L109" s="2889">
        <f>(-0.214*(L108^2)-21.991*L108+4665)*(10^(-4))/L101</f>
        <v>3.3321428571428569</v>
      </c>
      <c r="M109" s="2889">
        <f>(-0.214*(M108^2)-21.991*M108+4665)*(10^(-4))/M101</f>
        <v>3.3321428571428569</v>
      </c>
      <c r="N109" s="2889">
        <f>(-0.214*(N108^2)-21.991*N108+4665)*(10^(-4))/N101</f>
        <v>3.3321428571428569</v>
      </c>
    </row>
    <row r="110" spans="1:14">
      <c r="A110" s="3272" t="s">
        <v>2971</v>
      </c>
      <c r="B110" s="3272"/>
      <c r="C110" s="3272"/>
      <c r="D110" s="3272"/>
      <c r="E110" s="3272"/>
      <c r="F110" s="3272"/>
      <c r="G110" s="3272"/>
      <c r="H110" s="3272"/>
      <c r="I110" s="3272"/>
      <c r="J110" s="3272"/>
      <c r="K110" s="2892"/>
      <c r="L110" s="2892"/>
      <c r="M110" s="2892"/>
      <c r="N110" s="2892"/>
    </row>
    <row r="112" spans="1:14" ht="13.8" thickBot="1"/>
    <row r="113" spans="1:13" ht="25.8" thickBot="1">
      <c r="A113" s="902" t="s">
        <v>2972</v>
      </c>
      <c r="B113" s="1286">
        <f>G3</f>
        <v>0.14000000000000001</v>
      </c>
      <c r="C113" s="903" t="s">
        <v>2973</v>
      </c>
      <c r="D113" s="904">
        <f>SUMPRODUCT((A115:A118=F113)*(B114:M114=H113)*B115:M118)</f>
        <v>0.56479999999999997</v>
      </c>
      <c r="E113" s="2723" t="s">
        <v>2807</v>
      </c>
      <c r="F113" s="2894" t="str">
        <f>E2</f>
        <v>工业</v>
      </c>
      <c r="G113" s="2723" t="s">
        <v>2808</v>
      </c>
      <c r="H113" s="2894" t="str">
        <f>G2</f>
        <v>十级</v>
      </c>
      <c r="I113" s="2723"/>
      <c r="J113" s="2895"/>
      <c r="K113" s="2895"/>
      <c r="L113" s="2895"/>
      <c r="M113" s="2895"/>
    </row>
    <row r="114" spans="1:13">
      <c r="A114" s="907"/>
      <c r="B114" s="2896" t="s">
        <v>2974</v>
      </c>
      <c r="C114" s="2896" t="s">
        <v>2975</v>
      </c>
      <c r="D114" s="2896" t="s">
        <v>2976</v>
      </c>
      <c r="E114" s="2897" t="s">
        <v>2977</v>
      </c>
      <c r="F114" s="2897" t="s">
        <v>2978</v>
      </c>
      <c r="G114" s="2897" t="s">
        <v>2979</v>
      </c>
      <c r="H114" s="2898" t="s">
        <v>2980</v>
      </c>
      <c r="I114" s="2898" t="s">
        <v>2981</v>
      </c>
      <c r="J114" s="2899" t="s">
        <v>2982</v>
      </c>
      <c r="K114" s="2899" t="s">
        <v>2983</v>
      </c>
      <c r="L114" s="2899" t="s">
        <v>2984</v>
      </c>
      <c r="M114" s="2900" t="s">
        <v>2985</v>
      </c>
    </row>
    <row r="115" spans="1:13">
      <c r="A115" s="908" t="s">
        <v>2871</v>
      </c>
      <c r="B115" s="909">
        <f>ROUND(0.9335-0.0094*B113,4)</f>
        <v>0.93220000000000003</v>
      </c>
      <c r="C115" s="909">
        <f>B115</f>
        <v>0.93220000000000003</v>
      </c>
      <c r="D115" s="909">
        <f>ROUND(0.8331-0.0109*B113,4)</f>
        <v>0.83160000000000001</v>
      </c>
      <c r="E115" s="909">
        <f>D115</f>
        <v>0.83160000000000001</v>
      </c>
      <c r="F115" s="909">
        <f>E115</f>
        <v>0.83160000000000001</v>
      </c>
      <c r="G115" s="909">
        <f>F115</f>
        <v>0.83160000000000001</v>
      </c>
      <c r="H115" s="909">
        <f>G115</f>
        <v>0.83160000000000001</v>
      </c>
      <c r="I115" s="909">
        <f>ROUND(0.689-0.0155*B113,4)</f>
        <v>0.68679999999999997</v>
      </c>
      <c r="J115" s="909">
        <f t="shared" ref="J115:M118" si="34">I115</f>
        <v>0.68679999999999997</v>
      </c>
      <c r="K115" s="909">
        <f t="shared" si="34"/>
        <v>0.68679999999999997</v>
      </c>
      <c r="L115" s="909">
        <f t="shared" si="34"/>
        <v>0.68679999999999997</v>
      </c>
      <c r="M115" s="910">
        <f t="shared" si="34"/>
        <v>0.68679999999999997</v>
      </c>
    </row>
    <row r="116" spans="1:13">
      <c r="A116" s="908" t="s">
        <v>2872</v>
      </c>
      <c r="B116" s="909">
        <f>ROUND(0.949-0.012*B113,4)</f>
        <v>0.94730000000000003</v>
      </c>
      <c r="C116" s="909">
        <f>B116</f>
        <v>0.94730000000000003</v>
      </c>
      <c r="D116" s="909">
        <f>ROUND(0.8567-0.013*B113,4)</f>
        <v>0.85489999999999999</v>
      </c>
      <c r="E116" s="909">
        <f t="shared" ref="E116:H117" si="35">D116</f>
        <v>0.85489999999999999</v>
      </c>
      <c r="F116" s="909">
        <f t="shared" si="35"/>
        <v>0.85489999999999999</v>
      </c>
      <c r="G116" s="909">
        <f t="shared" si="35"/>
        <v>0.85489999999999999</v>
      </c>
      <c r="H116" s="909">
        <f t="shared" si="35"/>
        <v>0.85489999999999999</v>
      </c>
      <c r="I116" s="909">
        <f>ROUND(0.7694-0.014*B113,4)</f>
        <v>0.76739999999999997</v>
      </c>
      <c r="J116" s="909">
        <f t="shared" si="34"/>
        <v>0.76739999999999997</v>
      </c>
      <c r="K116" s="909">
        <f t="shared" si="34"/>
        <v>0.76739999999999997</v>
      </c>
      <c r="L116" s="909">
        <f t="shared" si="34"/>
        <v>0.76739999999999997</v>
      </c>
      <c r="M116" s="910">
        <f t="shared" si="34"/>
        <v>0.76739999999999997</v>
      </c>
    </row>
    <row r="117" spans="1:13">
      <c r="A117" s="908" t="s">
        <v>2873</v>
      </c>
      <c r="B117" s="909">
        <f>ROUND(0.8808-0.006*B113,4)</f>
        <v>0.88</v>
      </c>
      <c r="C117" s="909">
        <f>B117</f>
        <v>0.88</v>
      </c>
      <c r="D117" s="909">
        <f>ROUND(0.8748-0.008*B113,4)</f>
        <v>0.87370000000000003</v>
      </c>
      <c r="E117" s="909">
        <f t="shared" si="35"/>
        <v>0.87370000000000003</v>
      </c>
      <c r="F117" s="909">
        <f t="shared" si="35"/>
        <v>0.87370000000000003</v>
      </c>
      <c r="G117" s="909">
        <f t="shared" si="35"/>
        <v>0.87370000000000003</v>
      </c>
      <c r="H117" s="909">
        <f t="shared" si="35"/>
        <v>0.87370000000000003</v>
      </c>
      <c r="I117" s="909">
        <f>ROUND(0.7412-0.0095*B113,4)</f>
        <v>0.7399</v>
      </c>
      <c r="J117" s="909">
        <f t="shared" si="34"/>
        <v>0.7399</v>
      </c>
      <c r="K117" s="909">
        <f t="shared" si="34"/>
        <v>0.7399</v>
      </c>
      <c r="L117" s="909">
        <f t="shared" si="34"/>
        <v>0.7399</v>
      </c>
      <c r="M117" s="910">
        <f t="shared" si="34"/>
        <v>0.7399</v>
      </c>
    </row>
    <row r="118" spans="1:13" ht="13.8" thickBot="1">
      <c r="A118" s="713" t="s">
        <v>2874</v>
      </c>
      <c r="B118" s="911">
        <f>ROUND(0.7275-0.01*B113,4)</f>
        <v>0.72609999999999997</v>
      </c>
      <c r="C118" s="911">
        <f>B118</f>
        <v>0.72609999999999997</v>
      </c>
      <c r="D118" s="911">
        <f>ROUND(0.7043-0.012*B113,4)</f>
        <v>0.7026</v>
      </c>
      <c r="E118" s="911">
        <f>D118</f>
        <v>0.7026</v>
      </c>
      <c r="F118" s="911">
        <f>E118</f>
        <v>0.7026</v>
      </c>
      <c r="G118" s="911">
        <f>ROUND(0.6299-0.0122*B113,4)</f>
        <v>0.62819999999999998</v>
      </c>
      <c r="H118" s="911">
        <f>G118</f>
        <v>0.62819999999999998</v>
      </c>
      <c r="I118" s="911">
        <f>ROUND(0.5667-0.0136*B113,4)</f>
        <v>0.56479999999999997</v>
      </c>
      <c r="J118" s="911">
        <f t="shared" si="34"/>
        <v>0.56479999999999997</v>
      </c>
      <c r="K118" s="911">
        <f t="shared" si="34"/>
        <v>0.56479999999999997</v>
      </c>
      <c r="L118" s="911">
        <f t="shared" si="34"/>
        <v>0.56479999999999997</v>
      </c>
      <c r="M118" s="912">
        <f t="shared" si="34"/>
        <v>0.56479999999999997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282" t="s">
        <v>614</v>
      </c>
      <c r="C61" s="817" t="s">
        <v>615</v>
      </c>
      <c r="D61" s="817" t="s">
        <v>616</v>
      </c>
      <c r="E61" s="894">
        <v>0.5</v>
      </c>
      <c r="F61" s="881">
        <v>80</v>
      </c>
    </row>
    <row r="62" spans="1:8" s="877" customFormat="1" ht="36">
      <c r="A62" s="881">
        <v>2</v>
      </c>
      <c r="B62" s="3282"/>
      <c r="C62" s="817" t="s">
        <v>617</v>
      </c>
      <c r="D62" s="817" t="s">
        <v>618</v>
      </c>
      <c r="E62" s="894">
        <v>0.5</v>
      </c>
      <c r="F62" s="881">
        <v>80</v>
      </c>
    </row>
    <row r="63" spans="1:8" s="877" customFormat="1" ht="48">
      <c r="A63" s="881">
        <v>3</v>
      </c>
      <c r="B63" s="3282"/>
      <c r="C63" s="817" t="s">
        <v>619</v>
      </c>
      <c r="D63" s="817" t="s">
        <v>620</v>
      </c>
      <c r="E63" s="894">
        <v>0.5</v>
      </c>
      <c r="F63" s="881">
        <v>80</v>
      </c>
    </row>
    <row r="64" spans="1:8" s="877" customFormat="1" ht="48">
      <c r="A64" s="881">
        <v>4</v>
      </c>
      <c r="B64" s="3282"/>
      <c r="C64" s="817" t="s">
        <v>621</v>
      </c>
      <c r="D64" s="817" t="s">
        <v>622</v>
      </c>
      <c r="E64" s="894">
        <v>0.4</v>
      </c>
      <c r="F64" s="881">
        <v>60</v>
      </c>
    </row>
    <row r="65" spans="1:6" s="877" customFormat="1" ht="48">
      <c r="A65" s="881">
        <v>5</v>
      </c>
      <c r="B65" s="3282"/>
      <c r="C65" s="817" t="s">
        <v>623</v>
      </c>
      <c r="D65" s="817" t="s">
        <v>624</v>
      </c>
      <c r="E65" s="894">
        <v>0.2</v>
      </c>
      <c r="F65" s="881">
        <v>30</v>
      </c>
    </row>
    <row r="66" spans="1:6" s="877" customFormat="1" ht="48">
      <c r="A66" s="881">
        <v>6</v>
      </c>
      <c r="B66" s="3282"/>
      <c r="C66" s="817" t="s">
        <v>625</v>
      </c>
      <c r="D66" s="817" t="s">
        <v>626</v>
      </c>
      <c r="E66" s="894">
        <v>0.3</v>
      </c>
      <c r="F66" s="881">
        <v>50</v>
      </c>
    </row>
    <row r="67" spans="1:6" s="877" customFormat="1" ht="48">
      <c r="A67" s="881">
        <v>7</v>
      </c>
      <c r="B67" s="3282"/>
      <c r="C67" s="817" t="s">
        <v>627</v>
      </c>
      <c r="D67" s="817" t="s">
        <v>628</v>
      </c>
      <c r="E67" s="894">
        <v>0.2</v>
      </c>
      <c r="F67" s="881">
        <v>30</v>
      </c>
    </row>
    <row r="68" spans="1:6" s="877" customFormat="1" ht="48">
      <c r="A68" s="881">
        <v>8</v>
      </c>
      <c r="B68" s="3282"/>
      <c r="C68" s="817" t="s">
        <v>629</v>
      </c>
      <c r="D68" s="817" t="s">
        <v>630</v>
      </c>
      <c r="E68" s="894">
        <v>0.2</v>
      </c>
      <c r="F68" s="881">
        <v>30</v>
      </c>
    </row>
    <row r="69" spans="1:6" s="877" customFormat="1" ht="48">
      <c r="A69" s="881">
        <v>9</v>
      </c>
      <c r="B69" s="3282"/>
      <c r="C69" s="817" t="s">
        <v>631</v>
      </c>
      <c r="D69" s="817" t="s">
        <v>632</v>
      </c>
      <c r="E69" s="894">
        <v>0.2</v>
      </c>
      <c r="F69" s="881">
        <v>30</v>
      </c>
    </row>
    <row r="70" spans="1:6" s="877" customFormat="1" ht="60">
      <c r="A70" s="881">
        <v>10</v>
      </c>
      <c r="B70" s="3282"/>
      <c r="C70" s="817" t="s">
        <v>633</v>
      </c>
      <c r="D70" s="817" t="s">
        <v>634</v>
      </c>
      <c r="E70" s="894">
        <v>0.2</v>
      </c>
      <c r="F70" s="881">
        <v>30</v>
      </c>
    </row>
    <row r="71" spans="1:6" s="877" customFormat="1" ht="60">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36">
      <c r="A73" s="881">
        <v>13</v>
      </c>
      <c r="B73" s="3282"/>
      <c r="C73" s="817" t="s">
        <v>639</v>
      </c>
      <c r="D73" s="817" t="s">
        <v>640</v>
      </c>
      <c r="E73" s="894">
        <v>0.4</v>
      </c>
      <c r="F73" s="881">
        <v>60</v>
      </c>
    </row>
    <row r="74" spans="1:6" s="877" customFormat="1" ht="36">
      <c r="A74" s="881">
        <v>14</v>
      </c>
      <c r="B74" s="3282"/>
      <c r="C74" s="817" t="s">
        <v>641</v>
      </c>
      <c r="D74" s="817" t="s">
        <v>642</v>
      </c>
      <c r="E74" s="894">
        <v>0.2</v>
      </c>
      <c r="F74" s="881">
        <v>30</v>
      </c>
    </row>
    <row r="75" spans="1:6" s="877" customFormat="1" ht="36">
      <c r="A75" s="881">
        <v>15</v>
      </c>
      <c r="B75" s="3282"/>
      <c r="C75" s="817" t="s">
        <v>643</v>
      </c>
      <c r="D75" s="817" t="s">
        <v>644</v>
      </c>
      <c r="E75" s="894">
        <v>0.2</v>
      </c>
      <c r="F75" s="881">
        <v>30</v>
      </c>
    </row>
    <row r="76" spans="1:6" s="877" customFormat="1" ht="36">
      <c r="A76" s="881">
        <v>16</v>
      </c>
      <c r="B76" s="3282" t="s">
        <v>645</v>
      </c>
      <c r="C76" s="817" t="s">
        <v>646</v>
      </c>
      <c r="D76" s="817" t="s">
        <v>647</v>
      </c>
      <c r="E76" s="894">
        <v>0.5</v>
      </c>
      <c r="F76" s="881">
        <v>80</v>
      </c>
    </row>
    <row r="77" spans="1:6" s="877" customFormat="1" ht="36">
      <c r="A77" s="881">
        <v>17</v>
      </c>
      <c r="B77" s="3282"/>
      <c r="C77" s="817" t="s">
        <v>648</v>
      </c>
      <c r="D77" s="817" t="s">
        <v>649</v>
      </c>
      <c r="E77" s="894">
        <v>0.5</v>
      </c>
      <c r="F77" s="881">
        <v>80</v>
      </c>
    </row>
    <row r="78" spans="1:6" s="877" customFormat="1" ht="36">
      <c r="A78" s="881">
        <v>18</v>
      </c>
      <c r="B78" s="3282"/>
      <c r="C78" s="817" t="s">
        <v>650</v>
      </c>
      <c r="D78" s="817" t="s">
        <v>651</v>
      </c>
      <c r="E78" s="894">
        <v>0.2</v>
      </c>
      <c r="F78" s="881">
        <v>30</v>
      </c>
    </row>
    <row r="79" spans="1:6" s="877" customFormat="1" ht="36">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60">
      <c r="A82" s="881">
        <v>22</v>
      </c>
      <c r="B82" s="3282"/>
      <c r="C82" s="817" t="s">
        <v>658</v>
      </c>
      <c r="D82" s="817" t="s">
        <v>659</v>
      </c>
      <c r="E82" s="894">
        <v>0.2</v>
      </c>
      <c r="F82" s="881">
        <v>30</v>
      </c>
    </row>
    <row r="83" spans="1:6" s="877" customFormat="1" ht="60">
      <c r="A83" s="881">
        <v>23</v>
      </c>
      <c r="B83" s="3282"/>
      <c r="C83" s="817" t="s">
        <v>660</v>
      </c>
      <c r="D83" s="817" t="s">
        <v>661</v>
      </c>
      <c r="E83" s="894">
        <v>0.2</v>
      </c>
      <c r="F83" s="881">
        <v>30</v>
      </c>
    </row>
    <row r="84" spans="1:6" s="877" customFormat="1" ht="48">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36">
      <c r="A89" s="881">
        <v>29</v>
      </c>
      <c r="B89" s="3282"/>
      <c r="C89" s="817" t="s">
        <v>672</v>
      </c>
      <c r="D89" s="817" t="s">
        <v>673</v>
      </c>
      <c r="E89" s="894">
        <v>0.2</v>
      </c>
      <c r="F89" s="881">
        <v>30</v>
      </c>
    </row>
    <row r="90" spans="1:6" s="877" customFormat="1" ht="36">
      <c r="A90" s="881">
        <v>30</v>
      </c>
      <c r="B90" s="3282"/>
      <c r="C90" s="817" t="s">
        <v>674</v>
      </c>
      <c r="D90" s="817" t="s">
        <v>675</v>
      </c>
      <c r="E90" s="894">
        <v>0.2</v>
      </c>
      <c r="F90" s="881">
        <v>30</v>
      </c>
    </row>
    <row r="91" spans="1:6" s="877" customFormat="1" ht="48">
      <c r="A91" s="881">
        <v>31</v>
      </c>
      <c r="B91" s="3282"/>
      <c r="C91" s="817" t="s">
        <v>676</v>
      </c>
      <c r="D91" s="817" t="s">
        <v>677</v>
      </c>
      <c r="E91" s="894">
        <v>0.2</v>
      </c>
      <c r="F91" s="881">
        <v>30</v>
      </c>
    </row>
    <row r="92" spans="1:6" s="877" customFormat="1" ht="36">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60">
      <c r="A94" s="881">
        <v>34</v>
      </c>
      <c r="B94" s="3282"/>
      <c r="C94" s="881" t="s">
        <v>683</v>
      </c>
      <c r="D94" s="817" t="s">
        <v>684</v>
      </c>
      <c r="E94" s="894">
        <v>0.2</v>
      </c>
      <c r="F94" s="881">
        <v>30</v>
      </c>
    </row>
    <row r="95" spans="1:6" s="877" customFormat="1" ht="48">
      <c r="A95" s="881">
        <v>35</v>
      </c>
      <c r="B95" s="3282"/>
      <c r="C95" s="881" t="s">
        <v>685</v>
      </c>
      <c r="D95" s="817" t="s">
        <v>686</v>
      </c>
      <c r="E95" s="894">
        <v>0.2</v>
      </c>
      <c r="F95" s="881">
        <v>30</v>
      </c>
    </row>
    <row r="96" spans="1:6" s="877" customFormat="1" ht="72">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36">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82" t="s">
        <v>708</v>
      </c>
      <c r="C105" s="881" t="s">
        <v>709</v>
      </c>
      <c r="D105" s="817" t="s">
        <v>710</v>
      </c>
      <c r="E105" s="894">
        <v>0.2</v>
      </c>
      <c r="F105" s="881">
        <v>30</v>
      </c>
    </row>
    <row r="106" spans="1:6" s="877" customFormat="1" ht="48">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48">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82" t="s">
        <v>724</v>
      </c>
      <c r="C111" s="881" t="s">
        <v>725</v>
      </c>
      <c r="D111" s="817" t="s">
        <v>726</v>
      </c>
      <c r="E111" s="894">
        <v>0.2</v>
      </c>
      <c r="F111" s="881">
        <v>30</v>
      </c>
    </row>
    <row r="112" spans="1:6" s="877" customFormat="1" ht="36">
      <c r="A112" s="881">
        <v>52</v>
      </c>
      <c r="B112" s="3282"/>
      <c r="C112" s="881" t="s">
        <v>727</v>
      </c>
      <c r="D112" s="817" t="s">
        <v>728</v>
      </c>
      <c r="E112" s="894">
        <v>0.2</v>
      </c>
      <c r="F112" s="881">
        <v>30</v>
      </c>
    </row>
    <row r="113" spans="1:6" s="877" customFormat="1" ht="36">
      <c r="A113" s="881">
        <v>53</v>
      </c>
      <c r="B113" s="3282"/>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12.384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2" sqref="E32"/>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0" t="s">
        <v>2994</v>
      </c>
    </row>
    <row r="2" spans="1:5" ht="15.6">
      <c r="A2" s="2901" t="s">
        <v>2986</v>
      </c>
      <c r="B2" s="2902">
        <f ca="1">SUMIF(B6:B13,"&lt;&gt;#ref!",B6:B13)</f>
        <v>612</v>
      </c>
      <c r="C2" s="2901" t="s">
        <v>2987</v>
      </c>
      <c r="D2" s="2901" t="s">
        <v>2988</v>
      </c>
      <c r="E2" s="2902">
        <f ca="1">SUMIF(E6:E13,"&lt;&gt;#ref!",E6:E13)</f>
        <v>1106.44</v>
      </c>
    </row>
    <row r="3" spans="1:5" ht="15.6">
      <c r="A3" s="2901" t="s">
        <v>2989</v>
      </c>
      <c r="B3" s="2902">
        <f ca="1">ROUND(B2*10000/E2,0)</f>
        <v>5531</v>
      </c>
      <c r="C3" s="2901" t="s">
        <v>2995</v>
      </c>
      <c r="D3" s="2903"/>
      <c r="E3" s="2903"/>
    </row>
    <row r="4" spans="1:5" ht="15.6">
      <c r="A4" s="2904"/>
      <c r="B4" s="2903"/>
      <c r="C4" s="2903"/>
      <c r="D4" s="2903"/>
      <c r="E4" s="2903"/>
    </row>
    <row r="5" spans="1:5" ht="31.2">
      <c r="A5" s="2905" t="s">
        <v>2990</v>
      </c>
      <c r="B5" s="2901" t="s">
        <v>2991</v>
      </c>
      <c r="C5" s="2902"/>
      <c r="D5" s="2903"/>
      <c r="E5" s="2901" t="s">
        <v>2992</v>
      </c>
    </row>
    <row r="6" spans="1:5" ht="15.6">
      <c r="A6" s="2906" t="s">
        <v>2993</v>
      </c>
      <c r="B6" s="2902">
        <f ca="1">SUMIF(INDIRECT("'"&amp;A6&amp;"'"&amp;"!A:A"),"总价",INDIRECT("'"&amp;A6&amp;"'"&amp;"!B:B"))</f>
        <v>612</v>
      </c>
      <c r="C6" s="2901" t="s">
        <v>2987</v>
      </c>
      <c r="D6" s="2903"/>
      <c r="E6" s="2574">
        <f ca="1">SUMIF(INDIRECT("'"&amp;A6&amp;"'"&amp;"!C:C"),"建筑面积",INDIRECT("'"&amp;A6&amp;"'"&amp;"!D:D"))</f>
        <v>1106.44</v>
      </c>
    </row>
    <row r="7" spans="1:5" ht="15.6">
      <c r="A7" s="2906"/>
      <c r="B7" s="2902" t="e">
        <f ca="1">SUMIF(INDIRECT("'"&amp;A7&amp;"'"&amp;"!A:A"),"总价",INDIRECT("'"&amp;A7&amp;"'"&amp;"!B:B"))</f>
        <v>#REF!</v>
      </c>
      <c r="C7" s="2901" t="s">
        <v>2987</v>
      </c>
      <c r="D7" s="2903"/>
      <c r="E7" s="2574" t="e">
        <f t="shared" ref="E7:E13" ca="1" si="0">SUMIF(INDIRECT("'"&amp;A7&amp;"'"&amp;"!C:C"),"建筑面积",INDIRECT("'"&amp;A7&amp;"'"&amp;"!D:D"))</f>
        <v>#REF!</v>
      </c>
    </row>
    <row r="8" spans="1:5" ht="15.6">
      <c r="A8" s="2906"/>
      <c r="B8" s="2902" t="e">
        <f t="shared" ref="B8:B13" ca="1" si="1">SUMIF(INDIRECT("'"&amp;A8&amp;"'"&amp;"!A:A"),"总价",INDIRECT("'"&amp;A8&amp;"'"&amp;"!B:B"))</f>
        <v>#REF!</v>
      </c>
      <c r="C8" s="2901" t="s">
        <v>2987</v>
      </c>
      <c r="D8" s="2903"/>
      <c r="E8" s="2574" t="e">
        <f t="shared" ca="1" si="0"/>
        <v>#REF!</v>
      </c>
    </row>
    <row r="9" spans="1:5" ht="15.6">
      <c r="A9" s="2906"/>
      <c r="B9" s="2902" t="e">
        <f t="shared" ca="1" si="1"/>
        <v>#REF!</v>
      </c>
      <c r="C9" s="2901" t="s">
        <v>2987</v>
      </c>
      <c r="D9" s="2903"/>
      <c r="E9" s="2574" t="e">
        <f t="shared" ca="1" si="0"/>
        <v>#REF!</v>
      </c>
    </row>
    <row r="10" spans="1:5" ht="15.6">
      <c r="A10" s="2906"/>
      <c r="B10" s="2902" t="e">
        <f t="shared" ca="1" si="1"/>
        <v>#REF!</v>
      </c>
      <c r="C10" s="2901" t="s">
        <v>2987</v>
      </c>
      <c r="D10" s="2903"/>
      <c r="E10" s="2574" t="e">
        <f t="shared" ca="1" si="0"/>
        <v>#REF!</v>
      </c>
    </row>
    <row r="11" spans="1:5" ht="15.6">
      <c r="A11" s="2906"/>
      <c r="B11" s="2902" t="e">
        <f t="shared" ca="1" si="1"/>
        <v>#REF!</v>
      </c>
      <c r="C11" s="2901" t="s">
        <v>2987</v>
      </c>
      <c r="D11" s="2903"/>
      <c r="E11" s="2574" t="e">
        <f t="shared" ca="1" si="0"/>
        <v>#REF!</v>
      </c>
    </row>
    <row r="12" spans="1:5" ht="15.6">
      <c r="A12" s="2906"/>
      <c r="B12" s="2902" t="e">
        <f t="shared" ca="1" si="1"/>
        <v>#REF!</v>
      </c>
      <c r="C12" s="2901" t="s">
        <v>2987</v>
      </c>
      <c r="D12" s="2903"/>
      <c r="E12" s="2574" t="e">
        <f t="shared" ca="1" si="0"/>
        <v>#REF!</v>
      </c>
    </row>
    <row r="13" spans="1:5" ht="15.6">
      <c r="A13" s="2906"/>
      <c r="B13" s="2902" t="e">
        <f t="shared" ca="1" si="1"/>
        <v>#REF!</v>
      </c>
      <c r="C13" s="2901" t="s">
        <v>2987</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16" sqref="L1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88" t="s">
        <v>1146</v>
      </c>
      <c r="C1" s="3288"/>
      <c r="D1" s="3288"/>
      <c r="E1" s="3288"/>
      <c r="F1" s="3288"/>
      <c r="G1" s="3287" t="s">
        <v>1147</v>
      </c>
      <c r="H1" s="3287"/>
      <c r="I1" s="3287"/>
      <c r="J1" s="3287"/>
      <c r="K1" s="3287"/>
      <c r="L1" s="3287"/>
      <c r="N1" s="3287" t="s">
        <v>1148</v>
      </c>
      <c r="O1" s="3287"/>
      <c r="P1" s="3287"/>
      <c r="Q1" s="3287"/>
      <c r="R1" s="1445"/>
      <c r="S1" s="3287" t="s">
        <v>1149</v>
      </c>
      <c r="T1" s="3287"/>
      <c r="U1" s="3287"/>
      <c r="V1" s="3287"/>
      <c r="X1" s="3286" t="s">
        <v>1150</v>
      </c>
      <c r="Y1" s="3287"/>
      <c r="Z1" s="3287"/>
      <c r="AA1" s="3287"/>
      <c r="AB1" s="3287"/>
      <c r="AD1" s="3286" t="s">
        <v>1151</v>
      </c>
      <c r="AE1" s="3287"/>
      <c r="AF1" s="3287"/>
      <c r="AG1" s="3287"/>
      <c r="AH1" s="3287"/>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7" customFormat="1" ht="14.4">
      <c r="A3" s="2926" t="s">
        <v>3029</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2" customFormat="1" ht="14.4">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3043</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6">
        <f>I5/100</f>
        <v>0</v>
      </c>
      <c r="O5" s="1466">
        <f t="shared" ref="O5" si="7">J5/100</f>
        <v>0</v>
      </c>
      <c r="P5" s="1466">
        <f t="shared" ref="P5" si="8">K5/100</f>
        <v>0</v>
      </c>
      <c r="Q5" s="1466">
        <f t="shared" ref="Q5" si="9">L5/100</f>
        <v>0</v>
      </c>
      <c r="R5" s="1731"/>
      <c r="S5" s="1732"/>
      <c r="T5" s="1731"/>
      <c r="U5" s="1731"/>
      <c r="V5" s="1731"/>
      <c r="W5" s="2916" t="s">
        <v>3030</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8" thickBot="1">
      <c r="A6" s="1460" t="s">
        <v>3044</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0">
        <v>2019</v>
      </c>
      <c r="H6" s="1463">
        <v>1</v>
      </c>
      <c r="I6" s="2932">
        <v>0.6</v>
      </c>
      <c r="J6" s="2932">
        <v>0.37</v>
      </c>
      <c r="K6" s="2932">
        <v>0.63</v>
      </c>
      <c r="L6" s="2933">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3042</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84">
        <v>2018</v>
      </c>
      <c r="H7" s="1463">
        <v>4</v>
      </c>
      <c r="I7" s="2932">
        <v>0.96</v>
      </c>
      <c r="J7" s="2932">
        <v>1.03</v>
      </c>
      <c r="K7" s="2932">
        <v>0.92</v>
      </c>
      <c r="L7" s="2933">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 customHeight="1">
      <c r="A8" s="1460" t="s">
        <v>3036</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84"/>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 customHeight="1">
      <c r="A9" s="1460" t="s">
        <v>3035</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84"/>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3028</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93"/>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3025</v>
      </c>
      <c r="B11" s="1468">
        <v>439</v>
      </c>
      <c r="C11" s="1468">
        <v>327</v>
      </c>
      <c r="D11" s="1468">
        <f>C11</f>
        <v>327</v>
      </c>
      <c r="E11" s="1468">
        <v>627</v>
      </c>
      <c r="F11" s="1469">
        <v>283</v>
      </c>
      <c r="G11" s="3289">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 customHeight="1">
      <c r="A12" s="1460" t="s">
        <v>3026</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84"/>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0" t="s">
        <v>1381</v>
      </c>
      <c r="B13" s="1476">
        <f t="shared" si="73"/>
        <v>419.31181600000002</v>
      </c>
      <c r="C13" s="1476">
        <f t="shared" si="74"/>
        <v>313.95436800000004</v>
      </c>
      <c r="D13" s="1476">
        <f t="shared" si="75"/>
        <v>313.95436800000004</v>
      </c>
      <c r="E13" s="1476">
        <f t="shared" si="76"/>
        <v>596.63028431999999</v>
      </c>
      <c r="F13" s="1476">
        <f t="shared" si="77"/>
        <v>274.74220703999998</v>
      </c>
      <c r="G13" s="3284"/>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93"/>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89">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84"/>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84"/>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8"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85"/>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8" thickBot="1">
      <c r="A19" s="1460" t="s">
        <v>151</v>
      </c>
      <c r="B19" s="1468">
        <v>333</v>
      </c>
      <c r="C19" s="1468">
        <v>277</v>
      </c>
      <c r="D19" s="1468">
        <f t="shared" si="87"/>
        <v>277</v>
      </c>
      <c r="E19" s="1468">
        <v>459</v>
      </c>
      <c r="F19" s="1469">
        <v>249</v>
      </c>
      <c r="G19" s="3283">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84"/>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84"/>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85"/>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8" thickBot="1">
      <c r="A23" s="1460" t="s">
        <v>147</v>
      </c>
      <c r="B23" s="1489">
        <v>318</v>
      </c>
      <c r="C23" s="1489">
        <v>268</v>
      </c>
      <c r="D23" s="1489">
        <f t="shared" si="87"/>
        <v>268</v>
      </c>
      <c r="E23" s="1489">
        <v>437</v>
      </c>
      <c r="F23" s="1490">
        <v>237</v>
      </c>
      <c r="G23" s="3283">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84"/>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8"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84"/>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8"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85"/>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0" t="s">
        <v>1159</v>
      </c>
      <c r="B27" s="1468">
        <v>299</v>
      </c>
      <c r="C27" s="1468">
        <v>252</v>
      </c>
      <c r="D27" s="1468">
        <f t="shared" si="87"/>
        <v>252</v>
      </c>
      <c r="E27" s="1468">
        <v>409</v>
      </c>
      <c r="F27" s="1469">
        <v>227</v>
      </c>
      <c r="G27" s="3290">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91"/>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91"/>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92"/>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8" thickBot="1">
      <c r="A31" s="1460" t="s">
        <v>1163</v>
      </c>
      <c r="B31" s="1510">
        <v>278</v>
      </c>
      <c r="C31" s="1510">
        <v>234</v>
      </c>
      <c r="D31" s="1510">
        <f t="shared" si="87"/>
        <v>234</v>
      </c>
      <c r="E31" s="1510">
        <v>379</v>
      </c>
      <c r="F31" s="1511">
        <v>220</v>
      </c>
      <c r="G31" s="3283">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84"/>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84"/>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8" thickBot="1">
      <c r="A34" s="1460" t="s">
        <v>1166</v>
      </c>
      <c r="B34" s="1476">
        <f>B33/(1+N33)</f>
        <v>275.19025476197027</v>
      </c>
      <c r="C34" s="1512">
        <v>232</v>
      </c>
      <c r="D34" s="1512">
        <f t="shared" si="87"/>
        <v>232</v>
      </c>
      <c r="E34" s="1476">
        <f t="shared" si="98"/>
        <v>375.65990977608692</v>
      </c>
      <c r="F34" s="1476">
        <f t="shared" si="98"/>
        <v>214.12518283971252</v>
      </c>
      <c r="G34" s="3285"/>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8" thickBot="1">
      <c r="A35" s="1460" t="s">
        <v>1167</v>
      </c>
      <c r="B35" s="1468">
        <v>275</v>
      </c>
      <c r="C35" s="1468">
        <v>232</v>
      </c>
      <c r="D35" s="1468">
        <f t="shared" si="87"/>
        <v>232</v>
      </c>
      <c r="E35" s="1468">
        <v>376</v>
      </c>
      <c r="F35" s="1469">
        <v>213</v>
      </c>
      <c r="G35" s="3283">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84">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84">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8"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85">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8" thickBot="1">
      <c r="A39" s="1460" t="s">
        <v>1171</v>
      </c>
      <c r="B39" s="1468">
        <v>269</v>
      </c>
      <c r="C39" s="1468">
        <v>221</v>
      </c>
      <c r="D39" s="1468">
        <f t="shared" si="87"/>
        <v>221</v>
      </c>
      <c r="E39" s="1468">
        <v>373</v>
      </c>
      <c r="F39" s="1469">
        <v>196</v>
      </c>
      <c r="G39" s="3283">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84">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84">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8"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85">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8" thickBot="1">
      <c r="A43" s="1460" t="s">
        <v>1175</v>
      </c>
      <c r="B43" s="1468">
        <v>220</v>
      </c>
      <c r="C43" s="1468">
        <v>187</v>
      </c>
      <c r="D43" s="1468">
        <f t="shared" si="87"/>
        <v>187</v>
      </c>
      <c r="E43" s="1468">
        <v>301</v>
      </c>
      <c r="F43" s="1469">
        <v>168</v>
      </c>
      <c r="G43" s="3283">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84">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84">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85">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8" thickBot="1">
      <c r="A47" s="1460" t="s">
        <v>1179</v>
      </c>
      <c r="B47" s="1510">
        <v>214</v>
      </c>
      <c r="C47" s="1510">
        <v>188</v>
      </c>
      <c r="D47" s="1510">
        <f t="shared" si="87"/>
        <v>188</v>
      </c>
      <c r="E47" s="1510">
        <v>289</v>
      </c>
      <c r="F47" s="1511">
        <v>166</v>
      </c>
      <c r="G47" s="3283">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84">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84">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8"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85">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8" thickBot="1">
      <c r="A51" s="1460" t="s">
        <v>1183</v>
      </c>
      <c r="B51" s="1468">
        <v>188</v>
      </c>
      <c r="C51" s="1468">
        <v>165</v>
      </c>
      <c r="D51" s="1468">
        <f t="shared" si="87"/>
        <v>165</v>
      </c>
      <c r="E51" s="1468">
        <v>254</v>
      </c>
      <c r="F51" s="1469">
        <v>148</v>
      </c>
      <c r="G51" s="3283">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84">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84">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85">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8" thickBot="1">
      <c r="A55" s="1460" t="s">
        <v>1187</v>
      </c>
      <c r="B55" s="1489">
        <v>159</v>
      </c>
      <c r="C55" s="1489">
        <v>141</v>
      </c>
      <c r="D55" s="1489">
        <f t="shared" si="87"/>
        <v>141</v>
      </c>
      <c r="E55" s="1489">
        <v>195</v>
      </c>
      <c r="F55" s="1490">
        <v>122</v>
      </c>
      <c r="G55" s="3283">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84">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84">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85">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8" thickBot="1">
      <c r="A59" s="1460" t="s">
        <v>1191</v>
      </c>
      <c r="B59" s="1489">
        <v>138</v>
      </c>
      <c r="C59" s="1489">
        <v>131</v>
      </c>
      <c r="D59" s="1489">
        <f t="shared" si="87"/>
        <v>131</v>
      </c>
      <c r="E59" s="1489">
        <v>155</v>
      </c>
      <c r="F59" s="1490">
        <v>114</v>
      </c>
      <c r="G59" s="3283">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84">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84">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85">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8" thickBot="1">
      <c r="A63" s="1460" t="s">
        <v>1195</v>
      </c>
      <c r="B63" s="1510">
        <v>121</v>
      </c>
      <c r="C63" s="1510">
        <v>122</v>
      </c>
      <c r="D63" s="1510">
        <f t="shared" si="87"/>
        <v>122</v>
      </c>
      <c r="E63" s="1510">
        <v>124</v>
      </c>
      <c r="F63" s="1511">
        <v>107</v>
      </c>
      <c r="G63" s="3283">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84">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84">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8"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85">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8" thickBot="1">
      <c r="A67" s="1460" t="s">
        <v>1199</v>
      </c>
      <c r="B67" s="1531">
        <v>111</v>
      </c>
      <c r="C67" s="1531">
        <v>114</v>
      </c>
      <c r="D67" s="1531">
        <f t="shared" si="87"/>
        <v>114</v>
      </c>
      <c r="E67" s="1531">
        <v>108</v>
      </c>
      <c r="F67" s="1532">
        <v>104</v>
      </c>
      <c r="G67" s="3283">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84">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84">
        <v>2003</v>
      </c>
      <c r="H69" s="1464">
        <v>2</v>
      </c>
      <c r="I69" s="1533"/>
      <c r="J69" s="1533"/>
      <c r="K69" s="1533"/>
      <c r="L69" s="1533"/>
      <c r="X69" s="1525"/>
      <c r="Y69" s="1525"/>
      <c r="Z69" s="1525"/>
    </row>
    <row r="70" spans="1:26" ht="13.8" thickBot="1">
      <c r="A70" s="1460" t="s">
        <v>1202</v>
      </c>
      <c r="B70" s="1535">
        <f t="shared" si="123"/>
        <v>107.25</v>
      </c>
      <c r="C70" s="1535">
        <f t="shared" si="123"/>
        <v>108.75</v>
      </c>
      <c r="D70" s="1535">
        <f t="shared" si="87"/>
        <v>108.75</v>
      </c>
      <c r="E70" s="1535">
        <f t="shared" si="124"/>
        <v>105.75</v>
      </c>
      <c r="F70" s="1535">
        <f t="shared" si="124"/>
        <v>102.5</v>
      </c>
      <c r="G70" s="3285">
        <v>2003</v>
      </c>
      <c r="H70" s="1536">
        <v>1</v>
      </c>
      <c r="I70" s="1533"/>
      <c r="J70" s="1533"/>
      <c r="K70" s="1533"/>
      <c r="L70" s="1533"/>
      <c r="S70" s="1471"/>
      <c r="T70" s="1472"/>
      <c r="U70" s="1472"/>
      <c r="X70" s="1525"/>
      <c r="Y70" s="1525"/>
      <c r="Z70" s="1525"/>
    </row>
    <row r="71" spans="1:26" ht="13.8" thickBot="1">
      <c r="A71" s="1460" t="s">
        <v>1203</v>
      </c>
      <c r="B71" s="1537">
        <v>106</v>
      </c>
      <c r="C71" s="1537">
        <v>107</v>
      </c>
      <c r="D71" s="1537">
        <f t="shared" si="87"/>
        <v>107</v>
      </c>
      <c r="E71" s="1537">
        <v>105</v>
      </c>
      <c r="F71" s="1538">
        <v>102</v>
      </c>
      <c r="G71" s="3283">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84">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84">
        <v>2002</v>
      </c>
      <c r="H73" s="1464">
        <v>2</v>
      </c>
      <c r="I73" s="1533"/>
      <c r="J73" s="1533"/>
      <c r="K73" s="1533"/>
      <c r="L73" s="1533"/>
      <c r="X73" s="1525"/>
      <c r="Y73" s="1525"/>
      <c r="Z73" s="1525"/>
    </row>
    <row r="74" spans="1:26" s="1497" customFormat="1" ht="13.8" thickBot="1">
      <c r="A74" s="1493" t="s">
        <v>1206</v>
      </c>
      <c r="B74" s="1539">
        <f t="shared" si="125"/>
        <v>103</v>
      </c>
      <c r="C74" s="1539">
        <f t="shared" si="125"/>
        <v>104</v>
      </c>
      <c r="D74" s="1539">
        <f t="shared" si="87"/>
        <v>104</v>
      </c>
      <c r="E74" s="1539">
        <f t="shared" si="126"/>
        <v>103.5</v>
      </c>
      <c r="F74" s="1539">
        <f t="shared" si="126"/>
        <v>100.5</v>
      </c>
      <c r="G74" s="3285">
        <v>2002</v>
      </c>
      <c r="H74" s="1540">
        <v>1</v>
      </c>
      <c r="I74" s="1541"/>
      <c r="J74" s="1541"/>
      <c r="K74" s="1541"/>
      <c r="L74" s="1541"/>
      <c r="N74" s="1542"/>
      <c r="S74" s="1542"/>
      <c r="X74" s="1543"/>
      <c r="Y74" s="1543"/>
      <c r="Z74" s="1543"/>
    </row>
    <row r="75" spans="1:26" ht="13.8"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8"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8"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2996</v>
      </c>
      <c r="C1" s="3295" t="s">
        <v>2997</v>
      </c>
      <c r="D1" s="3296"/>
      <c r="E1" s="3296"/>
      <c r="F1" s="3296"/>
      <c r="G1" s="3296"/>
      <c r="H1" s="3296"/>
      <c r="I1" s="3296"/>
      <c r="J1" s="3296"/>
      <c r="K1" s="3296"/>
      <c r="L1" s="3296"/>
      <c r="M1" s="3296"/>
      <c r="N1" s="3296"/>
      <c r="O1" s="3296"/>
      <c r="P1" s="3296"/>
      <c r="Q1" s="3296"/>
      <c r="R1" s="3296"/>
      <c r="S1" s="3297"/>
      <c r="T1" s="1203" t="s">
        <v>2998</v>
      </c>
    </row>
    <row r="2" spans="1:45" s="706" customFormat="1">
      <c r="A2" s="1204"/>
      <c r="B2" s="702" t="s">
        <v>2999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3000</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3001</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3002</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3003</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3004</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3005</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3006</v>
      </c>
      <c r="B17" s="2908" t="s">
        <v>3007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9" t="s">
        <v>3008</v>
      </c>
      <c r="E19" s="1791"/>
      <c r="F19" s="1791"/>
      <c r="G19" s="1791"/>
      <c r="H19" s="1279"/>
      <c r="I19" s="167"/>
      <c r="J19" s="167"/>
      <c r="K19" s="167"/>
      <c r="L19" s="167"/>
      <c r="M19" s="167"/>
      <c r="N19" s="167"/>
      <c r="O19" s="167"/>
      <c r="P19" s="167"/>
      <c r="Q19" s="167"/>
      <c r="R19" s="787"/>
      <c r="S19" s="137"/>
    </row>
    <row r="20" spans="1:45" ht="16.2" thickBot="1">
      <c r="A20" s="714" t="s">
        <v>3009</v>
      </c>
      <c r="B20" s="337" t="e">
        <f ca="1">IF(D20="——",S22,S22-F20)</f>
        <v>#REF!</v>
      </c>
      <c r="C20" s="167"/>
      <c r="D20" s="2910" t="s">
        <v>3010</v>
      </c>
      <c r="E20" s="1792"/>
      <c r="F20" s="1203" t="e">
        <f ca="1">SUMIF(INDIRECT("'"&amp;H20&amp;"'"&amp;"!A:A"),"承租人权益价值",INDIRECT("'"&amp;H20&amp;"'"&amp;"!c:c"))</f>
        <v>#REF!</v>
      </c>
      <c r="G20" s="1203" t="s">
        <v>3011</v>
      </c>
      <c r="H20" s="2911"/>
      <c r="I20" s="167"/>
      <c r="J20" s="167"/>
      <c r="K20" s="167"/>
      <c r="L20" s="167"/>
      <c r="M20" s="167"/>
      <c r="N20" s="167"/>
      <c r="O20" s="167"/>
      <c r="P20" s="167"/>
      <c r="Q20" s="167"/>
      <c r="R20" s="787"/>
      <c r="S20" s="137"/>
    </row>
    <row r="21" spans="1:45" ht="15.6">
      <c r="A21" s="714" t="s">
        <v>3012</v>
      </c>
      <c r="B21" s="337">
        <f>R22</f>
        <v>10000</v>
      </c>
      <c r="C21" s="167"/>
      <c r="D21" s="167"/>
      <c r="E21" s="167"/>
      <c r="F21" s="167"/>
      <c r="G21" s="167"/>
      <c r="H21" s="167"/>
      <c r="I21" s="167"/>
      <c r="J21" s="167"/>
      <c r="K21" s="167"/>
      <c r="L21" s="167"/>
      <c r="M21" s="167"/>
      <c r="N21" s="167"/>
      <c r="O21" s="167"/>
      <c r="P21" s="167"/>
      <c r="Q21" s="167"/>
      <c r="R21" s="787"/>
      <c r="S21" s="137"/>
    </row>
    <row r="22" spans="1:45">
      <c r="A22" s="360" t="s">
        <v>3013</v>
      </c>
      <c r="B22" s="24">
        <f>SUM(B24:B10000)</f>
        <v>100</v>
      </c>
      <c r="C22" s="3154" t="s">
        <v>33</v>
      </c>
      <c r="D22" s="3155"/>
      <c r="E22" s="3155"/>
      <c r="F22" s="3155"/>
      <c r="G22" s="3155"/>
      <c r="H22" s="3155"/>
      <c r="I22" s="3155"/>
      <c r="J22" s="3155"/>
      <c r="K22" s="3155"/>
      <c r="L22" s="3155"/>
      <c r="M22" s="3155"/>
      <c r="N22" s="3155"/>
      <c r="O22" s="3155"/>
      <c r="P22" s="3155"/>
      <c r="Q22" s="3294"/>
      <c r="R22" s="715">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7.399999999999999">
      <c r="A3" s="2979" t="str">
        <f>IF(项目基本情况!B9="房地产市场价值","估价结果一览表（市场价值不需“结果表-1”）","估价结果一览表")</f>
        <v>估价结果一览表</v>
      </c>
      <c r="B3" s="2979"/>
      <c r="C3" s="2979"/>
      <c r="D3" s="2979"/>
      <c r="E3" s="2979"/>
    </row>
    <row r="4" spans="1:5" ht="18" thickBot="1">
      <c r="A4" s="1960"/>
      <c r="B4" s="2977" t="s">
        <v>1625</v>
      </c>
      <c r="C4" s="2977"/>
      <c r="D4" s="2977"/>
      <c r="E4" s="1960"/>
    </row>
    <row r="5" spans="1:5" ht="16.2" thickTop="1">
      <c r="A5" s="1958"/>
      <c r="B5" s="2975" t="s">
        <v>1617</v>
      </c>
      <c r="C5" s="1961" t="s">
        <v>1618</v>
      </c>
      <c r="D5" s="1039">
        <f ca="1">结果表!H101</f>
        <v>1088</v>
      </c>
      <c r="E5" s="1958"/>
    </row>
    <row r="6" spans="1:5" ht="15.6">
      <c r="A6" s="1958"/>
      <c r="B6" s="2975"/>
      <c r="C6" s="1961" t="s">
        <v>1619</v>
      </c>
      <c r="D6" s="1039" t="str">
        <f ca="1">NUMBERSTRING(INT(D5*10000),2)&amp;"元整"</f>
        <v>壹仟零捌拾捌万元整</v>
      </c>
      <c r="E6" s="1958"/>
    </row>
    <row r="7" spans="1:5" ht="15.6">
      <c r="A7" s="1958"/>
      <c r="B7" s="2980"/>
      <c r="C7" s="1962" t="s">
        <v>1620</v>
      </c>
      <c r="D7" s="1040">
        <f ca="1">结果表!H102</f>
        <v>9833</v>
      </c>
      <c r="E7" s="1958"/>
    </row>
    <row r="8" spans="1:5" ht="15.6">
      <c r="A8" s="1958"/>
      <c r="B8" s="2981" t="str">
        <f>结果表!E103</f>
        <v>2.估价师知悉的法定优先受偿款</v>
      </c>
      <c r="C8" s="1963" t="s">
        <v>1621</v>
      </c>
      <c r="D8" s="1040">
        <f>结果表!H103</f>
        <v>0</v>
      </c>
      <c r="E8" s="1958"/>
    </row>
    <row r="9" spans="1:5" ht="15.6">
      <c r="A9" s="1958"/>
      <c r="B9" s="2983"/>
      <c r="C9" s="1961" t="s">
        <v>1619</v>
      </c>
      <c r="D9" s="1039" t="str">
        <f>NUMBERSTRING(INT(D8*10000),2)&amp;"元整"</f>
        <v>零元整</v>
      </c>
      <c r="E9" s="1958"/>
    </row>
    <row r="10" spans="1:5" ht="15.6">
      <c r="A10" s="1958"/>
      <c r="B10" s="1964" t="s">
        <v>1624</v>
      </c>
      <c r="C10" s="1965" t="s">
        <v>1622</v>
      </c>
      <c r="D10" s="1041">
        <f>结果表!H104</f>
        <v>0</v>
      </c>
      <c r="E10" s="1958"/>
    </row>
    <row r="11" spans="1:5" ht="15.6">
      <c r="A11" s="1958"/>
      <c r="B11" s="1964" t="s">
        <v>1626</v>
      </c>
      <c r="C11" s="1965" t="s">
        <v>1627</v>
      </c>
      <c r="D11" s="1041">
        <f>结果表!H105</f>
        <v>0</v>
      </c>
      <c r="E11" s="1958"/>
    </row>
    <row r="12" spans="1:5" ht="15.6">
      <c r="A12" s="1958"/>
      <c r="B12" s="1964" t="s">
        <v>1628</v>
      </c>
      <c r="C12" s="1965" t="s">
        <v>1627</v>
      </c>
      <c r="D12" s="1041">
        <f>结果表!H106</f>
        <v>0</v>
      </c>
      <c r="E12" s="1958"/>
    </row>
    <row r="13" spans="1:5" ht="15.6">
      <c r="A13" s="1958"/>
      <c r="B13" s="2974" t="str">
        <f>结果表!E107</f>
        <v>3.房地产抵押价值</v>
      </c>
      <c r="C13" s="1966" t="s">
        <v>1618</v>
      </c>
      <c r="D13" s="1042">
        <f ca="1">结果表!H107</f>
        <v>1088</v>
      </c>
      <c r="E13" s="1958"/>
    </row>
    <row r="14" spans="1:5" ht="15.6">
      <c r="A14" s="1958"/>
      <c r="B14" s="2975"/>
      <c r="C14" s="1961" t="s">
        <v>1619</v>
      </c>
      <c r="D14" s="1039" t="str">
        <f ca="1">NUMBERSTRING(INT(D13*10000),2)&amp;"元整"</f>
        <v>壹仟零捌拾捌万元整</v>
      </c>
      <c r="E14" s="1958"/>
    </row>
    <row r="15" spans="1:5" ht="15.6">
      <c r="A15" s="1958"/>
      <c r="B15" s="2980"/>
      <c r="C15" s="1962" t="s">
        <v>1629</v>
      </c>
      <c r="D15" s="1051">
        <f ca="1">结果表!H108</f>
        <v>9833</v>
      </c>
      <c r="E15" s="1958"/>
    </row>
    <row r="16" spans="1:5" ht="15.6">
      <c r="A16" s="1958"/>
      <c r="B16" s="2981" t="str">
        <f>结果表!E109</f>
        <v>——</v>
      </c>
      <c r="C16" s="1966" t="s">
        <v>1630</v>
      </c>
      <c r="D16" s="1967" t="str">
        <f>结果表!H109</f>
        <v>——</v>
      </c>
      <c r="E16" s="1958"/>
    </row>
    <row r="17" spans="1:5" ht="15.6">
      <c r="A17" s="1958"/>
      <c r="B17" s="2982"/>
      <c r="C17" s="1961" t="s">
        <v>1631</v>
      </c>
      <c r="D17" s="1039" t="e">
        <f>NUMBERSTRING(INT(D16*10000),2)&amp;"元整"</f>
        <v>#VALUE!</v>
      </c>
      <c r="E17" s="1958"/>
    </row>
    <row r="18" spans="1:5" ht="15.6">
      <c r="A18" s="1958"/>
      <c r="B18" s="2983"/>
      <c r="C18" s="1962" t="s">
        <v>1620</v>
      </c>
      <c r="D18" s="1051" t="str">
        <f>结果表!H110</f>
        <v>——</v>
      </c>
      <c r="E18" s="1958"/>
    </row>
    <row r="19" spans="1:5" ht="15.6">
      <c r="A19" s="1958"/>
      <c r="B19" s="2974" t="str">
        <f>结果表!E111</f>
        <v>4.抵押净值</v>
      </c>
      <c r="C19" s="1966" t="s">
        <v>1618</v>
      </c>
      <c r="D19" s="1040">
        <f ca="1">结果表!H111</f>
        <v>1017</v>
      </c>
      <c r="E19" s="1958"/>
    </row>
    <row r="20" spans="1:5" ht="15.6">
      <c r="A20" s="1958"/>
      <c r="B20" s="2975"/>
      <c r="C20" s="1961" t="s">
        <v>1631</v>
      </c>
      <c r="D20" s="1039" t="str">
        <f ca="1">NUMBERSTRING(INT(D19*10000),2)&amp;"元整"</f>
        <v>壹仟零壹拾柒万元整</v>
      </c>
      <c r="E20" s="1958"/>
    </row>
    <row r="21" spans="1:5" ht="16.2" thickBot="1">
      <c r="A21" s="1958"/>
      <c r="B21" s="2976"/>
      <c r="C21" s="1968" t="s">
        <v>1629</v>
      </c>
      <c r="D21" s="1052">
        <f ca="1">结果表!H112</f>
        <v>9192</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24309</v>
      </c>
      <c r="C2" s="2" t="s">
        <v>133</v>
      </c>
      <c r="D2" s="242"/>
      <c r="E2" s="242"/>
      <c r="F2" s="242"/>
      <c r="G2" s="242"/>
    </row>
    <row r="3" spans="1:7" s="243" customFormat="1" ht="18" customHeight="1" thickBot="1">
      <c r="A3" s="246" t="s">
        <v>85</v>
      </c>
      <c r="B3" s="247">
        <f ca="1">ROUND(B2*10000/'数据-汇总表'!E3,0)</f>
        <v>219705</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150</v>
      </c>
      <c r="F9" s="264"/>
      <c r="G9" s="269"/>
    </row>
    <row r="10" spans="1:7" s="257" customFormat="1" ht="13.5" customHeight="1">
      <c r="A10" s="949" t="s">
        <v>801</v>
      </c>
      <c r="B10" s="267" t="s">
        <v>94</v>
      </c>
      <c r="C10" s="268">
        <f>ROUND(D10*E10/10000,0)</f>
        <v>21</v>
      </c>
      <c r="D10" s="1031">
        <f>'数据-汇总表'!E6</f>
        <v>1106.44</v>
      </c>
      <c r="E10" s="268">
        <f>'数据-取费表'!B28</f>
        <v>190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22</v>
      </c>
      <c r="D19" s="1035">
        <f>'数据-汇总表'!E3</f>
        <v>1106.44</v>
      </c>
      <c r="E19" s="254">
        <f>'数据-取费表'!B31</f>
        <v>200</v>
      </c>
      <c r="F19" s="274"/>
      <c r="G19" s="1" t="s">
        <v>1071</v>
      </c>
    </row>
    <row r="20" spans="1:7" s="257" customFormat="1" ht="13.5" customHeight="1">
      <c r="A20" s="947" t="s">
        <v>1054</v>
      </c>
      <c r="B20" s="253" t="s">
        <v>104</v>
      </c>
      <c r="C20" s="275">
        <f>ROUND((C5+C19)*F20,0)</f>
        <v>413</v>
      </c>
      <c r="D20" s="275"/>
      <c r="E20" s="275"/>
      <c r="F20" s="276">
        <f>'数据-取费表'!B37</f>
        <v>0.02</v>
      </c>
      <c r="G20" s="1288" t="s">
        <v>1065</v>
      </c>
    </row>
    <row r="21" spans="1:7" s="257" customFormat="1" ht="13.5" customHeight="1">
      <c r="A21" s="947" t="s">
        <v>1056</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452</v>
      </c>
      <c r="D22" s="278">
        <f ca="1">C26</f>
        <v>1E-4</v>
      </c>
      <c r="E22" s="279" t="s">
        <v>126</v>
      </c>
      <c r="F22" s="280">
        <f ca="1">'数据-取费表'!B40</f>
        <v>4.3499999999999997E-2</v>
      </c>
      <c r="G22" s="1288" t="str">
        <f>IF('数据-取费表'!B22&lt;=1,"单利计息","复利计息")</f>
        <v>单利计息</v>
      </c>
    </row>
    <row r="23" spans="1:7" s="257" customFormat="1" ht="13.5" customHeight="1">
      <c r="A23" s="950" t="s">
        <v>794</v>
      </c>
      <c r="B23" s="258" t="s">
        <v>1058</v>
      </c>
      <c r="C23" s="1354">
        <f ca="1">ROUND(IF('数据-取费表'!B22&lt;=1,C5*F22*'数据-取费表'!B23,C5*(POWER((1+F22),'数据-取费表'!B23)-1)),0)</f>
        <v>448</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0</v>
      </c>
      <c r="D24" s="281"/>
      <c r="E24" s="281"/>
      <c r="F24" s="282"/>
      <c r="G24" s="283" t="s">
        <v>109</v>
      </c>
    </row>
    <row r="25" spans="1:7" s="257" customFormat="1" ht="24">
      <c r="A25" s="950" t="s">
        <v>793</v>
      </c>
      <c r="B25" s="258" t="s">
        <v>1055</v>
      </c>
      <c r="C25" s="1354">
        <f ca="1">ROUND(IF('数据-取费表'!B22&lt;=1,C20*F22*'数据-取费表'!B23/2,C20*(POWER((1+F22),'数据-取费表'!B23/2)-1)),0)</f>
        <v>4</v>
      </c>
      <c r="D25" s="281"/>
      <c r="E25" s="284"/>
      <c r="F25" s="282"/>
      <c r="G25" s="285" t="s">
        <v>110</v>
      </c>
    </row>
    <row r="26" spans="1:7" s="257" customFormat="1">
      <c r="A26" s="950" t="s">
        <v>795</v>
      </c>
      <c r="B26" s="258" t="s">
        <v>1057</v>
      </c>
      <c r="C26" s="281">
        <f ca="1">ROUND(IF('数据-取费表'!B22&lt;=1,F21*F22*'数据-取费表'!B23/2,F21*(POWER((1+F22),'数据-取费表'!B23/2)-1)),4)</f>
        <v>1E-4</v>
      </c>
      <c r="D26" s="281"/>
      <c r="E26" s="284"/>
      <c r="F26" s="282"/>
      <c r="G26" s="286"/>
    </row>
    <row r="27" spans="1:7" s="257" customFormat="1" ht="26.4">
      <c r="A27" s="947" t="s">
        <v>787</v>
      </c>
      <c r="B27" s="287" t="s">
        <v>112</v>
      </c>
      <c r="C27" s="288">
        <f>C28</f>
        <v>1052</v>
      </c>
      <c r="D27" s="278">
        <f>C29</f>
        <v>5.0000000000000001E-4</v>
      </c>
      <c r="E27" s="279" t="s">
        <v>126</v>
      </c>
      <c r="F27" s="289">
        <f>'数据-取费表'!Q16</f>
        <v>0.05</v>
      </c>
      <c r="G27" s="290" t="s">
        <v>1066</v>
      </c>
    </row>
    <row r="28" spans="1:7" s="257" customFormat="1" ht="13.5" customHeight="1">
      <c r="A28" s="950" t="s">
        <v>794</v>
      </c>
      <c r="B28" s="291" t="s">
        <v>1059</v>
      </c>
      <c r="C28" s="292">
        <f>ROUND((C5+C19+C20)*F27*'数据-取费表'!B21/'数据-取费表'!B20,0)</f>
        <v>1052</v>
      </c>
      <c r="D28" s="278"/>
      <c r="E28" s="279"/>
      <c r="F28" s="289"/>
      <c r="G28" s="290"/>
    </row>
    <row r="29" spans="1:7" s="257" customFormat="1" ht="13.5" customHeight="1">
      <c r="A29" s="950" t="s">
        <v>792</v>
      </c>
      <c r="B29" s="291" t="s">
        <v>1060</v>
      </c>
      <c r="C29" s="281">
        <f>ROUND(C21*F27*'数据-取费表'!B21/'数据-取费表'!B20,4)</f>
        <v>5.0000000000000001E-4</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24065</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276</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243</v>
      </c>
      <c r="D34" s="260"/>
      <c r="E34" s="263"/>
      <c r="F34" s="300">
        <f>IF('数据-取费表'!B24=0,1,'数据-取费表'!N16)</f>
        <v>1</v>
      </c>
      <c r="G34" s="262" t="s">
        <v>116</v>
      </c>
    </row>
    <row r="35" spans="1:7" ht="13.5" customHeight="1">
      <c r="A35" s="950" t="s">
        <v>796</v>
      </c>
      <c r="B35" s="258" t="s">
        <v>60</v>
      </c>
      <c r="C35" s="263">
        <f>ROUND(C34*F35,0)</f>
        <v>7</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22</v>
      </c>
      <c r="D37" s="260">
        <f>'数据-汇总表'!E3</f>
        <v>1106.44</v>
      </c>
      <c r="E37" s="292">
        <f>'数据-取费表'!B35</f>
        <v>200</v>
      </c>
      <c r="F37" s="302"/>
      <c r="G37" s="304" t="s">
        <v>119</v>
      </c>
    </row>
    <row r="38" spans="1:7" ht="13.5" customHeight="1">
      <c r="A38" s="950" t="s">
        <v>799</v>
      </c>
      <c r="B38" s="258" t="s">
        <v>63</v>
      </c>
      <c r="C38" s="263">
        <f>ROUND(C34*F38,0)</f>
        <v>4</v>
      </c>
      <c r="D38" s="263"/>
      <c r="E38" s="263"/>
      <c r="F38" s="302">
        <f>'数据-取费表'!B36</f>
        <v>1.4999999999999999E-2</v>
      </c>
      <c r="G38" s="262" t="s">
        <v>117</v>
      </c>
    </row>
    <row r="39" spans="1:7" s="257" customFormat="1" ht="13.5" customHeight="1">
      <c r="A39" s="947" t="s">
        <v>783</v>
      </c>
      <c r="B39" s="253" t="s">
        <v>104</v>
      </c>
      <c r="C39" s="275">
        <f>ROUND(C33*F20,0)</f>
        <v>6</v>
      </c>
      <c r="D39" s="275"/>
      <c r="E39" s="275"/>
      <c r="F39" s="276"/>
      <c r="G39" s="1288" t="s">
        <v>1068</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3</v>
      </c>
      <c r="D41" s="278">
        <f ca="1">C44</f>
        <v>1E-4</v>
      </c>
      <c r="E41" s="279" t="s">
        <v>129</v>
      </c>
      <c r="F41" s="280"/>
      <c r="G41" s="1288" t="str">
        <f>IF('数据-取费表'!B22&lt;=1,"单利计息","复利计息")</f>
        <v>单利计息</v>
      </c>
    </row>
    <row r="42" spans="1:7" ht="13.5" customHeight="1">
      <c r="A42" s="950" t="s">
        <v>794</v>
      </c>
      <c r="B42" s="258" t="s">
        <v>1058</v>
      </c>
      <c r="C42" s="281">
        <f ca="1">ROUND(IF('数据-取费表'!B22&lt;=1,C33*F22*'数据-取费表'!B21/2,C33*(POWER((1+F22),'数据-取费表'!B21/2)-1)),0)</f>
        <v>3</v>
      </c>
      <c r="D42" s="281"/>
      <c r="E42" s="281"/>
      <c r="F42" s="282"/>
      <c r="G42" s="3159" t="s">
        <v>121</v>
      </c>
    </row>
    <row r="43" spans="1:7" ht="13.5" customHeight="1">
      <c r="A43" s="950" t="s">
        <v>792</v>
      </c>
      <c r="B43" s="258" t="s">
        <v>1061</v>
      </c>
      <c r="C43" s="281">
        <f ca="1">ROUND(IF('数据-取费表'!B22&lt;=1,C39*F22*'数据-取费表'!B21/2,C39*(POWER((1+F22),'数据-取费表'!B21/2)-1)),0)</f>
        <v>0</v>
      </c>
      <c r="D43" s="281"/>
      <c r="E43" s="281"/>
      <c r="F43" s="282"/>
      <c r="G43" s="3160"/>
    </row>
    <row r="44" spans="1:7" ht="13.5" customHeight="1">
      <c r="A44" s="950" t="s">
        <v>793</v>
      </c>
      <c r="B44" s="258" t="s">
        <v>1063</v>
      </c>
      <c r="C44" s="281">
        <f ca="1">ROUND(IF('数据-取费表'!B22&lt;=1,C40*F22*'数据-取费表'!B21/2,C40*(POWER((1+F22),'数据-取费表'!B21/2)-1)),4)</f>
        <v>1E-4</v>
      </c>
      <c r="D44" s="281"/>
      <c r="E44" s="281"/>
      <c r="F44" s="282"/>
      <c r="G44" s="3161"/>
    </row>
    <row r="45" spans="1:7" s="257" customFormat="1" ht="13.5" customHeight="1">
      <c r="A45" s="947" t="s">
        <v>786</v>
      </c>
      <c r="B45" s="287" t="s">
        <v>112</v>
      </c>
      <c r="C45" s="288">
        <f>C46</f>
        <v>14</v>
      </c>
      <c r="D45" s="278">
        <f>C47</f>
        <v>5.0000000000000001E-4</v>
      </c>
      <c r="E45" s="279" t="s">
        <v>129</v>
      </c>
      <c r="F45" s="289"/>
      <c r="G45" s="290" t="s">
        <v>1069</v>
      </c>
    </row>
    <row r="46" spans="1:7" s="257" customFormat="1" ht="13.5" customHeight="1">
      <c r="A46" s="950" t="s">
        <v>794</v>
      </c>
      <c r="B46" s="291" t="s">
        <v>1062</v>
      </c>
      <c r="C46" s="292">
        <f>ROUND((C33+C39)*F27,0)</f>
        <v>14</v>
      </c>
      <c r="D46" s="306"/>
      <c r="E46" s="279"/>
      <c r="F46" s="289"/>
      <c r="G46" s="290"/>
    </row>
    <row r="47" spans="1:7" s="257" customFormat="1" ht="13.5" customHeight="1">
      <c r="A47" s="950" t="s">
        <v>792</v>
      </c>
      <c r="B47" s="291" t="s">
        <v>1064</v>
      </c>
      <c r="C47" s="281">
        <f>ROUND(C40*F27,4)</f>
        <v>5.0000000000000001E-4</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319</v>
      </c>
      <c r="D49" s="275"/>
      <c r="E49" s="275"/>
      <c r="F49" s="307"/>
      <c r="G49" s="277" t="s">
        <v>1070</v>
      </c>
    </row>
    <row r="50" spans="1:7" s="301" customFormat="1" ht="24">
      <c r="A50" s="947" t="s">
        <v>789</v>
      </c>
      <c r="B50" s="253" t="s">
        <v>124</v>
      </c>
      <c r="C50" s="275"/>
      <c r="D50" s="275"/>
      <c r="E50" s="275"/>
      <c r="F50" s="307">
        <f>IF('数据-取费表'!B24=0,'数据-取费表'!N16,1)</f>
        <v>0.76500000000000001</v>
      </c>
      <c r="G50" s="290" t="s">
        <v>125</v>
      </c>
    </row>
    <row r="51" spans="1:7" ht="16.5" customHeight="1">
      <c r="A51" s="947" t="s">
        <v>790</v>
      </c>
      <c r="B51" s="253" t="s">
        <v>132</v>
      </c>
      <c r="C51" s="275">
        <f ca="1">ROUND(C49*F50,0)</f>
        <v>244</v>
      </c>
      <c r="D51" s="275"/>
      <c r="E51" s="275"/>
      <c r="F51" s="307"/>
      <c r="G51" s="277" t="s">
        <v>64</v>
      </c>
    </row>
    <row r="52" spans="1:7" s="251" customFormat="1" ht="16.8" thickBot="1">
      <c r="A52" s="308" t="s">
        <v>65</v>
      </c>
      <c r="B52" s="309"/>
      <c r="C52" s="310">
        <f ca="1">C31+C51</f>
        <v>24309</v>
      </c>
      <c r="D52" s="309"/>
      <c r="E52" s="309"/>
      <c r="F52" s="309"/>
      <c r="G52" s="311"/>
    </row>
    <row r="55" spans="1:7" ht="15">
      <c r="B55" s="313" t="s">
        <v>66</v>
      </c>
      <c r="C55" s="314"/>
    </row>
    <row r="56" spans="1:7">
      <c r="B56" s="316" t="s">
        <v>67</v>
      </c>
      <c r="C56" s="317">
        <f ca="1">ROUND(C51/C52,3)</f>
        <v>0.01</v>
      </c>
    </row>
    <row r="57" spans="1:7">
      <c r="B57" s="316" t="s">
        <v>68</v>
      </c>
      <c r="C57" s="318">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98" t="s">
        <v>156</v>
      </c>
      <c r="B1" s="3298"/>
      <c r="C1" s="3298"/>
      <c r="D1" s="3298"/>
      <c r="E1" s="3298"/>
      <c r="F1" s="329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99" t="s">
        <v>169</v>
      </c>
      <c r="B2" s="3299"/>
      <c r="C2" s="3299"/>
      <c r="D2" s="3299"/>
      <c r="E2" s="3299"/>
      <c r="F2" s="329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98" t="s">
        <v>868</v>
      </c>
      <c r="B1" s="3298"/>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43942</v>
      </c>
      <c r="D1" s="1699" t="s">
        <v>1297</v>
      </c>
      <c r="E1" s="1694">
        <f>'数据-取费表'!B22</f>
        <v>0.5</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3</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R46" sqref="R46"/>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1636</v>
      </c>
      <c r="B2" s="2994" t="s">
        <v>1637</v>
      </c>
      <c r="C2" s="2994" t="s">
        <v>1638</v>
      </c>
      <c r="D2" s="2994" t="str">
        <f>结果表!D116</f>
        <v>出让国有建设用地使用权价值</v>
      </c>
      <c r="E2" s="2994"/>
      <c r="F2" s="2994" t="str">
        <f>结果表!F116</f>
        <v>建筑物价值</v>
      </c>
      <c r="G2" s="2994"/>
      <c r="H2" s="2994" t="str">
        <f>IF(项目基本情况!B9="房地产市场价值","房地产市场价值","房地产价值")</f>
        <v>房地产价值</v>
      </c>
      <c r="I2" s="2994"/>
    </row>
    <row r="3" spans="1:9" ht="15.6">
      <c r="A3" s="2988"/>
      <c r="B3" s="2988"/>
      <c r="C3" s="2988"/>
      <c r="D3" s="1043" t="s">
        <v>1633</v>
      </c>
      <c r="E3" s="1043" t="s">
        <v>1639</v>
      </c>
      <c r="F3" s="1043" t="s">
        <v>1633</v>
      </c>
      <c r="G3" s="1043" t="s">
        <v>1634</v>
      </c>
      <c r="H3" s="1043" t="s">
        <v>1633</v>
      </c>
      <c r="I3" s="1043" t="s">
        <v>1634</v>
      </c>
    </row>
    <row r="4" spans="1:9" ht="45">
      <c r="A4" s="1972" t="str">
        <f>项目基本情况!S2</f>
        <v>北京市昌平区南口镇前洼村南液化气站工业用房房地产房地产</v>
      </c>
      <c r="B4" s="1043">
        <f>项目基本情况!C17</f>
        <v>1106.44</v>
      </c>
      <c r="C4" s="1043">
        <f>项目基本情况!C18</f>
        <v>8001.46</v>
      </c>
      <c r="D4" s="1043">
        <f ca="1">结果表!D118</f>
        <v>844</v>
      </c>
      <c r="E4" s="1043">
        <f ca="1">结果表!E118</f>
        <v>7628</v>
      </c>
      <c r="F4" s="1043">
        <f ca="1">结果表!F118</f>
        <v>244</v>
      </c>
      <c r="G4" s="1043">
        <f ca="1">结果表!G118</f>
        <v>2205</v>
      </c>
      <c r="H4" s="1043">
        <f ca="1">结果表!H118</f>
        <v>1088</v>
      </c>
      <c r="I4" s="1043">
        <f ca="1">结果表!I118</f>
        <v>9833</v>
      </c>
    </row>
    <row r="5" spans="1:9" ht="30" customHeight="1">
      <c r="A5" s="2988" t="s">
        <v>1635</v>
      </c>
      <c r="B5" s="2988"/>
      <c r="C5" s="2988"/>
      <c r="D5" s="2989" t="str">
        <f ca="1">结果表!D119</f>
        <v>捌佰肆拾肆万元整</v>
      </c>
      <c r="E5" s="2989"/>
      <c r="F5" s="2989" t="str">
        <f ca="1">结果表!F119</f>
        <v>贰佰肆拾肆万元整</v>
      </c>
      <c r="G5" s="2989"/>
      <c r="H5" s="2989" t="str">
        <f ca="1">结果表!H119</f>
        <v>壹仟零捌拾捌万元整</v>
      </c>
      <c r="I5" s="2989"/>
    </row>
    <row r="6" spans="1:9" ht="15.6">
      <c r="A6" s="2987" t="str">
        <f>结果表!A120</f>
        <v>估价师知悉的法定优先受偿款</v>
      </c>
      <c r="B6" s="2987"/>
      <c r="C6" s="2987"/>
      <c r="D6" s="2987">
        <f>结果表!D120</f>
        <v>0</v>
      </c>
      <c r="E6" s="2987"/>
      <c r="F6" s="2987"/>
      <c r="G6" s="2987"/>
      <c r="H6" s="2987"/>
      <c r="I6" s="2987"/>
    </row>
    <row r="7" spans="1:9" ht="15">
      <c r="A7" s="2988" t="s">
        <v>1635</v>
      </c>
      <c r="B7" s="2988"/>
      <c r="C7" s="2988"/>
      <c r="D7" s="2990" t="str">
        <f>结果表!D121</f>
        <v>零元整</v>
      </c>
      <c r="E7" s="2991"/>
      <c r="F7" s="2991"/>
      <c r="G7" s="2991"/>
      <c r="H7" s="2991"/>
      <c r="I7" s="2992"/>
    </row>
    <row r="8" spans="1:9" ht="15.6">
      <c r="A8" s="2987" t="str">
        <f>结果表!A122</f>
        <v>房地产抵押价值</v>
      </c>
      <c r="B8" s="2987"/>
      <c r="C8" s="2987"/>
      <c r="D8" s="2987">
        <f ca="1">结果表!D122</f>
        <v>1088</v>
      </c>
      <c r="E8" s="2987"/>
      <c r="F8" s="2987"/>
      <c r="G8" s="2987"/>
      <c r="H8" s="2987"/>
      <c r="I8" s="2987"/>
    </row>
    <row r="9" spans="1:9" ht="15">
      <c r="A9" s="2988" t="s">
        <v>1635</v>
      </c>
      <c r="B9" s="2988"/>
      <c r="C9" s="2988"/>
      <c r="D9" s="2989" t="str">
        <f ca="1">结果表!D123</f>
        <v>壹仟零捌拾捌万元整</v>
      </c>
      <c r="E9" s="2989"/>
      <c r="F9" s="2989"/>
      <c r="G9" s="2989"/>
      <c r="H9" s="2989"/>
      <c r="I9" s="2989"/>
    </row>
    <row r="10" spans="1:9" ht="15.6">
      <c r="A10" s="2987" t="str">
        <f>结果表!A124</f>
        <v/>
      </c>
      <c r="B10" s="2987"/>
      <c r="C10" s="2987"/>
      <c r="D10" s="2987" t="str">
        <f>结果表!D124</f>
        <v>——</v>
      </c>
      <c r="E10" s="2987"/>
      <c r="F10" s="2987"/>
      <c r="G10" s="2987"/>
      <c r="H10" s="2987"/>
      <c r="I10" s="2987"/>
    </row>
    <row r="11" spans="1:9" ht="15">
      <c r="A11" s="2988" t="s">
        <v>1635</v>
      </c>
      <c r="B11" s="2988"/>
      <c r="C11" s="2988"/>
      <c r="D11" s="2989" t="e">
        <f>结果表!D125</f>
        <v>#VALUE!</v>
      </c>
      <c r="E11" s="2989"/>
      <c r="F11" s="2989"/>
      <c r="G11" s="2989"/>
      <c r="H11" s="2989"/>
      <c r="I11" s="2989"/>
    </row>
    <row r="12" spans="1:9" ht="15.6">
      <c r="A12" s="2987" t="str">
        <f>结果表!A126</f>
        <v>抵押净值</v>
      </c>
      <c r="B12" s="2987"/>
      <c r="C12" s="2987"/>
      <c r="D12" s="2987">
        <f ca="1">结果表!D126</f>
        <v>1017</v>
      </c>
      <c r="E12" s="2987"/>
      <c r="F12" s="2987"/>
      <c r="G12" s="2987"/>
      <c r="H12" s="2987"/>
      <c r="I12" s="2987"/>
    </row>
    <row r="13" spans="1:9" ht="15.6" thickBot="1">
      <c r="A13" s="2984" t="s">
        <v>1635</v>
      </c>
      <c r="B13" s="2984"/>
      <c r="C13" s="2984"/>
      <c r="D13" s="2985" t="str">
        <f ca="1">结果表!D127</f>
        <v>壹仟零壹拾柒万元整</v>
      </c>
      <c r="E13" s="2985"/>
      <c r="F13" s="2985"/>
      <c r="G13" s="2985"/>
      <c r="H13" s="2985"/>
      <c r="I13" s="2985"/>
    </row>
    <row r="14" spans="1:9" ht="14.4" thickTop="1">
      <c r="A14" s="2986" t="s">
        <v>1640</v>
      </c>
      <c r="B14" s="2986"/>
      <c r="C14" s="2986"/>
      <c r="D14" s="2986"/>
      <c r="E14" s="2986"/>
      <c r="F14" s="2986"/>
      <c r="G14" s="2986"/>
      <c r="H14" s="2986"/>
      <c r="I14" s="2986"/>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01" t="s">
        <v>1657</v>
      </c>
      <c r="B1" s="3001"/>
      <c r="C1" s="3001"/>
      <c r="D1" s="3001"/>
    </row>
    <row r="2" spans="1:4" ht="17.399999999999999">
      <c r="A2" s="3002" t="s">
        <v>1641</v>
      </c>
      <c r="B2" s="3002"/>
      <c r="C2" s="3002"/>
      <c r="D2" s="3002"/>
    </row>
    <row r="3" spans="1:4" ht="17.399999999999999">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7.399999999999999">
      <c r="A6" s="3002" t="s">
        <v>1647</v>
      </c>
      <c r="B6" s="3002"/>
      <c r="C6" s="3002"/>
      <c r="D6" s="3002"/>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7"/>
      <c r="B9" s="727"/>
      <c r="C9" s="727"/>
      <c r="D9" s="727"/>
    </row>
    <row r="10" spans="1:4" ht="17.399999999999999">
      <c r="A10" s="1983" t="s">
        <v>1649</v>
      </c>
      <c r="B10" s="727"/>
      <c r="C10" s="727"/>
      <c r="D10" s="727"/>
    </row>
    <row r="11" spans="1:4" ht="30" customHeight="1">
      <c r="A11" s="3003" t="s">
        <v>1650</v>
      </c>
      <c r="B11" s="2995"/>
      <c r="C11" s="2995"/>
      <c r="D11" s="2995"/>
    </row>
    <row r="12" spans="1:4" ht="15.6">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7" t="s">
        <v>1651</v>
      </c>
      <c r="B16" s="2997"/>
      <c r="C16" s="2997"/>
      <c r="D16" s="2997"/>
    </row>
    <row r="17" spans="1:4" ht="144" customHeight="1">
      <c r="A17" s="2997" t="s">
        <v>1652</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1653</v>
      </c>
      <c r="B22" s="2999"/>
      <c r="C22" s="2999"/>
      <c r="D22" s="2999"/>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3009" t="s">
        <v>1664</v>
      </c>
      <c r="B15" s="3004" t="s">
        <v>136</v>
      </c>
      <c r="C15" s="3005"/>
    </row>
    <row r="16" spans="1:7" ht="14.4">
      <c r="A16" s="3010"/>
      <c r="B16" s="3004" t="s">
        <v>69</v>
      </c>
      <c r="C16" s="3005"/>
    </row>
    <row r="17" spans="1:3" ht="14.4">
      <c r="A17" s="3010"/>
      <c r="B17" s="3007" t="s">
        <v>1665</v>
      </c>
      <c r="C17" s="1999" t="s">
        <v>1664</v>
      </c>
    </row>
    <row r="18" spans="1:3" ht="14.4">
      <c r="A18" s="3010"/>
      <c r="B18" s="3007"/>
      <c r="C18" s="1999" t="s">
        <v>1666</v>
      </c>
    </row>
    <row r="19" spans="1:3" ht="14.4">
      <c r="A19" s="3010"/>
      <c r="B19" s="3007"/>
      <c r="C19" s="1999" t="s">
        <v>1667</v>
      </c>
    </row>
    <row r="20" spans="1:3" ht="14.4">
      <c r="A20" s="3011"/>
      <c r="B20" s="3006" t="s">
        <v>1668</v>
      </c>
      <c r="C20" s="3005"/>
    </row>
    <row r="21" spans="1:3" ht="14.4">
      <c r="A21" s="2000" t="s">
        <v>1669</v>
      </c>
      <c r="B21" s="2001"/>
      <c r="C21" s="2002"/>
    </row>
    <row r="22" spans="1:3" ht="14.4">
      <c r="A22" s="3008" t="s">
        <v>1670</v>
      </c>
      <c r="B22" s="3006" t="s">
        <v>1671</v>
      </c>
      <c r="C22" s="3005"/>
    </row>
    <row r="23" spans="1:3" ht="14.4">
      <c r="A23" s="3008"/>
      <c r="B23" s="3006" t="s">
        <v>1672</v>
      </c>
      <c r="C23" s="3005"/>
    </row>
    <row r="24" spans="1:3" ht="14.4">
      <c r="A24" s="3008"/>
      <c r="B24" s="3006" t="s">
        <v>1673</v>
      </c>
      <c r="C24" s="3005"/>
    </row>
    <row r="25" spans="1:3" ht="14.4">
      <c r="A25" s="3008"/>
      <c r="B25" s="3007" t="s">
        <v>1674</v>
      </c>
      <c r="C25" s="1999" t="s">
        <v>1675</v>
      </c>
    </row>
    <row r="26" spans="1:3" ht="14.4">
      <c r="A26" s="3008"/>
      <c r="B26" s="3007"/>
      <c r="C26" s="1999" t="s">
        <v>1676</v>
      </c>
    </row>
    <row r="27" spans="1:3" ht="14.4">
      <c r="A27" s="3008"/>
      <c r="B27" s="3007"/>
      <c r="C27" s="1999" t="s">
        <v>1677</v>
      </c>
    </row>
    <row r="28" spans="1:3" ht="14.4">
      <c r="A28" s="3008"/>
      <c r="B28" s="3007"/>
      <c r="C28" s="1999" t="s">
        <v>1678</v>
      </c>
    </row>
    <row r="29" spans="1:3" ht="14.4">
      <c r="A29" s="3008"/>
      <c r="B29" s="3007"/>
      <c r="C29" s="1999" t="s">
        <v>1679</v>
      </c>
    </row>
    <row r="30" spans="1:3" ht="14.4">
      <c r="A30" s="3008"/>
      <c r="B30" s="3007"/>
      <c r="C30" s="1999" t="s">
        <v>1680</v>
      </c>
    </row>
    <row r="31" spans="1:3" ht="14.4">
      <c r="A31" s="3008"/>
      <c r="B31" s="3007"/>
      <c r="C31" s="1999" t="s">
        <v>1681</v>
      </c>
    </row>
    <row r="32" spans="1:3" ht="14.4">
      <c r="A32" s="3008"/>
      <c r="B32" s="3007"/>
      <c r="C32" s="1999" t="s">
        <v>1682</v>
      </c>
    </row>
    <row r="33" spans="1:3" ht="14.4">
      <c r="A33" s="3008"/>
      <c r="B33" s="3007"/>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43943</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t="str">
        <f ca="1">IF(C4&lt;B2,"已过期",1119970066)</f>
        <v>已过期</v>
      </c>
      <c r="C4" s="2344">
        <v>43849</v>
      </c>
      <c r="D4" s="2347" t="s">
        <v>832</v>
      </c>
      <c r="E4" s="1021">
        <f ca="1">IF(F4&lt;B2,"已过期",96010014)</f>
        <v>96010014</v>
      </c>
      <c r="F4" s="1029">
        <v>47118</v>
      </c>
    </row>
    <row r="5" spans="1:6" ht="24" customHeight="1">
      <c r="A5" s="1701" t="s">
        <v>833</v>
      </c>
      <c r="B5" s="1021" t="str">
        <f ca="1">IF(C5&lt;B2,"已过期",1119970074)</f>
        <v>已过期</v>
      </c>
      <c r="C5" s="2344">
        <v>43849</v>
      </c>
      <c r="D5" s="2347" t="s">
        <v>833</v>
      </c>
      <c r="E5" s="1021">
        <f ca="1">IF(F5&lt;B2,"已过期",2002110027)</f>
        <v>2002110027</v>
      </c>
      <c r="F5" s="1029">
        <v>46752</v>
      </c>
    </row>
    <row r="6" spans="1:6" ht="24" customHeight="1">
      <c r="A6" s="1701" t="s">
        <v>834</v>
      </c>
      <c r="B6" s="1021" t="str">
        <f ca="1">IF(C6&lt;B2,"已过期",1119970111)</f>
        <v>已过期</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t="str">
        <f ca="1">IF(C8&lt;B2,"已过期",1120000080)</f>
        <v>已过期</v>
      </c>
      <c r="C8" s="2344">
        <v>43849</v>
      </c>
      <c r="D8" s="2347" t="s">
        <v>836</v>
      </c>
      <c r="E8" s="1021">
        <f ca="1">IF(F8&lt;B2,"已过期",2000110082)</f>
        <v>2000110082</v>
      </c>
      <c r="F8" s="1029">
        <v>46387</v>
      </c>
    </row>
    <row r="9" spans="1:6" ht="24" customHeight="1">
      <c r="A9" s="1701" t="s">
        <v>837</v>
      </c>
      <c r="B9" s="1021" t="str">
        <f ca="1">IF(C9&lt;B2,"已过期",1419970001)</f>
        <v>已过期</v>
      </c>
      <c r="C9" s="2344">
        <v>43867</v>
      </c>
      <c r="D9" s="2347" t="s">
        <v>837</v>
      </c>
      <c r="E9" s="1021">
        <f ca="1">IF(F9&lt;B2,"已过期",2002110125)</f>
        <v>2002110125</v>
      </c>
      <c r="F9" s="1029">
        <v>47118</v>
      </c>
    </row>
    <row r="10" spans="1:6" ht="24" customHeight="1">
      <c r="A10" s="1701" t="s">
        <v>838</v>
      </c>
      <c r="B10" s="1021">
        <f ca="1">IF(C10&lt;B2,"已过期",1120060040)</f>
        <v>1120060040</v>
      </c>
      <c r="C10" s="2344">
        <v>44554</v>
      </c>
      <c r="D10" s="2347" t="s">
        <v>838</v>
      </c>
      <c r="E10" s="1021">
        <f ca="1">IF(F10&lt;B2,"已过期",2004110096)</f>
        <v>2004110096</v>
      </c>
      <c r="F10" s="1029">
        <v>47118</v>
      </c>
    </row>
    <row r="11" spans="1:6" ht="24" customHeight="1">
      <c r="A11" s="1701" t="s">
        <v>839</v>
      </c>
      <c r="B11" s="1021">
        <f ca="1">IF(C11&lt;B2,"已过期",1120100036)</f>
        <v>1120100036</v>
      </c>
      <c r="C11" s="2344">
        <v>44675</v>
      </c>
      <c r="D11" s="2347"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t="str">
        <f ca="1">IF(C13&lt;B2,"已过期",1120070131)</f>
        <v>已过期</v>
      </c>
      <c r="C13" s="2344">
        <v>43814</v>
      </c>
      <c r="D13" s="2347" t="s">
        <v>840</v>
      </c>
      <c r="E13" s="1021">
        <f ca="1">IF(F13&lt;B2,"已过期",2014110011)</f>
        <v>2014110011</v>
      </c>
      <c r="F13" s="1029">
        <v>49302</v>
      </c>
    </row>
    <row r="14" spans="1:6" ht="24" customHeight="1">
      <c r="A14" s="1701" t="s">
        <v>3037</v>
      </c>
      <c r="B14" s="1021" t="str">
        <f ca="1">IF(C14&lt;B2,"已过期",1120040230)</f>
        <v>已过期</v>
      </c>
      <c r="C14" s="2344">
        <v>43835</v>
      </c>
      <c r="D14" s="2347" t="s">
        <v>3037</v>
      </c>
      <c r="E14" s="1021">
        <f ca="1">IF(F14&lt;B2,"已过期",98030020)</f>
        <v>98030020</v>
      </c>
      <c r="F14" s="1029">
        <v>47118</v>
      </c>
    </row>
    <row r="15" spans="1:6" ht="24" customHeight="1">
      <c r="A15" s="1702" t="s">
        <v>3038</v>
      </c>
      <c r="B15" s="1021" t="str">
        <f ca="1">IF(C15&lt;B2,"已过期",1120070085)</f>
        <v>已过期</v>
      </c>
      <c r="C15" s="2344">
        <v>43814</v>
      </c>
      <c r="D15" s="2348" t="s">
        <v>3038</v>
      </c>
      <c r="E15" s="1021">
        <f ca="1">IF(F15&lt;B2,"已过期",2004110128)</f>
        <v>2004110128</v>
      </c>
      <c r="F15" s="1022">
        <v>47118</v>
      </c>
    </row>
    <row r="16" spans="1:6" ht="24" customHeight="1">
      <c r="A16" s="1701" t="s">
        <v>3039</v>
      </c>
      <c r="B16" s="1021">
        <f ca="1">IF(C16&lt;B2,"已过期",1120140022)</f>
        <v>1120140022</v>
      </c>
      <c r="C16" s="2927">
        <v>44029</v>
      </c>
      <c r="D16" s="2347" t="s">
        <v>3039</v>
      </c>
      <c r="E16" s="1021">
        <f ca="1">IF(F16&lt;B2,"已过期",2008110059)</f>
        <v>2008110059</v>
      </c>
      <c r="F16" s="1029">
        <v>47177</v>
      </c>
    </row>
    <row r="17" spans="1:7" ht="24" customHeight="1">
      <c r="A17" s="1701"/>
      <c r="B17" s="1021"/>
      <c r="C17" s="2344"/>
      <c r="D17" s="2347" t="s">
        <v>3040</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27">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1329</v>
      </c>
      <c r="B24" s="1702" t="s">
        <v>1329</v>
      </c>
      <c r="C24" s="2345" t="s">
        <v>1329</v>
      </c>
      <c r="D24" s="2348" t="s">
        <v>1329</v>
      </c>
      <c r="E24" s="1702" t="s">
        <v>1329</v>
      </c>
      <c r="F24" s="1702" t="s">
        <v>1329</v>
      </c>
    </row>
    <row r="25" spans="1:7" ht="24" customHeight="1">
      <c r="A25" s="3012" t="s">
        <v>843</v>
      </c>
      <c r="B25" s="3012"/>
      <c r="C25" s="3012"/>
      <c r="D25" s="3012"/>
      <c r="E25" s="3012"/>
      <c r="F25" s="3012"/>
      <c r="G25" s="3012"/>
    </row>
    <row r="26" spans="1:7" s="1024" customFormat="1" ht="24" customHeight="1">
      <c r="A26" s="3013" t="s">
        <v>844</v>
      </c>
      <c r="B26" s="3013"/>
      <c r="C26" s="3014"/>
      <c r="D26" s="3015" t="s">
        <v>845</v>
      </c>
      <c r="E26" s="3013"/>
      <c r="F26" s="3013"/>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3046</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2020-04-22T06:19:54Z</dcterms:modified>
</cp:coreProperties>
</file>