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30北京市朝阳区广顺北大街18号院9幢-3层-3-556及-2层-2-276号\"/>
    </mc:Choice>
  </mc:AlternateContent>
  <bookViews>
    <workbookView xWindow="0" yWindow="0" windowWidth="19008" windowHeight="13284"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r:id="rId40"/>
    <sheet name="区片价（范围）" sheetId="75" state="hidden" r:id="rId41"/>
    <sheet name="Sheet2" sheetId="80"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区片价!$J$1:$J$21</definedName>
    <definedName name="二级分类" localSheetId="41">[1]修正!$C$19:$C$51</definedName>
    <definedName name="二级分类">修正!$C$19:$C$51</definedName>
    <definedName name="法定最高年限" localSheetId="41">[1]定义!$G$1:$G$6</definedName>
    <definedName name="法定最高年限">定义!$G$1:$G$6</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区片价!$N$1:$N$64</definedName>
    <definedName name="内部装修维护情况" localSheetId="41">[1]定义!$U$1:$U$6</definedName>
    <definedName name="内部装修维护情况">定义!$U$1:$U$6</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区片价!$K$1:$K$26</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修正!$C$71:$C$138</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区片价!$M$1:$M$41</definedName>
    <definedName name="项目类型" localSheetId="41">'[1]数据-汇总表'!$C$17:$C$26</definedName>
    <definedName name="项目类型" localSheetId="24">'[2]数据-汇总表'!$C$17:$C$26</definedName>
    <definedName name="项目类型">'数据-汇总表'!$C$17:$C$26</definedName>
    <definedName name="写字楼等级" localSheetId="41">'[1]比较法-办公'!$B$113:$M$113</definedName>
    <definedName name="写字楼等级">'比较法-办公'!$B$113:$M$113</definedName>
    <definedName name="一级">区片价!$I$1:$I$6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52511"/>
</workbook>
</file>

<file path=xl/calcChain.xml><?xml version="1.0" encoding="utf-8"?>
<calcChain xmlns="http://schemas.openxmlformats.org/spreadsheetml/2006/main">
  <c r="Y6" i="1" l="1"/>
  <c r="B14" i="74" l="1"/>
  <c r="D5" i="9" l="1"/>
  <c r="D42" i="43"/>
  <c r="D33" i="43"/>
  <c r="G44" i="43"/>
  <c r="N17" i="1"/>
  <c r="G19" i="6"/>
  <c r="D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AH34" i="79"/>
  <c r="W34" i="79"/>
  <c r="AK34" i="79" s="1"/>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15" i="79"/>
  <c r="AK15" i="79" s="1"/>
  <c r="AH15" i="79"/>
  <c r="W13" i="79"/>
  <c r="AK13" i="79" s="1"/>
  <c r="AH13" i="79"/>
  <c r="W48" i="79"/>
  <c r="AK48" i="79" s="1"/>
  <c r="AH48" i="79"/>
  <c r="W43" i="79"/>
  <c r="AK43" i="79" s="1"/>
  <c r="AH43" i="79"/>
  <c r="W23" i="79"/>
  <c r="AK23" i="79" s="1"/>
  <c r="AH23" i="79"/>
  <c r="W12" i="79"/>
  <c r="AK12" i="79" s="1"/>
  <c r="AH12" i="79"/>
  <c r="W45" i="79"/>
  <c r="AK45" i="79" s="1"/>
  <c r="AH45"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J5" i="3" s="1"/>
  <c r="BK493" i="3"/>
  <c r="BM493" i="3"/>
  <c r="BN493" i="3"/>
  <c r="BO493" i="3"/>
  <c r="BO5" i="3" s="1"/>
  <c r="BP493" i="3"/>
  <c r="BR493" i="3"/>
  <c r="BS493" i="3"/>
  <c r="BT493" i="3"/>
  <c r="BT5" i="3" s="1"/>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H5" i="3" s="1"/>
  <c r="BI496" i="3"/>
  <c r="BJ496" i="3"/>
  <c r="BK496" i="3"/>
  <c r="BM496" i="3"/>
  <c r="BM5" i="3" s="1"/>
  <c r="F29" i="6" s="1"/>
  <c r="BN496" i="3"/>
  <c r="BO496" i="3"/>
  <c r="BP496" i="3"/>
  <c r="BQ496" i="3"/>
  <c r="BR496" i="3"/>
  <c r="BS496" i="3"/>
  <c r="BT496" i="3"/>
  <c r="H497" i="3"/>
  <c r="AC497" i="3"/>
  <c r="BB497" i="3"/>
  <c r="BC497" i="3"/>
  <c r="BD497" i="3"/>
  <c r="BE497" i="3"/>
  <c r="BF497" i="3"/>
  <c r="BG497" i="3"/>
  <c r="BH497" i="3"/>
  <c r="BI497" i="3"/>
  <c r="BJ497" i="3"/>
  <c r="BK497" i="3"/>
  <c r="BM497" i="3"/>
  <c r="BL497" i="3" s="1"/>
  <c r="BN497" i="3"/>
  <c r="BO497" i="3"/>
  <c r="BP497" i="3"/>
  <c r="BR497" i="3"/>
  <c r="BR5" i="3" s="1"/>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65"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J35" i="34"/>
  <c r="U34" i="34"/>
  <c r="H39" i="33"/>
  <c r="AB39" i="33" s="1"/>
  <c r="U33" i="33"/>
  <c r="S40" i="33"/>
  <c r="W33" i="33"/>
  <c r="W39" i="33"/>
  <c r="S27" i="35"/>
  <c r="F11" i="40"/>
  <c r="AA11" i="40" s="1"/>
  <c r="H11" i="40"/>
  <c r="AB11" i="40"/>
  <c r="W8" i="40"/>
  <c r="AB39" i="40"/>
  <c r="U9"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AA41"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H44" i="21"/>
  <c r="U44" i="21" s="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H14" i="33"/>
  <c r="U14" i="33" s="1"/>
  <c r="F14" i="33"/>
  <c r="S14" i="33" s="1"/>
  <c r="H30" i="33"/>
  <c r="AB30" i="33"/>
  <c r="F30" i="33"/>
  <c r="J30" i="33"/>
  <c r="H44" i="33"/>
  <c r="J44" i="33"/>
  <c r="J46" i="33"/>
  <c r="AC46" i="33" s="1"/>
  <c r="F46" i="33"/>
  <c r="AA46" i="33" s="1"/>
  <c r="H46" i="33"/>
  <c r="AB46" i="33"/>
  <c r="H13" i="34"/>
  <c r="U13" i="34" s="1"/>
  <c r="F13" i="34"/>
  <c r="AA13" i="34" s="1"/>
  <c r="J29" i="34"/>
  <c r="AC29" i="34" s="1"/>
  <c r="F29" i="34"/>
  <c r="S29" i="34" s="1"/>
  <c r="H29" i="34"/>
  <c r="AB29" i="34" s="1"/>
  <c r="J31" i="34"/>
  <c r="AC31" i="34" s="1"/>
  <c r="F31" i="34"/>
  <c r="S31" i="34" s="1"/>
  <c r="H45" i="34"/>
  <c r="U45" i="34" s="1"/>
  <c r="J45" i="34"/>
  <c r="W45" i="34"/>
  <c r="F45" i="34"/>
  <c r="S45"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J13" i="37"/>
  <c r="W13" i="37" s="1"/>
  <c r="F28" i="37"/>
  <c r="AA28" i="37" s="1"/>
  <c r="J28" i="37"/>
  <c r="AC28" i="37" s="1"/>
  <c r="H28" i="37"/>
  <c r="H38" i="37"/>
  <c r="AB38" i="37" s="1"/>
  <c r="F38" i="37"/>
  <c r="S38" i="37" s="1"/>
  <c r="F43" i="39"/>
  <c r="AA43" i="39" s="1"/>
  <c r="H43" i="39"/>
  <c r="J14" i="39"/>
  <c r="AC14" i="39" s="1"/>
  <c r="F12" i="40"/>
  <c r="S12" i="40"/>
  <c r="H30" i="40"/>
  <c r="AB30"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BA586" i="3"/>
  <c r="BA585" i="3"/>
  <c r="F17" i="21"/>
  <c r="AA17" i="21" s="1"/>
  <c r="H17" i="21"/>
  <c r="AB17" i="21" s="1"/>
  <c r="F15" i="21"/>
  <c r="S15" i="21" s="1"/>
  <c r="J41" i="39"/>
  <c r="W41" i="39" s="1"/>
  <c r="W44" i="39"/>
  <c r="S35" i="39"/>
  <c r="G544" i="3"/>
  <c r="G536" i="3"/>
  <c r="G531" i="3"/>
  <c r="G528" i="3"/>
  <c r="G523" i="3"/>
  <c r="G514" i="3"/>
  <c r="G508" i="3"/>
  <c r="G500" i="3"/>
  <c r="G496" i="3"/>
  <c r="G584" i="3"/>
  <c r="G580" i="3"/>
  <c r="G576" i="3"/>
  <c r="G572" i="3"/>
  <c r="G568" i="3"/>
  <c r="G564" i="3"/>
  <c r="G554" i="3"/>
  <c r="G550" i="3"/>
  <c r="BL584" i="3"/>
  <c r="BL580" i="3"/>
  <c r="BL576" i="3"/>
  <c r="BL572" i="3"/>
  <c r="BL534" i="3"/>
  <c r="BL498" i="3"/>
  <c r="BL582" i="3"/>
  <c r="BL578" i="3"/>
  <c r="BL574" i="3"/>
  <c r="BL570" i="3"/>
  <c r="BL536" i="3"/>
  <c r="G529" i="3"/>
  <c r="BL514" i="3"/>
  <c r="G493" i="3"/>
  <c r="BA584" i="3"/>
  <c r="BA582" i="3"/>
  <c r="AZ582" i="3" s="1"/>
  <c r="BA580" i="3"/>
  <c r="AZ580" i="3" s="1"/>
  <c r="BA578" i="3"/>
  <c r="BA576" i="3"/>
  <c r="BA574" i="3"/>
  <c r="BA572" i="3"/>
  <c r="BA570" i="3"/>
  <c r="AZ570" i="3" s="1"/>
  <c r="BA566" i="3"/>
  <c r="BA554" i="3"/>
  <c r="AZ554" i="3" s="1"/>
  <c r="BA542" i="3"/>
  <c r="BA520" i="3"/>
  <c r="AZ520" i="3" s="1"/>
  <c r="BA508" i="3"/>
  <c r="BA496" i="3"/>
  <c r="BA583" i="3"/>
  <c r="BA581" i="3"/>
  <c r="BA579" i="3"/>
  <c r="BA577" i="3"/>
  <c r="BA575" i="3"/>
  <c r="BA573" i="3"/>
  <c r="BA571" i="3"/>
  <c r="BA567" i="3"/>
  <c r="BA555" i="3"/>
  <c r="BA537" i="3"/>
  <c r="BA519" i="3"/>
  <c r="BA501" i="3"/>
  <c r="AZ501" i="3" s="1"/>
  <c r="G583" i="3"/>
  <c r="G581" i="3"/>
  <c r="G579" i="3"/>
  <c r="G577" i="3"/>
  <c r="G575" i="3"/>
  <c r="G573" i="3"/>
  <c r="G571" i="3"/>
  <c r="G567" i="3"/>
  <c r="G565" i="3"/>
  <c r="G563" i="3"/>
  <c r="AC557" i="3"/>
  <c r="G557" i="3" s="1"/>
  <c r="BQ557" i="3"/>
  <c r="BQ583" i="3"/>
  <c r="BL583" i="3" s="1"/>
  <c r="BQ581" i="3"/>
  <c r="BL581" i="3" s="1"/>
  <c r="BQ579" i="3"/>
  <c r="BL579" i="3" s="1"/>
  <c r="BQ577" i="3"/>
  <c r="BL577" i="3" s="1"/>
  <c r="AZ577" i="3" s="1"/>
  <c r="BQ575" i="3"/>
  <c r="BL575" i="3" s="1"/>
  <c r="BQ573" i="3"/>
  <c r="BL573" i="3" s="1"/>
  <c r="BQ571" i="3"/>
  <c r="BL571" i="3"/>
  <c r="BQ569" i="3"/>
  <c r="BQ567" i="3"/>
  <c r="BL567" i="3"/>
  <c r="BQ565" i="3"/>
  <c r="BL565" i="3" s="1"/>
  <c r="BQ563" i="3"/>
  <c r="BQ561" i="3"/>
  <c r="BQ559" i="3"/>
  <c r="G555" i="3"/>
  <c r="G549" i="3"/>
  <c r="G547" i="3"/>
  <c r="G545" i="3"/>
  <c r="G539" i="3"/>
  <c r="G537" i="3"/>
  <c r="BQ555" i="3"/>
  <c r="BQ553" i="3"/>
  <c r="BL553" i="3" s="1"/>
  <c r="BQ551" i="3"/>
  <c r="BQ549" i="3"/>
  <c r="BQ547" i="3"/>
  <c r="BQ545" i="3"/>
  <c r="BQ543" i="3"/>
  <c r="BQ541" i="3"/>
  <c r="BQ539" i="3"/>
  <c r="BQ537" i="3"/>
  <c r="BQ535" i="3"/>
  <c r="BL535" i="3" s="1"/>
  <c r="BQ533" i="3"/>
  <c r="BQ531" i="3"/>
  <c r="BQ529" i="3"/>
  <c r="BL529" i="3"/>
  <c r="BQ527" i="3"/>
  <c r="BQ525" i="3"/>
  <c r="BQ523" i="3"/>
  <c r="AC521" i="3"/>
  <c r="G521" i="3" s="1"/>
  <c r="BQ521" i="3"/>
  <c r="BL520" i="3"/>
  <c r="G517" i="3"/>
  <c r="G515" i="3"/>
  <c r="G513" i="3"/>
  <c r="BQ519" i="3"/>
  <c r="BQ517" i="3"/>
  <c r="BQ515" i="3"/>
  <c r="BQ513" i="3"/>
  <c r="BQ511" i="3"/>
  <c r="AC509" i="3"/>
  <c r="BQ509" i="3"/>
  <c r="G505" i="3"/>
  <c r="G503" i="3"/>
  <c r="G501" i="3"/>
  <c r="G497" i="3"/>
  <c r="G495" i="3"/>
  <c r="BQ507" i="3"/>
  <c r="BQ505" i="3"/>
  <c r="BL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c r="H32" i="40"/>
  <c r="AB32" i="40" s="1"/>
  <c r="J36" i="40"/>
  <c r="W36" i="40"/>
  <c r="H19" i="37"/>
  <c r="AB19" i="37" s="1"/>
  <c r="H42" i="33"/>
  <c r="AB42" i="33" s="1"/>
  <c r="J43" i="33"/>
  <c r="AC43" i="33" s="1"/>
  <c r="S28" i="31"/>
  <c r="S27" i="31"/>
  <c r="S26" i="31"/>
  <c r="U14" i="40"/>
  <c r="W23" i="35"/>
  <c r="U26" i="37"/>
  <c r="AA13" i="33"/>
  <c r="AC31" i="33"/>
  <c r="AC45" i="33"/>
  <c r="U11" i="33"/>
  <c r="U19"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W35" i="40"/>
  <c r="A118" i="9"/>
  <c r="J11" i="39"/>
  <c r="W11" i="39"/>
  <c r="F11" i="39"/>
  <c r="S11" i="39" s="1"/>
  <c r="AA11" i="39"/>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120" i="3"/>
  <c r="G530" i="3"/>
  <c r="G522" i="3"/>
  <c r="G516"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29" i="3"/>
  <c r="BA379" i="3"/>
  <c r="AZ379" i="3" s="1"/>
  <c r="BL380" i="3"/>
  <c r="G381" i="3"/>
  <c r="BA383" i="3"/>
  <c r="AZ383" i="3" s="1"/>
  <c r="BL384" i="3"/>
  <c r="AZ384" i="3" s="1"/>
  <c r="G385" i="3"/>
  <c r="BA387" i="3"/>
  <c r="AZ387" i="3" s="1"/>
  <c r="BL388" i="3"/>
  <c r="G389" i="3"/>
  <c r="BA391" i="3"/>
  <c r="BL392" i="3"/>
  <c r="G393" i="3"/>
  <c r="AZ291" i="3"/>
  <c r="BD5" i="3"/>
  <c r="G538" i="3"/>
  <c r="G502" i="3"/>
  <c r="BI5" i="3"/>
  <c r="G17" i="3"/>
  <c r="BA17" i="3"/>
  <c r="AZ356" i="3"/>
  <c r="BA15" i="3"/>
  <c r="AZ15" i="3" s="1"/>
  <c r="AZ392" i="3"/>
  <c r="G509" i="3"/>
  <c r="BL493" i="3"/>
  <c r="U36" i="40"/>
  <c r="F83" i="43"/>
  <c r="H85" i="43" s="1"/>
  <c r="F50" i="43"/>
  <c r="H54" i="43" s="1"/>
  <c r="F72" i="43"/>
  <c r="H75" i="43" s="1"/>
  <c r="U17" i="39"/>
  <c r="S14" i="35"/>
  <c r="U43" i="21"/>
  <c r="U35" i="21"/>
  <c r="AC35" i="21"/>
  <c r="AC11" i="39"/>
  <c r="W37" i="37"/>
  <c r="W44" i="34"/>
  <c r="AC44" i="34"/>
  <c r="S15" i="37"/>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c r="F20" i="35"/>
  <c r="AA20" i="35" s="1"/>
  <c r="AB23" i="35"/>
  <c r="AB29" i="36"/>
  <c r="U29" i="36"/>
  <c r="H32" i="37"/>
  <c r="AB32" i="37" s="1"/>
  <c r="F96" i="37"/>
  <c r="H27" i="40"/>
  <c r="AB27" i="40" s="1"/>
  <c r="U27" i="40"/>
  <c r="J27" i="40"/>
  <c r="AC27" i="40" s="1"/>
  <c r="F27" i="40"/>
  <c r="AA27" i="40" s="1"/>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71" i="3"/>
  <c r="AZ13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12" i="3"/>
  <c r="AZ433" i="3"/>
  <c r="W12" i="33"/>
  <c r="AC12" i="33"/>
  <c r="AA32" i="36"/>
  <c r="S32" i="36"/>
  <c r="AZ437" i="3"/>
  <c r="BL14" i="3"/>
  <c r="U30" i="33"/>
  <c r="AC13" i="34"/>
  <c r="AA47" i="34"/>
  <c r="W28" i="37"/>
  <c r="F12" i="33"/>
  <c r="H12" i="39"/>
  <c r="U12" i="39" s="1"/>
  <c r="AB12" i="39"/>
  <c r="F39" i="40"/>
  <c r="BA14" i="3"/>
  <c r="AZ224"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34" i="36"/>
  <c r="AC26" i="36"/>
  <c r="AA22" i="36"/>
  <c r="W14" i="36"/>
  <c r="AB14" i="36"/>
  <c r="U22" i="36"/>
  <c r="S16" i="36"/>
  <c r="AA25" i="36"/>
  <c r="S24" i="36"/>
  <c r="U24" i="36"/>
  <c r="U23" i="36"/>
  <c r="AB20" i="36"/>
  <c r="U16" i="36"/>
  <c r="S14"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U32" i="37"/>
  <c r="W38" i="37"/>
  <c r="AC35" i="37"/>
  <c r="W39" i="37"/>
  <c r="S30" i="37"/>
  <c r="S37" i="37"/>
  <c r="AC15" i="37"/>
  <c r="J17" i="37"/>
  <c r="W17" i="37" s="1"/>
  <c r="G73" i="37"/>
  <c r="F17" i="37"/>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F87" i="33"/>
  <c r="H25" i="33"/>
  <c r="F25" i="33"/>
  <c r="J23" i="33"/>
  <c r="AC23" i="33" s="1"/>
  <c r="F85" i="33"/>
  <c r="H23" i="33"/>
  <c r="F81" i="33"/>
  <c r="G81" i="33" s="1"/>
  <c r="F19" i="33"/>
  <c r="S19" i="33" s="1"/>
  <c r="W19" i="33"/>
  <c r="J17" i="33"/>
  <c r="AC17" i="33" s="1"/>
  <c r="F79" i="33"/>
  <c r="G79" i="33" s="1"/>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2" i="68"/>
  <c r="C6" i="43"/>
  <c r="B19" i="53"/>
  <c r="B37" i="72" s="1"/>
  <c r="C7" i="35"/>
  <c r="C48" i="35" s="1"/>
  <c r="D48" i="35" s="1"/>
  <c r="C7" i="33"/>
  <c r="C7" i="2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W32" i="37"/>
  <c r="U36" i="37"/>
  <c r="U38" i="37"/>
  <c r="AB37" i="37"/>
  <c r="AC34" i="37"/>
  <c r="AA31" i="37"/>
  <c r="U19" i="37"/>
  <c r="AA29" i="37"/>
  <c r="U8" i="37"/>
  <c r="U19" i="34"/>
  <c r="W19" i="34"/>
  <c r="AC45" i="34"/>
  <c r="AA31" i="34"/>
  <c r="AA30" i="34"/>
  <c r="AB45" i="34"/>
  <c r="AB47" i="34"/>
  <c r="U25" i="34"/>
  <c r="AB36" i="34"/>
  <c r="AC14" i="34"/>
  <c r="AC32" i="34"/>
  <c r="W46" i="34"/>
  <c r="AC46" i="34"/>
  <c r="S32" i="34"/>
  <c r="AA32" i="34"/>
  <c r="U30" i="34"/>
  <c r="AB30" i="34"/>
  <c r="U38"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7" i="21"/>
  <c r="AC19" i="21"/>
  <c r="W39"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C27" i="21"/>
  <c r="AC26" i="21"/>
  <c r="AB29" i="21"/>
  <c r="S28" i="21"/>
  <c r="AC34" i="21"/>
  <c r="AB36" i="21"/>
  <c r="W30" i="40"/>
  <c r="C19" i="39"/>
  <c r="C15" i="40"/>
  <c r="C17" i="40"/>
  <c r="C21" i="40"/>
  <c r="B56" i="43"/>
  <c r="B67" i="43"/>
  <c r="B51" i="43"/>
  <c r="B58" i="43"/>
  <c r="B62"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A21" i="39"/>
  <c r="S21" i="39"/>
  <c r="AC17" i="37"/>
  <c r="J19" i="37"/>
  <c r="W19" i="37" s="1"/>
  <c r="G75" i="37"/>
  <c r="AA19" i="37"/>
  <c r="AA23" i="37"/>
  <c r="J23" i="37"/>
  <c r="W23" i="37" s="1"/>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H91" i="33"/>
  <c r="I91" i="33" s="1"/>
  <c r="J91" i="33" s="1"/>
  <c r="K91" i="33" s="1"/>
  <c r="L91" i="33" s="1"/>
  <c r="M91" i="33" s="1"/>
  <c r="J27" i="33"/>
  <c r="W27" i="33" s="1"/>
  <c r="U25" i="33"/>
  <c r="AB25" i="33"/>
  <c r="G87" i="33"/>
  <c r="H87" i="33" s="1"/>
  <c r="I87" i="33" s="1"/>
  <c r="J87" i="33" s="1"/>
  <c r="K87" i="33" s="1"/>
  <c r="L87" i="33" s="1"/>
  <c r="M87" i="33" s="1"/>
  <c r="J25" i="33"/>
  <c r="W25" i="33" s="1"/>
  <c r="AB23" i="33"/>
  <c r="U23" i="33"/>
  <c r="F23" i="33"/>
  <c r="G85" i="33"/>
  <c r="AA19" i="33"/>
  <c r="H19" i="33"/>
  <c r="U19" i="33" s="1"/>
  <c r="H17" i="33"/>
  <c r="U17" i="33" s="1"/>
  <c r="F17" i="33"/>
  <c r="W17" i="33"/>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AB36" i="33"/>
  <c r="AC25" i="33"/>
  <c r="AB19" i="33"/>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3" i="67"/>
  <c r="M8" i="67"/>
  <c r="F42" i="15"/>
  <c r="F4" i="73"/>
  <c r="AO13" i="1"/>
  <c r="B12" i="76"/>
  <c r="D34" i="9"/>
  <c r="B10" i="76"/>
  <c r="E2" i="69"/>
  <c r="E7" i="76"/>
  <c r="D6" i="73"/>
  <c r="F13" i="15"/>
  <c r="E10" i="76"/>
  <c r="B7" i="76"/>
  <c r="M6" i="67"/>
  <c r="B11" i="76"/>
  <c r="F36" i="15"/>
  <c r="E8" i="76"/>
  <c r="M22" i="15"/>
  <c r="B13" i="76"/>
  <c r="F40" i="15"/>
  <c r="L47" i="67"/>
  <c r="M28" i="15"/>
  <c r="F38" i="15"/>
  <c r="F6" i="73"/>
  <c r="L48" i="67"/>
  <c r="F26" i="15"/>
  <c r="E13" i="76"/>
  <c r="F7" i="73"/>
  <c r="M24" i="15"/>
  <c r="F6" i="15"/>
  <c r="F20" i="31"/>
  <c r="M9" i="67"/>
  <c r="J15" i="67"/>
  <c r="E9" i="76"/>
  <c r="M29" i="15"/>
  <c r="F6" i="67"/>
  <c r="M29" i="67"/>
  <c r="F26" i="67"/>
  <c r="E12" i="76"/>
  <c r="F3" i="73"/>
  <c r="D35" i="9"/>
  <c r="F7" i="15"/>
  <c r="C76" i="15"/>
  <c r="B9" i="76"/>
  <c r="M23" i="67"/>
  <c r="F7" i="67"/>
  <c r="F5" i="73"/>
  <c r="F16" i="15"/>
  <c r="M23" i="15"/>
  <c r="L48" i="15"/>
  <c r="F38" i="67"/>
  <c r="M26" i="67"/>
  <c r="M6" i="15"/>
  <c r="F13" i="67"/>
  <c r="E11" i="76"/>
  <c r="B8" i="76"/>
  <c r="F42" i="67"/>
  <c r="E2" i="68"/>
  <c r="F9" i="15"/>
  <c r="M9" i="15"/>
  <c r="M28" i="67"/>
  <c r="L47" i="15"/>
  <c r="C40" i="11" l="1"/>
  <c r="C40" i="68"/>
  <c r="G22" i="11"/>
  <c r="E1" i="73"/>
  <c r="G26" i="12"/>
  <c r="A4" i="52"/>
  <c r="B41" i="72" s="1"/>
  <c r="C7" i="40"/>
  <c r="C63" i="40" s="1"/>
  <c r="C7" i="39"/>
  <c r="C67" i="39" s="1"/>
  <c r="AA23" i="39"/>
  <c r="S23" i="39"/>
  <c r="U33" i="34"/>
  <c r="AB33" i="34"/>
  <c r="U23" i="21"/>
  <c r="S17" i="33"/>
  <c r="AA17" i="33"/>
  <c r="S25" i="33"/>
  <c r="AA25" i="33"/>
  <c r="AB21" i="39"/>
  <c r="U21" i="39"/>
  <c r="W9" i="21"/>
  <c r="AC9" i="21"/>
  <c r="AA13" i="21"/>
  <c r="S13" i="21"/>
  <c r="AA17" i="37"/>
  <c r="S17" i="37"/>
  <c r="AZ563" i="3"/>
  <c r="AZ528" i="3"/>
  <c r="AZ518" i="3"/>
  <c r="AZ513" i="3"/>
  <c r="AZ500" i="3"/>
  <c r="B54" i="43"/>
  <c r="U30" i="40"/>
  <c r="AB40" i="34"/>
  <c r="U9" i="33"/>
  <c r="S43" i="33"/>
  <c r="U15" i="34"/>
  <c r="AB41" i="34"/>
  <c r="U14" i="39"/>
  <c r="W38" i="40"/>
  <c r="AZ391" i="3"/>
  <c r="AZ344" i="3"/>
  <c r="AZ305" i="3"/>
  <c r="AZ306" i="3"/>
  <c r="AC13" i="40"/>
  <c r="BL511" i="3"/>
  <c r="AZ511" i="3" s="1"/>
  <c r="BL543" i="3"/>
  <c r="AC47" i="34"/>
  <c r="W47" i="34"/>
  <c r="S44" i="39"/>
  <c r="AB35" i="33"/>
  <c r="U35" i="33"/>
  <c r="J33" i="40"/>
  <c r="F33" i="40"/>
  <c r="BA569" i="3"/>
  <c r="BL568" i="3"/>
  <c r="BA568" i="3"/>
  <c r="AZ568" i="3" s="1"/>
  <c r="BL566" i="3"/>
  <c r="AC44" i="33"/>
  <c r="W44" i="33"/>
  <c r="BL558" i="3"/>
  <c r="AZ558" i="3" s="1"/>
  <c r="BL544" i="3"/>
  <c r="BA544" i="3"/>
  <c r="AZ544" i="3" s="1"/>
  <c r="BA543" i="3"/>
  <c r="AZ543" i="3" s="1"/>
  <c r="BA540" i="3"/>
  <c r="AZ540" i="3" s="1"/>
  <c r="BL533" i="3"/>
  <c r="BA533" i="3"/>
  <c r="BA510" i="3"/>
  <c r="AZ510" i="3" s="1"/>
  <c r="BA505" i="3"/>
  <c r="BL499" i="3"/>
  <c r="BA499" i="3"/>
  <c r="AZ499" i="3" s="1"/>
  <c r="H5" i="3"/>
  <c r="BL494" i="3"/>
  <c r="AZ494" i="3" s="1"/>
  <c r="BP5" i="3"/>
  <c r="G29" i="6" s="1"/>
  <c r="AC27" i="33"/>
  <c r="AC23" i="37"/>
  <c r="D6" i="52"/>
  <c r="S36" i="33"/>
  <c r="AA15" i="21"/>
  <c r="U39" i="33"/>
  <c r="W29" i="34"/>
  <c r="W33" i="34"/>
  <c r="AA40" i="34"/>
  <c r="S28" i="37"/>
  <c r="S31" i="40"/>
  <c r="W15" i="33"/>
  <c r="S42" i="33"/>
  <c r="S43" i="34"/>
  <c r="AA26" i="36"/>
  <c r="S37" i="39"/>
  <c r="AZ14" i="3"/>
  <c r="BC5" i="3"/>
  <c r="AZ362" i="3"/>
  <c r="AZ390" i="3"/>
  <c r="AZ371" i="3"/>
  <c r="AZ351" i="3"/>
  <c r="AZ329" i="3"/>
  <c r="AZ304" i="3"/>
  <c r="BL539" i="3"/>
  <c r="AZ539" i="3" s="1"/>
  <c r="BA493" i="3"/>
  <c r="AZ493" i="3" s="1"/>
  <c r="AZ575" i="3"/>
  <c r="AZ572" i="3"/>
  <c r="BL496" i="3"/>
  <c r="AZ496" i="3" s="1"/>
  <c r="AC44" i="21"/>
  <c r="W44" i="21"/>
  <c r="AB17" i="34"/>
  <c r="H14" i="21"/>
  <c r="J14" i="21"/>
  <c r="W28" i="21"/>
  <c r="AC28" i="21"/>
  <c r="F30" i="21"/>
  <c r="J30" i="21"/>
  <c r="J26" i="33"/>
  <c r="F26" i="33"/>
  <c r="H26" i="33"/>
  <c r="H36" i="35"/>
  <c r="F36" i="35"/>
  <c r="J36" i="35"/>
  <c r="AC36" i="35" s="1"/>
  <c r="AC31" i="40"/>
  <c r="W31" i="40"/>
  <c r="AB36" i="39"/>
  <c r="U36" i="39"/>
  <c r="AZ566" i="3"/>
  <c r="AB38" i="40"/>
  <c r="U38" i="40"/>
  <c r="BL552" i="3"/>
  <c r="BA552" i="3"/>
  <c r="BA541" i="3"/>
  <c r="AZ541" i="3" s="1"/>
  <c r="BA534" i="3"/>
  <c r="AZ534" i="3" s="1"/>
  <c r="BA527" i="3"/>
  <c r="BL526" i="3"/>
  <c r="AZ526" i="3" s="1"/>
  <c r="BL521" i="3"/>
  <c r="BA521" i="3"/>
  <c r="BA517" i="3"/>
  <c r="BA516" i="3"/>
  <c r="AZ516" i="3" s="1"/>
  <c r="BL506" i="3"/>
  <c r="AZ506" i="3" s="1"/>
  <c r="BL504" i="3"/>
  <c r="BA504" i="3"/>
  <c r="AZ504" i="3" s="1"/>
  <c r="BA498" i="3"/>
  <c r="AZ498" i="3" s="1"/>
  <c r="BG5" i="3"/>
  <c r="C23" i="40"/>
  <c r="S44" i="21"/>
  <c r="S37" i="34"/>
  <c r="AB35" i="37"/>
  <c r="S40" i="37"/>
  <c r="AB29" i="33"/>
  <c r="AA35" i="33"/>
  <c r="AA38" i="37"/>
  <c r="S20" i="35"/>
  <c r="U29" i="35"/>
  <c r="S19" i="39"/>
  <c r="AC14" i="35"/>
  <c r="BE5" i="3"/>
  <c r="AZ326" i="3"/>
  <c r="AZ303" i="3"/>
  <c r="W8" i="39"/>
  <c r="AZ574" i="3"/>
  <c r="F14" i="39"/>
  <c r="W11" i="35"/>
  <c r="AC11" i="35"/>
  <c r="U46" i="34"/>
  <c r="AA44" i="34"/>
  <c r="U23" i="34"/>
  <c r="BA587" i="3"/>
  <c r="AA38" i="33"/>
  <c r="S38" i="33"/>
  <c r="S44" i="33"/>
  <c r="AA44" i="33"/>
  <c r="H25" i="35"/>
  <c r="J25" i="35"/>
  <c r="J12" i="40"/>
  <c r="H12" i="40"/>
  <c r="AZ505" i="3"/>
  <c r="AZ535" i="3"/>
  <c r="B97" i="43"/>
  <c r="B75" i="43"/>
  <c r="S9" i="40"/>
  <c r="AA9" i="40"/>
  <c r="BA562" i="3"/>
  <c r="BL561" i="3"/>
  <c r="AZ561" i="3" s="1"/>
  <c r="BA561" i="3"/>
  <c r="BA560" i="3"/>
  <c r="AZ560" i="3" s="1"/>
  <c r="BA556" i="3"/>
  <c r="AZ556" i="3" s="1"/>
  <c r="BA553" i="3"/>
  <c r="AZ553" i="3" s="1"/>
  <c r="BA549" i="3"/>
  <c r="AZ549" i="3" s="1"/>
  <c r="BL542" i="3"/>
  <c r="AZ542" i="3" s="1"/>
  <c r="BA538" i="3"/>
  <c r="AZ538" i="3" s="1"/>
  <c r="BL537" i="3"/>
  <c r="AZ537" i="3" s="1"/>
  <c r="BA535" i="3"/>
  <c r="BL532" i="3"/>
  <c r="AZ532" i="3" s="1"/>
  <c r="BA525" i="3"/>
  <c r="AZ525" i="3" s="1"/>
  <c r="BA524" i="3"/>
  <c r="AZ524" i="3" s="1"/>
  <c r="BA522" i="3"/>
  <c r="AZ522" i="3" s="1"/>
  <c r="BA509" i="3"/>
  <c r="AZ509" i="3" s="1"/>
  <c r="BL508" i="3"/>
  <c r="AZ508" i="3" s="1"/>
  <c r="BA507" i="3"/>
  <c r="AC5" i="3"/>
  <c r="BA497" i="3"/>
  <c r="AZ497" i="3" s="1"/>
  <c r="BF5" i="3"/>
  <c r="BL587" i="3"/>
  <c r="BL586" i="3"/>
  <c r="AZ586" i="3" s="1"/>
  <c r="G570" i="3"/>
  <c r="G551" i="3"/>
  <c r="BL550" i="3"/>
  <c r="G542" i="3"/>
  <c r="C55" i="71"/>
  <c r="D54" i="71"/>
  <c r="AZ357" i="3"/>
  <c r="AZ322" i="3"/>
  <c r="AZ313" i="3"/>
  <c r="AZ124" i="3"/>
  <c r="AZ394" i="3"/>
  <c r="BL519" i="3"/>
  <c r="AZ519" i="3" s="1"/>
  <c r="BL531" i="3"/>
  <c r="AZ531" i="3" s="1"/>
  <c r="BL559" i="3"/>
  <c r="AZ559" i="3" s="1"/>
  <c r="AZ573" i="3"/>
  <c r="AZ583" i="3"/>
  <c r="AZ576" i="3"/>
  <c r="AA14" i="34"/>
  <c r="W9" i="34"/>
  <c r="F39" i="37"/>
  <c r="S39" i="37" s="1"/>
  <c r="J36" i="39"/>
  <c r="AC36" i="39" s="1"/>
  <c r="G587" i="3"/>
  <c r="F9" i="33"/>
  <c r="AA9" i="33" s="1"/>
  <c r="J12" i="35"/>
  <c r="BL503" i="3"/>
  <c r="AZ503" i="3" s="1"/>
  <c r="BL515" i="3"/>
  <c r="AZ515" i="3" s="1"/>
  <c r="BL523" i="3"/>
  <c r="AZ523" i="3" s="1"/>
  <c r="BL527" i="3"/>
  <c r="BL547" i="3"/>
  <c r="AZ547" i="3" s="1"/>
  <c r="BL569" i="3"/>
  <c r="AZ569" i="3" s="1"/>
  <c r="BL557" i="3"/>
  <c r="AZ557" i="3" s="1"/>
  <c r="AZ571" i="3"/>
  <c r="AZ579" i="3"/>
  <c r="F12" i="36"/>
  <c r="F31" i="39"/>
  <c r="S38" i="39"/>
  <c r="H39" i="37"/>
  <c r="W22" i="35"/>
  <c r="W28" i="36"/>
  <c r="BL585" i="3"/>
  <c r="AZ585" i="3" s="1"/>
  <c r="H25" i="37"/>
  <c r="F25" i="37"/>
  <c r="G574" i="3"/>
  <c r="AZ443" i="3"/>
  <c r="AZ414" i="3"/>
  <c r="AZ415" i="3"/>
  <c r="AZ425" i="3"/>
  <c r="AZ451" i="3"/>
  <c r="AZ459" i="3"/>
  <c r="AZ469" i="3"/>
  <c r="AZ483" i="3"/>
  <c r="P65" i="71"/>
  <c r="P66" i="71"/>
  <c r="D75" i="71"/>
  <c r="C74" i="71"/>
  <c r="D74" i="71" s="1"/>
  <c r="D60" i="71"/>
  <c r="T60" i="71"/>
  <c r="C44" i="71"/>
  <c r="D43" i="71"/>
  <c r="C31" i="71"/>
  <c r="D30" i="71"/>
  <c r="N65" i="71"/>
  <c r="N66" i="71"/>
  <c r="F79" i="71"/>
  <c r="F78" i="71" s="1"/>
  <c r="V80" i="71"/>
  <c r="Y26" i="71"/>
  <c r="Z26" i="71" s="1"/>
  <c r="Y25" i="71"/>
  <c r="Z25" i="71" s="1"/>
  <c r="BL16" i="3"/>
  <c r="AZ16" i="3" s="1"/>
  <c r="BA401" i="3"/>
  <c r="AZ401" i="3" s="1"/>
  <c r="BA403" i="3"/>
  <c r="BA404" i="3"/>
  <c r="AZ404" i="3" s="1"/>
  <c r="BA405" i="3"/>
  <c r="AZ405" i="3" s="1"/>
  <c r="G409" i="3"/>
  <c r="BL410" i="3"/>
  <c r="G412" i="3"/>
  <c r="G418" i="3"/>
  <c r="G419" i="3"/>
  <c r="BA422" i="3"/>
  <c r="G430" i="3"/>
  <c r="BL431" i="3"/>
  <c r="AZ431" i="3" s="1"/>
  <c r="BL434"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BA227" i="3"/>
  <c r="AZ227" i="3" s="1"/>
  <c r="BA230" i="3"/>
  <c r="AZ230" i="3" s="1"/>
  <c r="BL237" i="3"/>
  <c r="BL238" i="3"/>
  <c r="AZ238" i="3" s="1"/>
  <c r="BA241" i="3"/>
  <c r="AZ241" i="3" s="1"/>
  <c r="BL241" i="3"/>
  <c r="BA243" i="3"/>
  <c r="BL250" i="3"/>
  <c r="BA259" i="3"/>
  <c r="AZ259" i="3" s="1"/>
  <c r="BA263" i="3"/>
  <c r="AZ177" i="3"/>
  <c r="AZ52" i="3"/>
  <c r="B71" i="71"/>
  <c r="B70" i="71" s="1"/>
  <c r="S72" i="71"/>
  <c r="X25" i="71"/>
  <c r="BA551" i="3"/>
  <c r="AZ551" i="3" s="1"/>
  <c r="BA550" i="3"/>
  <c r="BL548" i="3"/>
  <c r="AZ548" i="3" s="1"/>
  <c r="G398" i="3"/>
  <c r="BL400" i="3"/>
  <c r="AZ400" i="3" s="1"/>
  <c r="BL408" i="3"/>
  <c r="BL411" i="3"/>
  <c r="BL413" i="3"/>
  <c r="AZ413" i="3" s="1"/>
  <c r="G415" i="3"/>
  <c r="BL417" i="3"/>
  <c r="BL418" i="3"/>
  <c r="AZ418" i="3" s="1"/>
  <c r="BL420" i="3"/>
  <c r="AZ420" i="3" s="1"/>
  <c r="G422" i="3"/>
  <c r="BL424" i="3"/>
  <c r="G426" i="3"/>
  <c r="G427" i="3"/>
  <c r="BL428" i="3"/>
  <c r="BL429" i="3"/>
  <c r="BL432" i="3"/>
  <c r="BL435" i="3"/>
  <c r="AZ435" i="3" s="1"/>
  <c r="BL436" i="3"/>
  <c r="BA439" i="3"/>
  <c r="BA440" i="3"/>
  <c r="AZ440" i="3" s="1"/>
  <c r="BA442" i="3"/>
  <c r="AZ442" i="3" s="1"/>
  <c r="BA445" i="3"/>
  <c r="BA447" i="3"/>
  <c r="AZ447" i="3" s="1"/>
  <c r="BA449" i="3"/>
  <c r="BL453" i="3"/>
  <c r="BL454" i="3"/>
  <c r="AZ454" i="3" s="1"/>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L228" i="3"/>
  <c r="AZ228" i="3" s="1"/>
  <c r="G231" i="3"/>
  <c r="BL231" i="3"/>
  <c r="G233" i="3"/>
  <c r="BL233" i="3"/>
  <c r="AZ233" i="3" s="1"/>
  <c r="G235" i="3"/>
  <c r="BL235" i="3"/>
  <c r="AZ235" i="3" s="1"/>
  <c r="BL236" i="3"/>
  <c r="AZ236" i="3" s="1"/>
  <c r="G237" i="3"/>
  <c r="BA239" i="3"/>
  <c r="BL239" i="3"/>
  <c r="BA246" i="3"/>
  <c r="BL248" i="3"/>
  <c r="AZ248" i="3" s="1"/>
  <c r="BA256" i="3"/>
  <c r="BL256" i="3"/>
  <c r="G260" i="3"/>
  <c r="G261" i="3"/>
  <c r="BL266" i="3"/>
  <c r="BA269" i="3"/>
  <c r="AZ269" i="3" s="1"/>
  <c r="BL272" i="3"/>
  <c r="BL273" i="3"/>
  <c r="G274" i="3"/>
  <c r="AZ301" i="3"/>
  <c r="BL398" i="3"/>
  <c r="AZ398" i="3" s="1"/>
  <c r="BL403" i="3"/>
  <c r="G405" i="3"/>
  <c r="BA408" i="3"/>
  <c r="AZ408" i="3" s="1"/>
  <c r="BA409" i="3"/>
  <c r="AZ409" i="3" s="1"/>
  <c r="BA411" i="3"/>
  <c r="AZ411" i="3" s="1"/>
  <c r="BL414" i="3"/>
  <c r="BL415" i="3"/>
  <c r="BA417" i="3"/>
  <c r="AZ417" i="3" s="1"/>
  <c r="BL421" i="3"/>
  <c r="AZ421" i="3" s="1"/>
  <c r="BL422" i="3"/>
  <c r="BL425" i="3"/>
  <c r="BL426" i="3"/>
  <c r="BA428" i="3"/>
  <c r="AZ428" i="3" s="1"/>
  <c r="BA429" i="3"/>
  <c r="AZ429" i="3" s="1"/>
  <c r="BA430" i="3"/>
  <c r="AZ430" i="3" s="1"/>
  <c r="BA432" i="3"/>
  <c r="AZ432" i="3" s="1"/>
  <c r="BA434" i="3"/>
  <c r="BA436" i="3"/>
  <c r="BA438" i="3"/>
  <c r="G442"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42" i="3"/>
  <c r="BL243" i="3"/>
  <c r="G244" i="3"/>
  <c r="BA245" i="3"/>
  <c r="BA250" i="3"/>
  <c r="AZ250" i="3" s="1"/>
  <c r="BA255" i="3"/>
  <c r="AZ255" i="3" s="1"/>
  <c r="G258" i="3"/>
  <c r="BA265" i="3"/>
  <c r="G271" i="3"/>
  <c r="AB21" i="37"/>
  <c r="U21" i="37"/>
  <c r="AC18" i="36"/>
  <c r="W18" i="36"/>
  <c r="AB25" i="40"/>
  <c r="U25" i="40"/>
  <c r="AB26" i="71"/>
  <c r="AB27" i="71"/>
  <c r="C34" i="71"/>
  <c r="Y30" i="71"/>
  <c r="Z30" i="71" s="1"/>
  <c r="Y28" i="71"/>
  <c r="Z28" i="71" s="1"/>
  <c r="C47" i="71"/>
  <c r="D47" i="71" s="1"/>
  <c r="D46" i="71"/>
  <c r="BL274" i="3"/>
  <c r="AZ274" i="3" s="1"/>
  <c r="BA276" i="3"/>
  <c r="BA279" i="3"/>
  <c r="BA281" i="3"/>
  <c r="BL286" i="3"/>
  <c r="AZ286" i="3" s="1"/>
  <c r="G291" i="3"/>
  <c r="BA296" i="3"/>
  <c r="BA116" i="3"/>
  <c r="AZ116" i="3" s="1"/>
  <c r="BA121" i="3"/>
  <c r="AZ121" i="3" s="1"/>
  <c r="BL121" i="3"/>
  <c r="BA124" i="3"/>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BL54" i="3"/>
  <c r="BL55" i="3"/>
  <c r="AZ55" i="3" s="1"/>
  <c r="G58" i="3"/>
  <c r="BA59" i="3"/>
  <c r="BL61" i="3"/>
  <c r="G64" i="3"/>
  <c r="BA64" i="3"/>
  <c r="BA68"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A237" i="3"/>
  <c r="AZ237" i="3" s="1"/>
  <c r="BL240" i="3"/>
  <c r="AZ240" i="3" s="1"/>
  <c r="BA242" i="3"/>
  <c r="AZ242" i="3" s="1"/>
  <c r="BL245" i="3"/>
  <c r="G247" i="3"/>
  <c r="BL255" i="3"/>
  <c r="G257" i="3"/>
  <c r="BL257" i="3"/>
  <c r="AZ257" i="3" s="1"/>
  <c r="BL258" i="3"/>
  <c r="G259" i="3"/>
  <c r="BA262" i="3"/>
  <c r="AZ262" i="3" s="1"/>
  <c r="G265" i="3"/>
  <c r="BL265" i="3"/>
  <c r="G267" i="3"/>
  <c r="BA273" i="3"/>
  <c r="AZ273" i="3" s="1"/>
  <c r="BA278" i="3"/>
  <c r="AZ278" i="3" s="1"/>
  <c r="BA280" i="3"/>
  <c r="AZ280" i="3" s="1"/>
  <c r="BL283" i="3"/>
  <c r="AZ283" i="3" s="1"/>
  <c r="BL284" i="3"/>
  <c r="AZ284" i="3" s="1"/>
  <c r="G288" i="3"/>
  <c r="BL292" i="3"/>
  <c r="BA294" i="3"/>
  <c r="AZ294" i="3" s="1"/>
  <c r="BL295" i="3"/>
  <c r="BA298" i="3"/>
  <c r="AZ298" i="3" s="1"/>
  <c r="BL301" i="3"/>
  <c r="BL302" i="3"/>
  <c r="AZ302" i="3" s="1"/>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BA26" i="3"/>
  <c r="BL28" i="3"/>
  <c r="BA29" i="3"/>
  <c r="AZ29" i="3" s="1"/>
  <c r="BA36" i="3"/>
  <c r="BL38" i="3"/>
  <c r="AZ38" i="3" s="1"/>
  <c r="BA39" i="3"/>
  <c r="AZ39" i="3" s="1"/>
  <c r="G47" i="3"/>
  <c r="BL48" i="3"/>
  <c r="BA51" i="3"/>
  <c r="AZ51" i="3" s="1"/>
  <c r="G55" i="3"/>
  <c r="BL56" i="3"/>
  <c r="BA58" i="3"/>
  <c r="BL59" i="3"/>
  <c r="BL60" i="3"/>
  <c r="BA61" i="3"/>
  <c r="BL69" i="3"/>
  <c r="AZ69" i="3" s="1"/>
  <c r="BL70" i="3"/>
  <c r="AZ70" i="3" s="1"/>
  <c r="BL71" i="3"/>
  <c r="BL72" i="3"/>
  <c r="AZ72" i="3" s="1"/>
  <c r="BA75" i="3"/>
  <c r="AZ75" i="3" s="1"/>
  <c r="BL86" i="3"/>
  <c r="AZ86" i="3" s="1"/>
  <c r="BL93" i="3"/>
  <c r="W21" i="37"/>
  <c r="AC21" i="37"/>
  <c r="AB21" i="34"/>
  <c r="U21" i="34"/>
  <c r="C86" i="71"/>
  <c r="D86" i="71" s="1"/>
  <c r="D87" i="71"/>
  <c r="O68" i="71"/>
  <c r="C52" i="71"/>
  <c r="D51" i="71"/>
  <c r="X26" i="71"/>
  <c r="AB34" i="71"/>
  <c r="C63" i="71"/>
  <c r="D62" i="71"/>
  <c r="F66" i="71"/>
  <c r="Q66" i="71" s="1"/>
  <c r="Q67" i="71"/>
  <c r="P68" i="71"/>
  <c r="U68" i="71"/>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AZ28" i="3" s="1"/>
  <c r="BA31" i="3"/>
  <c r="AZ31" i="3" s="1"/>
  <c r="BA32" i="3"/>
  <c r="G38" i="3"/>
  <c r="BA38" i="3"/>
  <c r="BA41" i="3"/>
  <c r="AZ41" i="3" s="1"/>
  <c r="BA42" i="3"/>
  <c r="BL45" i="3"/>
  <c r="BA48" i="3"/>
  <c r="BA49" i="3"/>
  <c r="BL64" i="3"/>
  <c r="G65" i="3"/>
  <c r="BL65" i="3"/>
  <c r="AZ65" i="3" s="1"/>
  <c r="BL66" i="3"/>
  <c r="BL67" i="3"/>
  <c r="AZ67" i="3" s="1"/>
  <c r="G69" i="3"/>
  <c r="G72" i="3"/>
  <c r="BL73" i="3"/>
  <c r="BA74" i="3"/>
  <c r="AZ74" i="3" s="1"/>
  <c r="BL79" i="3"/>
  <c r="BL81" i="3"/>
  <c r="BA82" i="3"/>
  <c r="AZ82" i="3" s="1"/>
  <c r="BL83" i="3"/>
  <c r="G86" i="3"/>
  <c r="BA87" i="3"/>
  <c r="BA89" i="3"/>
  <c r="G93" i="3"/>
  <c r="BA98" i="3"/>
  <c r="BL103" i="3"/>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5" i="3"/>
  <c r="AZ452" i="3"/>
  <c r="AZ456" i="3"/>
  <c r="AZ467" i="3"/>
  <c r="AZ470" i="3"/>
  <c r="W35" i="39"/>
  <c r="F27" i="34"/>
  <c r="C21" i="39"/>
  <c r="U9" i="36"/>
  <c r="U14" i="37"/>
  <c r="H12" i="21"/>
  <c r="G526"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C21" i="34"/>
  <c r="E27" i="71"/>
  <c r="E26" i="71" s="1"/>
  <c r="V28" i="71"/>
  <c r="BA76" i="3"/>
  <c r="AZ76" i="3" s="1"/>
  <c r="BL80" i="3"/>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66" i="67"/>
  <c r="L59" i="15"/>
  <c r="N59" i="15"/>
  <c r="L58" i="15"/>
  <c r="M59" i="15"/>
  <c r="F66" i="15"/>
  <c r="F64" i="15"/>
  <c r="C27" i="67"/>
  <c r="F71" i="67"/>
  <c r="C27" i="15"/>
  <c r="N59" i="67"/>
  <c r="L59" i="67"/>
  <c r="L58" i="67"/>
  <c r="M59" i="67"/>
  <c r="B13" i="70"/>
  <c r="M7" i="67"/>
  <c r="J6" i="67" s="1"/>
  <c r="F50" i="67"/>
  <c r="F68" i="15"/>
  <c r="C36" i="68"/>
  <c r="D9" i="68"/>
  <c r="C36" i="69"/>
  <c r="D4" i="73"/>
  <c r="C16" i="15"/>
  <c r="F36" i="67"/>
  <c r="F9" i="67"/>
  <c r="M22" i="67"/>
  <c r="F37" i="15"/>
  <c r="D7" i="73"/>
  <c r="F43" i="15"/>
  <c r="M8" i="15"/>
  <c r="J15" i="15"/>
  <c r="F8" i="67"/>
  <c r="F37" i="67"/>
  <c r="D9" i="69"/>
  <c r="M26" i="15"/>
  <c r="F16" i="67"/>
  <c r="D5" i="73"/>
  <c r="C76" i="67"/>
  <c r="D3" i="73"/>
  <c r="M24" i="67"/>
  <c r="F8" i="15"/>
  <c r="F40" i="67"/>
  <c r="N370" i="46" l="1"/>
  <c r="F26" i="43"/>
  <c r="D26" i="43" s="1"/>
  <c r="C25" i="43" s="1"/>
  <c r="P6" i="1"/>
  <c r="C13" i="12" s="1"/>
  <c r="E28" i="6"/>
  <c r="K14" i="1" s="1"/>
  <c r="Q16" i="1"/>
  <c r="H16" i="1"/>
  <c r="Q71" i="67"/>
  <c r="F68" i="67"/>
  <c r="F65" i="67"/>
  <c r="F65" i="15"/>
  <c r="F51" i="67"/>
  <c r="C49" i="67" s="1"/>
  <c r="F31" i="67"/>
  <c r="C6" i="67"/>
  <c r="F71" i="15"/>
  <c r="F51" i="15"/>
  <c r="C49" i="15" s="1"/>
  <c r="C6" i="15"/>
  <c r="C32" i="15" s="1"/>
  <c r="F31" i="15"/>
  <c r="F64" i="67"/>
  <c r="G30" i="6"/>
  <c r="G31" i="6" s="1"/>
  <c r="E29" i="6"/>
  <c r="K15" i="1" s="1"/>
  <c r="K16" i="1" s="1"/>
  <c r="N94" i="46"/>
  <c r="J26" i="43"/>
  <c r="AZ107" i="3"/>
  <c r="AZ26" i="3"/>
  <c r="AZ129" i="3"/>
  <c r="AZ246" i="3"/>
  <c r="AZ481" i="3"/>
  <c r="G16" i="1"/>
  <c r="F10" i="39" s="1"/>
  <c r="S10" i="39" s="1"/>
  <c r="AZ178" i="3"/>
  <c r="AZ118" i="3"/>
  <c r="AZ471" i="3"/>
  <c r="AZ263" i="3"/>
  <c r="W12" i="35"/>
  <c r="AC12" i="35"/>
  <c r="AC12" i="40"/>
  <c r="W12" i="40"/>
  <c r="AZ552" i="3"/>
  <c r="U26" i="33"/>
  <c r="AB26" i="33"/>
  <c r="S30" i="21"/>
  <c r="AA30" i="21"/>
  <c r="U14" i="21"/>
  <c r="AB14" i="21"/>
  <c r="W33" i="40"/>
  <c r="AC33" i="40"/>
  <c r="C26" i="71"/>
  <c r="D26" i="71" s="1"/>
  <c r="D27" i="71"/>
  <c r="B19" i="71"/>
  <c r="B18" i="71" s="1"/>
  <c r="B17" i="71" s="1"/>
  <c r="B16" i="71" s="1"/>
  <c r="S20" i="71"/>
  <c r="T40" i="71"/>
  <c r="D40" i="71"/>
  <c r="D31" i="71"/>
  <c r="C32" i="71"/>
  <c r="AA31" i="39"/>
  <c r="S31" i="39"/>
  <c r="W25" i="35"/>
  <c r="AC25" i="35"/>
  <c r="S14" i="39"/>
  <c r="AA14" i="39"/>
  <c r="AZ527" i="3"/>
  <c r="S26" i="33"/>
  <c r="AA26" i="33"/>
  <c r="E26" i="43"/>
  <c r="H26" i="43"/>
  <c r="Q65" i="71"/>
  <c r="AZ80" i="3"/>
  <c r="AZ114" i="3"/>
  <c r="AZ49" i="3"/>
  <c r="AZ58" i="3"/>
  <c r="AZ25" i="3"/>
  <c r="C22" i="71"/>
  <c r="D23" i="71"/>
  <c r="D67" i="71"/>
  <c r="C66" i="71"/>
  <c r="O67" i="71"/>
  <c r="AZ103" i="3"/>
  <c r="AZ59" i="3"/>
  <c r="AZ197" i="3"/>
  <c r="AZ126" i="3"/>
  <c r="D34" i="71"/>
  <c r="C35" i="71"/>
  <c r="AZ353" i="3"/>
  <c r="AZ218" i="3"/>
  <c r="AZ332" i="3"/>
  <c r="AA25" i="37"/>
  <c r="S25" i="37"/>
  <c r="AA12" i="36"/>
  <c r="S12" i="36"/>
  <c r="C56" i="71"/>
  <c r="D55" i="71"/>
  <c r="AB25" i="35"/>
  <c r="U25" i="35"/>
  <c r="S36" i="35"/>
  <c r="AA36" i="35"/>
  <c r="AC26" i="33"/>
  <c r="W26" i="33"/>
  <c r="AZ533" i="3"/>
  <c r="J6" i="15"/>
  <c r="J18" i="15" s="1"/>
  <c r="AZ96" i="3"/>
  <c r="AZ112" i="3"/>
  <c r="G5" i="3"/>
  <c r="B3" i="3" s="1"/>
  <c r="E371" i="3" s="1"/>
  <c r="AZ42" i="3"/>
  <c r="AZ32" i="3"/>
  <c r="AZ295" i="3"/>
  <c r="AZ317" i="3"/>
  <c r="C64" i="71"/>
  <c r="D63" i="71"/>
  <c r="T52" i="71"/>
  <c r="D52" i="71"/>
  <c r="AZ61" i="3"/>
  <c r="AZ21" i="3"/>
  <c r="AZ64" i="3"/>
  <c r="AZ190" i="3"/>
  <c r="AZ265" i="3"/>
  <c r="AZ245" i="3"/>
  <c r="AZ223" i="3"/>
  <c r="AZ453" i="3"/>
  <c r="AZ256" i="3"/>
  <c r="AZ239" i="3"/>
  <c r="AZ397" i="3"/>
  <c r="AZ550" i="3"/>
  <c r="AZ243" i="3"/>
  <c r="AZ422" i="3"/>
  <c r="AZ403" i="3"/>
  <c r="D44" i="71"/>
  <c r="T44" i="71"/>
  <c r="U25" i="37"/>
  <c r="AB25" i="37"/>
  <c r="AB39" i="37"/>
  <c r="U39" i="37"/>
  <c r="AB12" i="40"/>
  <c r="U12" i="40"/>
  <c r="AZ587" i="3"/>
  <c r="AZ521" i="3"/>
  <c r="AB36" i="35"/>
  <c r="U36" i="35"/>
  <c r="AC30" i="21"/>
  <c r="W30" i="21"/>
  <c r="AC14" i="21"/>
  <c r="W14" i="21"/>
  <c r="AA33" i="40"/>
  <c r="S33" i="40"/>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J10" i="39"/>
  <c r="W10" i="39" s="1"/>
  <c r="C7" i="43"/>
  <c r="C5" i="43" s="1"/>
  <c r="D10" i="52"/>
  <c r="D125" i="9"/>
  <c r="D11" i="52" s="1"/>
  <c r="B7" i="74"/>
  <c r="C7" i="74" s="1"/>
  <c r="F67" i="39"/>
  <c r="H7" i="37"/>
  <c r="AB7" i="37" s="1"/>
  <c r="T42" i="37" s="1"/>
  <c r="G42" i="37" s="1"/>
  <c r="H7" i="33"/>
  <c r="J7" i="33"/>
  <c r="D65" i="40"/>
  <c r="E63" i="40"/>
  <c r="F48" i="35"/>
  <c r="S7" i="36"/>
  <c r="AA7" i="36"/>
  <c r="R36" i="36" s="1"/>
  <c r="AC7" i="37"/>
  <c r="W7" i="37"/>
  <c r="F7" i="33"/>
  <c r="E58" i="21"/>
  <c r="AC7" i="36"/>
  <c r="V36" i="36" s="1"/>
  <c r="I36" i="36" s="1"/>
  <c r="W7" i="36"/>
  <c r="F7" i="37"/>
  <c r="M17" i="67"/>
  <c r="M17" i="15"/>
  <c r="P28" i="43"/>
  <c r="B66" i="40" s="1"/>
  <c r="P25" i="43"/>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27" i="69"/>
  <c r="C16" i="67"/>
  <c r="AE6" i="1"/>
  <c r="G1" i="73"/>
  <c r="AA10" i="39" l="1"/>
  <c r="F10" i="40"/>
  <c r="S10" i="40" s="1"/>
  <c r="F45" i="69"/>
  <c r="C29" i="69"/>
  <c r="D27" i="69" s="1"/>
  <c r="C47" i="69"/>
  <c r="D45" i="69" s="1"/>
  <c r="F59" i="15"/>
  <c r="F59" i="67"/>
  <c r="E142" i="3"/>
  <c r="E296" i="3"/>
  <c r="E445" i="3"/>
  <c r="E431" i="3"/>
  <c r="E489" i="3"/>
  <c r="E214" i="3"/>
  <c r="AK6" i="3"/>
  <c r="E216" i="3"/>
  <c r="E384" i="3"/>
  <c r="E351" i="3"/>
  <c r="E253" i="3"/>
  <c r="V6" i="3"/>
  <c r="E88" i="3"/>
  <c r="E55" i="3"/>
  <c r="E402" i="3"/>
  <c r="E367" i="3"/>
  <c r="E87" i="3"/>
  <c r="E222" i="3"/>
  <c r="E79" i="3"/>
  <c r="E158" i="3"/>
  <c r="E308" i="3"/>
  <c r="E539" i="3"/>
  <c r="E536" i="3"/>
  <c r="E499" i="3"/>
  <c r="E541"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212" i="3"/>
  <c r="R6" i="3"/>
  <c r="E449" i="3"/>
  <c r="E517"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199" i="3"/>
  <c r="E255" i="3"/>
  <c r="E37" i="3"/>
  <c r="E349" i="3"/>
  <c r="E575" i="3"/>
  <c r="I3" i="6"/>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442" i="3"/>
  <c r="E258" i="3"/>
  <c r="E467" i="3"/>
  <c r="E84" i="3"/>
  <c r="E63" i="3"/>
  <c r="E391" i="3"/>
  <c r="E86" i="3"/>
  <c r="E22" i="3"/>
  <c r="E512" i="3"/>
  <c r="E41" i="3"/>
  <c r="E220" i="3"/>
  <c r="E329" i="3"/>
  <c r="E507" i="3"/>
  <c r="E401" i="3"/>
  <c r="E372" i="3"/>
  <c r="E194" i="3"/>
  <c r="E112" i="3"/>
  <c r="E265" i="3"/>
  <c r="E348" i="3"/>
  <c r="E244" i="3"/>
  <c r="E354" i="3"/>
  <c r="E266" i="3"/>
  <c r="E163" i="3"/>
  <c r="E413" i="3"/>
  <c r="E157" i="3"/>
  <c r="E537" i="3"/>
  <c r="E196" i="3"/>
  <c r="E71" i="3"/>
  <c r="E319" i="3"/>
  <c r="S6" i="3"/>
  <c r="E17" i="3"/>
  <c r="AN6" i="3"/>
  <c r="E238" i="3"/>
  <c r="E330" i="3"/>
  <c r="E344" i="3"/>
  <c r="E73" i="3"/>
  <c r="E32" i="3"/>
  <c r="E576" i="3"/>
  <c r="E558" i="3"/>
  <c r="E166" i="3"/>
  <c r="E480" i="3"/>
  <c r="N6" i="3"/>
  <c r="E151" i="3"/>
  <c r="E407" i="3"/>
  <c r="E114" i="3"/>
  <c r="E290" i="3"/>
  <c r="E518" i="3"/>
  <c r="E453" i="3"/>
  <c r="E193" i="3"/>
  <c r="E457" i="3"/>
  <c r="E72" i="3"/>
  <c r="E3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487" i="3"/>
  <c r="E118" i="3"/>
  <c r="E466" i="3"/>
  <c r="E241" i="3"/>
  <c r="E160" i="3"/>
  <c r="E67" i="3"/>
  <c r="E283" i="3"/>
  <c r="E482" i="3"/>
  <c r="E34" i="3"/>
  <c r="E197" i="3"/>
  <c r="E556" i="3"/>
  <c r="E115" i="3"/>
  <c r="E35" i="3"/>
  <c r="E116" i="3"/>
  <c r="E422" i="3"/>
  <c r="E25" i="3"/>
  <c r="E540" i="3"/>
  <c r="E234" i="3"/>
  <c r="E289" i="3"/>
  <c r="E165" i="3"/>
  <c r="E58" i="3"/>
  <c r="E416" i="3"/>
  <c r="E323" i="3"/>
  <c r="E584" i="3"/>
  <c r="E179" i="3"/>
  <c r="E307" i="3"/>
  <c r="E224" i="3"/>
  <c r="E54" i="3"/>
  <c r="U6" i="3"/>
  <c r="E92" i="3"/>
  <c r="E426" i="3"/>
  <c r="E338" i="3"/>
  <c r="E302" i="3"/>
  <c r="E353"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435" i="3"/>
  <c r="E59" i="3"/>
  <c r="E267" i="3"/>
  <c r="E184" i="3"/>
  <c r="E494" i="3"/>
  <c r="E18" i="3"/>
  <c r="AF6" i="3"/>
  <c r="T6" i="3"/>
  <c r="E497" i="3"/>
  <c r="E356" i="3"/>
  <c r="E80" i="3"/>
  <c r="E105" i="3"/>
  <c r="E376" i="3"/>
  <c r="E226" i="3"/>
  <c r="E473" i="3"/>
  <c r="E325" i="3"/>
  <c r="E20" i="3"/>
  <c r="E141" i="3"/>
  <c r="E386" i="3"/>
  <c r="E110" i="3"/>
  <c r="E149" i="3"/>
  <c r="E542" i="3"/>
  <c r="E195" i="3"/>
  <c r="E127" i="3"/>
  <c r="E529" i="3"/>
  <c r="E357" i="3"/>
  <c r="E411" i="3"/>
  <c r="E291" i="3"/>
  <c r="E359" i="3"/>
  <c r="E321" i="3"/>
  <c r="E159" i="3"/>
  <c r="AA6" i="3"/>
  <c r="E262" i="3"/>
  <c r="E437" i="3"/>
  <c r="E496" i="3"/>
  <c r="E274" i="3"/>
  <c r="E236" i="3"/>
  <c r="P6" i="3"/>
  <c r="E404" i="3"/>
  <c r="E316" i="3"/>
  <c r="E553" i="3"/>
  <c r="E569" i="3"/>
  <c r="E559" i="3"/>
  <c r="E230" i="3"/>
  <c r="E260" i="3"/>
  <c r="E245" i="3"/>
  <c r="E583" i="3"/>
  <c r="E511" i="3"/>
  <c r="E573" i="3"/>
  <c r="E450" i="3"/>
  <c r="E279" i="3"/>
  <c r="E549" i="3"/>
  <c r="E478" i="3"/>
  <c r="E476" i="3"/>
  <c r="E210" i="3"/>
  <c r="E530" i="3"/>
  <c r="E555" i="3"/>
  <c r="E533" i="3"/>
  <c r="E231" i="3"/>
  <c r="E183" i="3"/>
  <c r="E134" i="3"/>
  <c r="E399" i="3"/>
  <c r="E545" i="3"/>
  <c r="E133" i="3"/>
  <c r="E406" i="3"/>
  <c r="E468" i="3"/>
  <c r="E171" i="3"/>
  <c r="E74" i="3"/>
  <c r="E204" i="3"/>
  <c r="E485" i="3"/>
  <c r="E531" i="3"/>
  <c r="E182" i="3"/>
  <c r="E572" i="3"/>
  <c r="E268" i="3"/>
  <c r="E579" i="3"/>
  <c r="E311" i="3"/>
  <c r="AB6" i="3"/>
  <c r="E189" i="3"/>
  <c r="E172" i="3"/>
  <c r="E135" i="3"/>
  <c r="AI6" i="3"/>
  <c r="E100" i="3"/>
  <c r="E132" i="3"/>
  <c r="E483" i="3"/>
  <c r="E131" i="3"/>
  <c r="E200" i="3"/>
  <c r="E69" i="3"/>
  <c r="E322" i="3"/>
  <c r="E400" i="3"/>
  <c r="E454" i="3"/>
  <c r="E347" i="3"/>
  <c r="E561" i="3"/>
  <c r="E447" i="3"/>
  <c r="E433" i="3"/>
  <c r="E578" i="3"/>
  <c r="E396" i="3"/>
  <c r="E443" i="3"/>
  <c r="E424" i="3"/>
  <c r="E237" i="3"/>
  <c r="E14" i="3"/>
  <c r="E462" i="3"/>
  <c r="E566" i="3"/>
  <c r="E276" i="3"/>
  <c r="E190" i="3"/>
  <c r="E174" i="3"/>
  <c r="E409" i="3"/>
  <c r="E139" i="3"/>
  <c r="E369" i="3"/>
  <c r="E240" i="3"/>
  <c r="E191" i="3"/>
  <c r="E514" i="3"/>
  <c r="E211" i="3"/>
  <c r="E227" i="3"/>
  <c r="K6" i="3"/>
  <c r="E361" i="3"/>
  <c r="E343" i="3"/>
  <c r="E271" i="3"/>
  <c r="E99" i="3"/>
  <c r="E130" i="3"/>
  <c r="E30" i="3"/>
  <c r="E394" i="3"/>
  <c r="E156" i="3"/>
  <c r="E53" i="3"/>
  <c r="E461" i="3"/>
  <c r="E446" i="3"/>
  <c r="E36" i="3"/>
  <c r="E564" i="3"/>
  <c r="E405" i="3"/>
  <c r="E68" i="3"/>
  <c r="E510" i="3"/>
  <c r="E378" i="3"/>
  <c r="E248" i="3"/>
  <c r="E94" i="3"/>
  <c r="E219" i="3"/>
  <c r="E385" i="3"/>
  <c r="E387" i="3"/>
  <c r="E109" i="3"/>
  <c r="E327" i="3"/>
  <c r="E465" i="3"/>
  <c r="E350" i="3"/>
  <c r="E410" i="3"/>
  <c r="E414" i="3"/>
  <c r="E527" i="3"/>
  <c r="E550" i="3"/>
  <c r="E282" i="3"/>
  <c r="E164" i="3"/>
  <c r="E120" i="3"/>
  <c r="E285" i="3"/>
  <c r="W6" i="3"/>
  <c r="E436" i="3"/>
  <c r="E62" i="3"/>
  <c r="E419" i="3"/>
  <c r="E470" i="3"/>
  <c r="E198" i="3"/>
  <c r="E417" i="3"/>
  <c r="AY6" i="3"/>
  <c r="H10" i="40"/>
  <c r="AB10" i="40" s="1"/>
  <c r="J10" i="40"/>
  <c r="AC10" i="40" s="1"/>
  <c r="J5" i="15"/>
  <c r="J24" i="15" s="1"/>
  <c r="U7" i="36"/>
  <c r="T32" i="71"/>
  <c r="D32" i="71"/>
  <c r="C21" i="71"/>
  <c r="D22" i="71"/>
  <c r="E3" i="6"/>
  <c r="E491" i="3"/>
  <c r="AP6" i="3"/>
  <c r="E430" i="3"/>
  <c r="E502" i="3"/>
  <c r="E286" i="3"/>
  <c r="T64" i="71"/>
  <c r="D64" i="71"/>
  <c r="O65" i="71"/>
  <c r="D66" i="71"/>
  <c r="O66" i="71"/>
  <c r="D56" i="71"/>
  <c r="T5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67"/>
  <c r="F69" i="67" l="1"/>
  <c r="E42" i="43"/>
  <c r="C6" i="69"/>
  <c r="C7" i="69" s="1"/>
  <c r="U10" i="40"/>
  <c r="H6" i="3"/>
  <c r="AC6" i="3"/>
  <c r="D116" i="43"/>
  <c r="F22" i="68"/>
  <c r="C44" i="68" s="1"/>
  <c r="D41" i="68" s="1"/>
  <c r="F25" i="12"/>
  <c r="C26" i="12" s="1"/>
  <c r="D25" i="12" s="1"/>
  <c r="D21" i="71"/>
  <c r="C20" i="71"/>
  <c r="D36" i="71"/>
  <c r="T36"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7" i="67"/>
  <c r="C14" i="67"/>
  <c r="D10" i="69"/>
  <c r="C34" i="69"/>
  <c r="C17" i="15"/>
  <c r="C44" i="11" l="1"/>
  <c r="D41" i="11" s="1"/>
  <c r="F41" i="68"/>
  <c r="C26" i="68"/>
  <c r="D22" i="68" s="1"/>
  <c r="C23" i="68"/>
  <c r="C26" i="11"/>
  <c r="D22" i="11" s="1"/>
  <c r="E6" i="3"/>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T16" i="71" l="1"/>
  <c r="D16" i="71"/>
  <c r="U16" i="71" s="1"/>
  <c r="C15"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G43" i="35"/>
  <c r="H43"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s="1"/>
  <c r="D2" i="21"/>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10" i="1"/>
  <c r="AO6" i="1"/>
  <c r="AO7" i="1"/>
  <c r="AO12" i="1"/>
  <c r="C10" i="71" l="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G21" i="9" s="1"/>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9" i="71"/>
  <c r="C8" i="71"/>
  <c r="C42" i="40"/>
  <c r="C43" i="40"/>
  <c r="E47" i="40"/>
  <c r="F47" i="40" s="1"/>
  <c r="E46" i="40"/>
  <c r="F46" i="40" s="1"/>
  <c r="I47" i="40"/>
  <c r="J47" i="40" s="1"/>
  <c r="C32" i="9" l="1"/>
  <c r="C35" i="9" s="1"/>
  <c r="C34" i="9" s="1"/>
  <c r="E14" i="74"/>
  <c r="D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F14" i="74"/>
  <c r="B5" i="74"/>
  <c r="D5" i="74" s="1"/>
  <c r="D6" i="71" l="1"/>
  <c r="C5" i="71"/>
  <c r="D5" i="71" s="1"/>
  <c r="M24" i="43" s="1"/>
  <c r="B6" i="74"/>
  <c r="D6" i="74" s="1"/>
  <c r="N58" i="9"/>
  <c r="P57" i="9"/>
  <c r="B48" i="72"/>
  <c r="C105" i="9"/>
  <c r="I4" i="52"/>
  <c r="E4" i="52"/>
  <c r="C5" i="74"/>
  <c r="D9" i="52"/>
  <c r="E81" i="9"/>
  <c r="D123" i="9"/>
  <c r="D8" i="52"/>
  <c r="M48" i="9"/>
  <c r="B53" i="72"/>
  <c r="D52" i="9"/>
  <c r="D53" i="9"/>
  <c r="N60" i="9"/>
  <c r="N59" i="9"/>
  <c r="N61" i="9"/>
  <c r="D122" i="9"/>
  <c r="C78" i="9"/>
  <c r="C73" i="9"/>
  <c r="B52" i="72"/>
  <c r="H4" i="52"/>
  <c r="C104" i="9"/>
  <c r="D4" i="52"/>
  <c r="B47" i="72"/>
  <c r="B30" i="72"/>
  <c r="C81" i="9"/>
  <c r="D13" i="53"/>
  <c r="D14" i="53"/>
  <c r="B32" i="72"/>
  <c r="C80" i="9"/>
  <c r="E80" i="9"/>
  <c r="B20" i="72"/>
  <c r="F5" i="52"/>
  <c r="G4" i="52"/>
  <c r="D5" i="53"/>
  <c r="D6" i="53"/>
  <c r="B22" i="72"/>
  <c r="H102" i="9"/>
  <c r="D7" i="53"/>
  <c r="B21" i="72"/>
  <c r="F119" i="9"/>
  <c r="C6" i="74"/>
  <c r="H107" i="9"/>
  <c r="H108" i="9"/>
  <c r="D15" i="53"/>
  <c r="B31" i="72"/>
  <c r="E118" i="9"/>
  <c r="D118" i="9"/>
  <c r="D119" i="9"/>
  <c r="D5" i="52"/>
  <c r="B49" i="72"/>
  <c r="E97" i="9"/>
  <c r="C72" i="9"/>
  <c r="C79" i="9"/>
  <c r="D59" i="9"/>
  <c r="M55" i="9"/>
  <c r="H119" i="9"/>
  <c r="H5" i="52"/>
  <c r="C93" i="9"/>
  <c r="C86" i="9"/>
  <c r="C97" i="9"/>
  <c r="D58" i="9"/>
  <c r="D56" i="9"/>
  <c r="M54" i="9"/>
  <c r="C64" i="9"/>
  <c r="C63" i="9"/>
  <c r="C67" i="9"/>
  <c r="C68" i="9"/>
  <c r="D54" i="9"/>
  <c r="C85" i="9"/>
  <c r="C95" i="9"/>
  <c r="C96" i="9"/>
  <c r="E96" i="9"/>
  <c r="G118" i="9"/>
  <c r="F118" i="9"/>
  <c r="F4" i="52"/>
  <c r="B51"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<sst xmlns="http://schemas.openxmlformats.org/spreadsheetml/2006/main" count="7979" uniqueCount="3469">
  <si>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</si>
  <si>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</si>
  <si>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</si>
  <si>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</si>
  <si>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</si>
  <si>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</si>
  <si>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</si>
  <si>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</si>
  <si>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</si>
  <si>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</si>
  <si>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</si>
  <si>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</si>
  <si>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</si>
  <si>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</si>
  <si>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</si>
  <si>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</si>
  <si>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</si>
  <si>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</si>
  <si>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</si>
  <si>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</si>
  <si>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</si>
  <si>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</si>
  <si>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</si>
  <si>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</si>
  <si>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</si>
  <si>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</si>
  <si>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</si>
  <si>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</si>
  <si>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</si>
  <si>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</si>
  <si>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</si>
  <si>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</si>
  <si>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</si>
  <si>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</si>
  <si>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</si>
  <si>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</si>
  <si>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</si>
  <si>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</si>
  <si>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</si>
  <si>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</si>
  <si>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</si>
  <si>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</si>
  <si>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</si>
  <si>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</si>
  <si>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</si>
  <si>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</si>
  <si>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</si>
  <si>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</si>
  <si>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</si>
  <si>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</si>
  <si>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</si>
  <si>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</si>
  <si>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</si>
  <si>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</si>
  <si>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</si>
  <si>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</si>
  <si>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</si>
  <si>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</si>
  <si>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</si>
  <si>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</si>
  <si>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</si>
  <si>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</si>
  <si>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</si>
  <si>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</si>
  <si>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</si>
  <si>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</si>
  <si>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</si>
  <si>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</si>
  <si>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</si>
  <si>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</si>
  <si>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</si>
  <si>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</si>
  <si>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</si>
  <si>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</si>
  <si>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</si>
  <si>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</si>
  <si>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</si>
  <si>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</si>
  <si>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</si>
  <si>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</si>
  <si>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</si>
  <si>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</si>
  <si>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</si>
  <si>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</si>
  <si>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</si>
  <si>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</si>
  <si>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</si>
  <si>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</si>
  <si>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</si>
  <si>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</si>
  <si>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</si>
  <si>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</si>
  <si>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</si>
  <si>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</si>
  <si>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</si>
  <si>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</si>
  <si>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</si>
  <si>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</si>
  <si>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</si>
  <si>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</si>
  <si>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</si>
  <si>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</si>
  <si>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</si>
  <si>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</si>
  <si>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</si>
  <si>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</si>
  <si>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</si>
  <si>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</si>
  <si>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</si>
  <si>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</si>
  <si>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</si>
  <si>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</si>
  <si>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</si>
  <si>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</si>
  <si>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</si>
  <si>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</si>
  <si>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</si>
  <si>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</si>
  <si>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</si>
  <si>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</si>
  <si>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</si>
  <si>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</si>
  <si>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</si>
  <si>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</si>
  <si>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</si>
  <si>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</si>
  <si>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</si>
  <si>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</si>
  <si>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</si>
  <si>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</si>
  <si>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</si>
  <si>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</si>
  <si>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</si>
  <si>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</si>
  <si>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</si>
  <si>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</si>
  <si>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</si>
  <si>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</si>
  <si>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</si>
  <si>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</si>
  <si>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</si>
  <si>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</si>
  <si>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</si>
  <si>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</si>
  <si>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</si>
  <si>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</si>
  <si>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</si>
  <si>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</si>
  <si>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</si>
  <si>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</si>
  <si>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</si>
  <si>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</si>
  <si>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</si>
  <si>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</si>
  <si>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</si>
  <si>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</si>
  <si>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</si>
  <si>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</si>
  <si>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</si>
  <si>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</si>
  <si>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</si>
  <si>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</si>
  <si>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</si>
  <si>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</si>
  <si>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</si>
  <si>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</si>
  <si>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</si>
  <si>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</si>
  <si>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</si>
  <si>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</si>
  <si>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</si>
  <si>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</si>
  <si>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</si>
  <si>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</si>
  <si>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</si>
  <si>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</si>
  <si>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</si>
  <si>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</si>
  <si>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</si>
  <si>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</si>
  <si>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</si>
  <si>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</si>
  <si>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</si>
  <si>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</si>
  <si>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</si>
  <si>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</si>
  <si>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</si>
  <si>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</si>
  <si>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</si>
  <si>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</si>
  <si>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</si>
  <si>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</si>
  <si>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</si>
  <si>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</si>
  <si>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</si>
  <si>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</si>
  <si>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</si>
  <si>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</si>
  <si>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</si>
  <si>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</si>
  <si>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</si>
  <si>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</si>
  <si>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</si>
  <si>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</si>
  <si>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</si>
  <si>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</si>
  <si>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</si>
  <si>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</si>
  <si>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</si>
  <si>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</si>
  <si>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</si>
  <si>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</si>
  <si>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</si>
  <si>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</si>
  <si>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</si>
  <si>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</si>
  <si>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</si>
  <si>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</si>
  <si>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</si>
  <si>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</si>
  <si>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</si>
  <si>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</si>
  <si>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</si>
  <si>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</si>
  <si>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</si>
  <si>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</si>
  <si>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</si>
  <si>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</si>
  <si>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</si>
  <si>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</si>
  <si>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</si>
  <si>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</si>
  <si>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</si>
  <si>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</si>
  <si>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</si>
  <si>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</si>
  <si>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</si>
  <si>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</si>
  <si>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</si>
  <si>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</si>
  <si>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</si>
  <si>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</si>
  <si>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</si>
  <si>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</si>
  <si>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</si>
  <si>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</si>
  <si>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</si>
  <si>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</si>
  <si>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</si>
  <si>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</si>
  <si>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</si>
  <si>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</si>
  <si>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</si>
  <si>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</si>
  <si>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</si>
  <si>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</si>
  <si>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</si>
  <si>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</si>
  <si>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</si>
  <si>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</si>
  <si>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</si>
  <si>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</si>
  <si>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</si>
  <si>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</si>
  <si>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</si>
  <si>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</si>
  <si>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</si>
  <si>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</si>
  <si>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</si>
  <si>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</si>
  <si>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</si>
  <si>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</si>
  <si>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</si>
  <si>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</si>
  <si>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</si>
  <si>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</si>
  <si>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</si>
  <si>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</si>
  <si>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</si>
  <si>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</si>
  <si>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</si>
  <si>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</si>
  <si>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</si>
  <si>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</si>
  <si>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</si>
  <si>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</si>
  <si>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</si>
  <si>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</si>
  <si>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</si>
  <si>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</si>
  <si>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</si>
  <si>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</si>
  <si>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</si>
  <si>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</si>
  <si>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</si>
  <si>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</si>
  <si>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</si>
  <si>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</si>
  <si>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</si>
  <si>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</si>
  <si>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</si>
  <si>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</si>
  <si>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</si>
  <si>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</si>
  <si>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</si>
  <si>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</si>
  <si>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</si>
  <si>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</si>
  <si>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</si>
  <si>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</si>
  <si>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</si>
  <si>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</si>
  <si>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</si>
  <si>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</si>
  <si>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</si>
  <si>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</si>
  <si>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</si>
  <si>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</si>
  <si>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</si>
  <si>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</si>
  <si>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</si>
  <si>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</si>
  <si>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</si>
  <si>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</si>
  <si>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</si>
  <si>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</si>
  <si>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</si>
  <si>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</si>
  <si>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</si>
  <si>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</si>
  <si>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</si>
  <si>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</si>
  <si>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</si>
  <si>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</si>
  <si>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</si>
  <si>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</si>
  <si>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</si>
  <si>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</si>
  <si>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</si>
  <si>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</si>
  <si>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</si>
  <si>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</si>
  <si>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</si>
  <si>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</si>
  <si>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</si>
  <si>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</si>
  <si>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</si>
  <si>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</si>
  <si>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</si>
  <si>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</si>
  <si>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</si>
  <si>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</si>
  <si>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</si>
  <si>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</si>
  <si>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</si>
  <si>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</si>
  <si>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</si>
  <si>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</si>
  <si>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</si>
  <si>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</si>
  <si>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</si>
  <si>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</si>
  <si>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</si>
  <si>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</si>
  <si>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</si>
  <si>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</si>
  <si>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</si>
  <si>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</si>
  <si>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</si>
  <si>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</si>
  <si>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</si>
  <si>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</si>
  <si>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</si>
  <si>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</si>
  <si>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</si>
  <si>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</si>
  <si>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</si>
  <si>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</si>
  <si>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</si>
  <si>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</si>
  <si>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</si>
  <si>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</si>
  <si>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</si>
  <si>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</si>
  <si>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</si>
  <si>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</si>
  <si>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</si>
  <si>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</si>
  <si>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</si>
  <si>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</si>
  <si>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</si>
  <si>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</si>
  <si>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</si>
  <si>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</si>
  <si>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</si>
  <si>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</si>
  <si>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</si>
  <si>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</si>
  <si>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</si>
  <si>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</si>
  <si>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</si>
  <si>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</si>
  <si>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</si>
  <si>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</si>
  <si>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</si>
  <si>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</si>
  <si>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</si>
  <si>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</si>
  <si>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</si>
  <si>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</si>
  <si>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</si>
  <si>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</si>
  <si>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</si>
  <si>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</si>
  <si>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</si>
  <si>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</si>
  <si>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</si>
  <si>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</si>
  <si>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</si>
  <si>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</si>
  <si>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</si>
  <si>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</si>
  <si>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</si>
  <si>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</si>
  <si>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</si>
  <si>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</si>
  <si>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</si>
  <si>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</si>
  <si>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</si>
  <si>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</si>
  <si>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</si>
  <si>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</si>
  <si>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</si>
  <si>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</si>
  <si>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</si>
  <si>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</si>
  <si>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</si>
  <si>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</si>
  <si>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</si>
  <si>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</si>
  <si>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</si>
  <si>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</si>
  <si>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</si>
  <si>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</si>
  <si>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</si>
  <si>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</si>
  <si>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</si>
  <si>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</si>
  <si>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</si>
  <si>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</si>
  <si>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</si>
  <si>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</si>
  <si>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</si>
  <si>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</si>
  <si>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</si>
  <si>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</si>
  <si>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</si>
  <si>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</si>
  <si>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</si>
  <si>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</si>
  <si>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</si>
  <si>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</si>
  <si>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</si>
  <si>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</si>
  <si>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</si>
  <si>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</si>
  <si>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</si>
  <si>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</si>
  <si>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</si>
  <si>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</si>
  <si>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</si>
  <si>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</si>
  <si>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</si>
  <si>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</si>
  <si>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</si>
  <si>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</si>
  <si>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</si>
  <si>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</si>
  <si>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</si>
  <si>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</si>
  <si>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</si>
  <si>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</si>
  <si>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</si>
  <si>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</si>
  <si>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</si>
  <si>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</si>
  <si>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</si>
  <si>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</si>
  <si>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</si>
  <si>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</si>
  <si>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</si>
  <si>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</si>
  <si>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</si>
  <si>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</si>
  <si>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</si>
  <si>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</si>
  <si>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</si>
  <si>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</si>
  <si>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</si>
  <si>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</si>
  <si>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</si>
  <si>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</si>
  <si>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</si>
  <si>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</si>
  <si>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</si>
  <si>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</si>
  <si>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</si>
  <si>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</si>
  <si>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</si>
  <si>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</si>
  <si>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</si>
  <si>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</si>
  <si>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</si>
  <si>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</si>
  <si>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</si>
  <si>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</si>
  <si>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</si>
  <si>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</si>
  <si>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</si>
  <si>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</si>
  <si>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</si>
  <si>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</si>
  <si>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</si>
  <si>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</si>
  <si>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</si>
  <si>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</si>
  <si>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</si>
  <si>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</si>
  <si>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</si>
  <si>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</si>
  <si>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</si>
  <si>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</si>
  <si>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</si>
  <si>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</si>
  <si>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</si>
  <si>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</si>
  <si>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</si>
  <si>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</si>
  <si>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</si>
  <si>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</si>
  <si>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</si>
  <si>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</si>
  <si>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</si>
  <si>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</si>
  <si>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</si>
  <si>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</si>
  <si>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</si>
  <si>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</si>
  <si>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</si>
  <si>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</si>
  <si>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</si>
  <si>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</si>
  <si>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</si>
  <si>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</si>
  <si>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</si>
  <si>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</si>
  <si>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</si>
  <si>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</si>
  <si>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</si>
  <si>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</si>
  <si>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</si>
  <si>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</si>
  <si>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</si>
  <si>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</si>
  <si>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</si>
  <si>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</si>
  <si>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</si>
  <si>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</si>
  <si>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</si>
  <si>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</si>
  <si>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</si>
  <si>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</si>
  <si>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</si>
  <si>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</si>
  <si>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</si>
  <si>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</si>
  <si>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</si>
  <si>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</si>
  <si>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</si>
  <si>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</si>
  <si>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</si>
  <si>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</si>
  <si>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</si>
  <si>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</si>
  <si>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</si>
  <si>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</si>
  <si>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</si>
  <si>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</si>
  <si>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</si>
  <si>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</si>
  <si>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</si>
  <si>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</si>
  <si>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</si>
  <si>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</si>
  <si>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</si>
  <si>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</si>
  <si>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</si>
  <si>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</si>
  <si>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</si>
  <si>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</si>
  <si>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</si>
  <si>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</si>
  <si>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</si>
  <si>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</si>
  <si>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</si>
  <si>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</si>
  <si>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</si>
  <si>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</si>
  <si>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</si>
  <si>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</si>
  <si>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</si>
  <si>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</si>
  <si>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</si>
  <si>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</si>
  <si>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</si>
  <si>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</si>
  <si>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</si>
  <si>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</si>
  <si>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</si>
  <si>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</si>
  <si>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</si>
  <si>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</si>
  <si>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</si>
  <si>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</si>
  <si>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</si>
  <si>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</si>
  <si>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</si>
  <si>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</si>
  <si>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</si>
  <si>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</si>
  <si>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</si>
  <si>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</si>
  <si>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</si>
  <si>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</si>
  <si>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</si>
  <si>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</si>
  <si>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</si>
  <si>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</si>
  <si>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</si>
  <si>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</si>
  <si>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</si>
  <si>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</si>
  <si>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</si>
  <si>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</si>
  <si>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</si>
  <si>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</si>
  <si>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</si>
  <si>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</si>
  <si>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</si>
  <si>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</si>
  <si>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</si>
  <si>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</si>
  <si>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</si>
  <si>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</si>
  <si>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</si>
  <si>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</si>
  <si>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</si>
  <si>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</si>
  <si>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</si>
  <si>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</si>
  <si>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</si>
  <si>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</si>
  <si>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</si>
  <si>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</si>
  <si>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</si>
  <si>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</si>
  <si>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</si>
  <si>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</si>
  <si>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</si>
  <si>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</si>
  <si>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</si>
  <si>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</si>
  <si>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</si>
  <si>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</si>
  <si>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</si>
  <si>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</si>
  <si>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</si>
  <si>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</si>
  <si>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</si>
  <si>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</si>
  <si>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</si>
  <si>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</si>
  <si>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</si>
  <si>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</si>
  <si>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</si>
  <si>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</si>
  <si>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</si>
  <si>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</si>
  <si>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</si>
  <si>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</si>
  <si>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</si>
  <si>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</si>
  <si>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</si>
  <si>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</si>
  <si>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</si>
  <si>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</si>
  <si>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</si>
  <si>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</si>
  <si>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</si>
  <si>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</si>
  <si>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</si>
  <si>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</si>
  <si>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</si>
  <si>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</si>
  <si>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</si>
  <si>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</si>
  <si>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</si>
  <si>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</si>
  <si>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</si>
  <si>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</si>
  <si>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</si>
  <si>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</si>
  <si>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</si>
  <si>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</si>
  <si>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</si>
  <si>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</si>
  <si>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</si>
  <si>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</si>
  <si>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</si>
  <si>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</si>
  <si>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</si>
  <si>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</si>
  <si>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</si>
  <si>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</si>
  <si>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</si>
  <si>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</si>
  <si>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</si>
  <si>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</si>
  <si>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</si>
  <si>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</si>
  <si>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</si>
  <si>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</si>
  <si>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</si>
  <si>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</si>
  <si>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</si>
  <si>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</si>
  <si>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</si>
  <si>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</si>
  <si>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</si>
  <si>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</si>
  <si>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</si>
  <si>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</si>
  <si>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</si>
  <si>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</si>
  <si>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</si>
  <si>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</si>
  <si>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</si>
  <si>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</si>
  <si>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</si>
  <si>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</si>
  <si>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</si>
  <si>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</si>
  <si>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</si>
  <si>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</si>
  <si>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</si>
  <si>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</si>
  <si>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</si>
  <si>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</si>
  <si>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</si>
  <si>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</si>
  <si>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</si>
  <si>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</si>
  <si>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</si>
  <si>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</si>
  <si>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</si>
  <si>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</si>
  <si>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</si>
  <si>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</si>
  <si>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</si>
  <si>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</si>
  <si>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</si>
  <si>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</si>
  <si>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</si>
  <si>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</si>
  <si>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</si>
  <si>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</si>
  <si>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</si>
  <si>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</si>
  <si>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</si>
  <si>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</si>
  <si>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</si>
  <si>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</si>
  <si>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</si>
  <si>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</si>
  <si>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</si>
  <si>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</si>
  <si>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</si>
  <si>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</si>
  <si>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</si>
  <si>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</si>
  <si>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</si>
  <si>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</si>
  <si>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</si>
  <si>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</si>
  <si>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</si>
  <si>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</si>
  <si>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</si>
  <si>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</si>
  <si>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</si>
  <si>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</si>
  <si>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</si>
  <si>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</si>
  <si>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</si>
  <si>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</si>
  <si>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</si>
  <si>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</si>
  <si>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</si>
  <si>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</si>
  <si>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</si>
  <si>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</si>
  <si>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</si>
  <si>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</si>
  <si>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</si>
  <si>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</si>
  <si>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</si>
  <si>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</si>
  <si>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</si>
  <si>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</si>
  <si>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</si>
  <si>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</si>
  <si>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</si>
  <si>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</si>
  <si>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</si>
  <si>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</si>
  <si>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</si>
  <si>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</si>
  <si>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</si>
  <si>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</si>
  <si>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</si>
  <si>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</si>
  <si>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</si>
  <si>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</si>
  <si>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</si>
  <si>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</si>
  <si>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</si>
  <si>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</si>
  <si>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</si>
  <si>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</si>
  <si>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</si>
  <si>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</si>
  <si>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</si>
  <si>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</si>
  <si>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</si>
  <si>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</si>
  <si>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</si>
  <si>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</si>
  <si>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</si>
  <si>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</si>
  <si>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</si>
  <si>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</si>
  <si>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</si>
  <si>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</si>
  <si>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</si>
  <si>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</si>
  <si>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</si>
  <si>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</si>
  <si>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</si>
  <si>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</si>
  <si>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</si>
  <si>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</si>
  <si>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</si>
  <si>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</si>
  <si>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</si>
  <si>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</si>
  <si>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</si>
  <si>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</si>
  <si>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</si>
  <si>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</si>
  <si>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</si>
  <si>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</si>
  <si>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</si>
  <si>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</si>
  <si>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</si>
  <si>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</si>
  <si>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</si>
  <si>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</si>
  <si>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</si>
  <si>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</si>
  <si>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</si>
  <si>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</si>
  <si>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</si>
  <si>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</si>
  <si>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</si>
  <si>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</si>
  <si>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</si>
  <si>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</si>
  <si>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</si>
  <si>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</si>
  <si>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</si>
  <si>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</si>
  <si>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</si>
  <si>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</si>
  <si>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</si>
  <si>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</si>
  <si>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</si>
  <si>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</si>
  <si>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</si>
  <si>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</si>
  <si>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</si>
  <si>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</si>
  <si>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</si>
  <si>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</si>
  <si>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</si>
  <si>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</si>
  <si>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</si>
  <si>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</si>
  <si>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</si>
  <si>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</si>
  <si>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</si>
  <si>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</si>
  <si>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</si>
  <si>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</si>
  <si>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</si>
  <si>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</si>
  <si>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</si>
  <si>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</si>
  <si>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</si>
  <si>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</si>
  <si>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</si>
  <si>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</si>
  <si>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</si>
  <si>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</si>
  <si>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</si>
  <si>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</si>
  <si>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</si>
  <si>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</si>
  <si>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</si>
  <si>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</si>
  <si>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</si>
  <si>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</si>
  <si>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</si>
  <si>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</si>
  <si>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</si>
  <si>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</si>
  <si>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</si>
  <si>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</si>
  <si>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</si>
  <si>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</si>
  <si>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</si>
  <si>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</si>
  <si>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</si>
  <si>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</si>
  <si>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</si>
  <si>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</si>
  <si>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</si>
  <si>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</si>
  <si>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</si>
  <si>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</si>
  <si>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</si>
  <si>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</si>
  <si>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</si>
  <si>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</si>
  <si>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</si>
  <si>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</si>
  <si>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</si>
  <si>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</si>
  <si>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</si>
  <si>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</si>
  <si>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</si>
  <si>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</si>
  <si>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</si>
  <si>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</si>
  <si>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</si>
  <si>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</si>
  <si>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</si>
  <si>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</si>
  <si>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</si>
  <si>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</si>
  <si>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</si>
  <si>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</si>
  <si>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</si>
  <si>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</si>
  <si>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</si>
  <si>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</si>
  <si>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</si>
  <si>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</si>
  <si>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</si>
  <si>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</si>
  <si>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</si>
  <si>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</si>
  <si>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</si>
  <si>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</si>
  <si>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</si>
  <si>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</si>
  <si>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</si>
  <si>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</si>
  <si>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</si>
  <si>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</si>
  <si>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</si>
  <si>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</si>
  <si>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</si>
  <si>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</si>
  <si>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</si>
  <si>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</si>
  <si>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</si>
  <si>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</si>
  <si>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</si>
  <si>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</si>
  <si>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</si>
  <si>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</si>
  <si>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</si>
  <si>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</si>
  <si>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</si>
  <si>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</si>
  <si>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</si>
  <si>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</si>
  <si>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</si>
  <si>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</si>
  <si>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</si>
  <si>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</si>
  <si>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</si>
  <si>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</si>
  <si>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</si>
  <si>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</si>
  <si>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</si>
  <si>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</si>
  <si>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</si>
  <si>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</si>
  <si>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</si>
  <si>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</si>
  <si>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</si>
  <si>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</si>
  <si>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</si>
  <si>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</si>
  <si>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</si>
  <si>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</si>
  <si>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</si>
  <si>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</si>
  <si>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</si>
  <si>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</si>
  <si>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</si>
  <si>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</si>
  <si>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</si>
  <si>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</si>
  <si>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</si>
  <si>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</si>
  <si>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</si>
  <si>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</si>
  <si>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</si>
  <si>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</si>
  <si>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</si>
  <si>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</si>
  <si>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</si>
  <si>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</si>
  <si>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</si>
  <si>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</si>
  <si>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</si>
  <si>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</si>
  <si>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</si>
  <si>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</si>
  <si>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</si>
  <si>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</si>
  <si>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</si>
  <si>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</si>
  <si>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</si>
  <si>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</si>
  <si>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</si>
  <si>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</si>
  <si>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</si>
  <si>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</si>
  <si>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</si>
  <si>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</si>
  <si>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</si>
  <si>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</si>
  <si>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</si>
  <si>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</si>
  <si>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</si>
  <si>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</si>
  <si>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</si>
  <si>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</si>
  <si>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</si>
  <si>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</si>
  <si>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</si>
  <si>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</si>
  <si>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</si>
  <si>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</si>
  <si>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</si>
  <si>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</si>
  <si>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</si>
  <si>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</si>
  <si>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</si>
  <si>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</si>
  <si>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</si>
  <si>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</si>
  <si>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</si>
  <si>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</si>
  <si>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</si>
  <si>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</si>
  <si>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</si>
  <si>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</si>
  <si>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</si>
  <si>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</si>
  <si>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</si>
  <si>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</si>
  <si>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</si>
  <si>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</si>
  <si>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</si>
  <si>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</si>
  <si>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</si>
  <si>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</si>
  <si>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</si>
  <si>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</si>
  <si>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</si>
  <si>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</si>
  <si>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</si>
  <si>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</si>
  <si>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</si>
  <si>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</si>
  <si>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</si>
  <si>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</si>
  <si>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</si>
  <si>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</si>
  <si>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</si>
  <si>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</si>
  <si>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</si>
  <si>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</si>
  <si>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</si>
  <si>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</si>
  <si>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</si>
  <si>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</si>
  <si>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</si>
  <si>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</si>
  <si>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</si>
  <si>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</si>
  <si>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</si>
  <si>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</si>
  <si>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</si>
  <si>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</si>
  <si>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</si>
  <si>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</si>
  <si>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</si>
  <si>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</si>
  <si>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</si>
  <si>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</si>
  <si>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</si>
  <si>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</si>
  <si>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</si>
  <si>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</si>
  <si>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</si>
  <si>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</si>
  <si>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</si>
  <si>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</si>
  <si>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</si>
  <si>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</si>
  <si>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</si>
  <si>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</si>
  <si>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</si>
  <si>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</si>
  <si>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</si>
  <si>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</si>
  <si>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</si>
  <si>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</si>
  <si>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</si>
  <si>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</si>
  <si>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</si>
  <si>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</si>
  <si>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</si>
  <si>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</si>
  <si>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</si>
  <si>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</si>
  <si>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</si>
  <si>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</si>
  <si>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</si>
  <si>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</si>
  <si>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</si>
  <si>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</si>
  <si>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</si>
  <si>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</si>
  <si>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</si>
  <si>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</si>
  <si>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</si>
  <si>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</si>
  <si>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</si>
  <si>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</si>
  <si>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</si>
  <si>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</si>
  <si>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</si>
  <si>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</si>
  <si>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</si>
  <si>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</si>
  <si>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</si>
  <si>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</si>
  <si>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</si>
  <si>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</si>
  <si>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</si>
  <si>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</si>
  <si>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</si>
  <si>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</si>
  <si>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</si>
  <si>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</si>
  <si>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</si>
  <si>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</si>
  <si>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</si>
  <si>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</si>
  <si>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</si>
  <si>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</si>
  <si>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</si>
  <si>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</si>
  <si>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</si>
  <si>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</si>
  <si>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</si>
  <si>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</si>
  <si>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</si>
  <si>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</si>
  <si>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</si>
  <si>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</si>
  <si>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</si>
  <si>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</si>
  <si>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</si>
  <si>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</si>
  <si>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</si>
  <si>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</si>
  <si>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</si>
  <si>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</si>
  <si>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</si>
  <si>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</si>
  <si>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</si>
  <si>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</si>
  <si>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</si>
  <si>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</si>
  <si>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</si>
  <si>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</si>
  <si>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</si>
  <si>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</si>
  <si>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</si>
  <si>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</si>
  <si>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</si>
  <si>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</si>
  <si>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</si>
  <si>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</si>
  <si>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</si>
  <si>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</si>
  <si>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</si>
  <si>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</si>
  <si>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</si>
  <si>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</si>
  <si>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</si>
  <si>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</si>
  <si>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</si>
  <si>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</si>
  <si>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</si>
  <si>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</si>
  <si>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</si>
  <si>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</si>
  <si>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</si>
  <si>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</si>
  <si>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</si>
  <si>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</si>
  <si>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</si>
  <si>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</si>
  <si>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</si>
  <si>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</si>
  <si>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</si>
  <si>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</si>
  <si>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</si>
  <si>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</si>
  <si>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</si>
  <si>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</si>
  <si>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</si>
  <si>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</si>
  <si>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</si>
  <si>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</si>
  <si>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</si>
  <si>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</si>
  <si>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</si>
  <si>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</si>
  <si>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</si>
  <si>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</si>
  <si>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</si>
  <si>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</si>
  <si>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</si>
  <si>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</si>
  <si>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</si>
  <si>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</si>
  <si>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</si>
  <si>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</si>
  <si>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</si>
  <si>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</si>
  <si>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</si>
  <si>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</si>
  <si>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</si>
  <si>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</si>
  <si>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</si>
  <si>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</si>
  <si>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</si>
  <si>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</si>
  <si>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</si>
  <si>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</si>
  <si>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</si>
  <si>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</si>
  <si>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</si>
  <si>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</si>
  <si>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</si>
  <si>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</si>
  <si>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</si>
  <si>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</si>
  <si>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</si>
  <si>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</si>
  <si>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</si>
  <si>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</si>
  <si>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</si>
  <si>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</si>
  <si>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</si>
  <si>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</si>
  <si>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</si>
  <si>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</si>
  <si>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</si>
  <si>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</si>
  <si>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</si>
  <si>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</si>
  <si>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</si>
  <si>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</si>
  <si>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</si>
  <si>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</si>
  <si>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</si>
  <si>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</si>
  <si>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</si>
  <si>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</si>
  <si>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</si>
  <si>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</si>
  <si>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</si>
  <si>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</si>
  <si>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</si>
  <si>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</si>
  <si>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</si>
  <si>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</si>
  <si>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</si>
  <si>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</si>
  <si>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</si>
  <si>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</si>
  <si>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</si>
  <si>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</si>
  <si>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</si>
  <si>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</si>
  <si>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</si>
  <si>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</si>
  <si>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</si>
  <si>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</si>
  <si>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</si>
  <si>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</si>
  <si>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</si>
  <si>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</si>
  <si>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</si>
  <si>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</si>
  <si>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</si>
  <si>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</si>
  <si>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</si>
  <si>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</si>
  <si>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</si>
  <si>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</si>
  <si>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</si>
  <si>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</si>
  <si>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</si>
  <si>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</si>
  <si>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</si>
  <si>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</si>
  <si>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</si>
  <si>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</si>
  <si>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</si>
  <si>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</si>
  <si>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</si>
  <si>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</si>
  <si>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</si>
  <si>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</si>
  <si>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</si>
  <si>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</si>
  <si>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</si>
  <si>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</si>
  <si>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</si>
  <si>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</si>
  <si>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</si>
  <si>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</si>
  <si>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</si>
  <si>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</si>
  <si>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</si>
  <si>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</si>
  <si>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</si>
  <si>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</si>
  <si>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</si>
  <si>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</si>
  <si>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</si>
  <si>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</si>
  <si>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</si>
  <si>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</si>
  <si>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</si>
  <si>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</si>
  <si>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</si>
  <si>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</si>
  <si>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</si>
  <si>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</si>
  <si>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</si>
  <si>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</si>
  <si>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</si>
  <si>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</si>
  <si>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</si>
  <si>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</si>
  <si>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</si>
  <si>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</si>
  <si>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</si>
  <si>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</si>
  <si>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</si>
  <si>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</si>
  <si>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</si>
  <si>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</si>
  <si>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</si>
  <si>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</si>
  <si>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</si>
  <si>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</si>
  <si>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</si>
  <si>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</si>
  <si>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</si>
  <si>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</si>
  <si>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</si>
  <si>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</si>
  <si>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</si>
  <si>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</si>
  <si>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</si>
  <si>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</si>
  <si>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</si>
  <si>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</si>
  <si>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</si>
  <si>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</si>
  <si>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</si>
  <si>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</si>
  <si>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</si>
  <si>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</si>
  <si>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</si>
  <si>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</si>
  <si>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</si>
  <si>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</si>
  <si>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</si>
  <si>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</si>
  <si>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</si>
  <si>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</si>
  <si>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</si>
  <si>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</si>
  <si>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</si>
  <si>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</si>
  <si>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</si>
  <si>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</si>
  <si>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</si>
  <si>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</si>
  <si>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</si>
  <si>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</si>
  <si>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</si>
  <si>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</si>
  <si>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</si>
  <si>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</si>
  <si>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</si>
  <si>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</si>
  <si>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</si>
  <si>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</si>
  <si>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</si>
  <si>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</si>
  <si>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</si>
  <si>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</si>
  <si>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</si>
  <si>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</si>
  <si>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</si>
  <si>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</si>
  <si>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</si>
  <si>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</si>
  <si>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</si>
  <si>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</si>
  <si>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</si>
  <si>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</si>
  <si>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</si>
  <si>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</si>
  <si>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</si>
  <si>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</si>
  <si>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</si>
  <si>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</si>
  <si>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</si>
  <si>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</si>
  <si>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</si>
  <si>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</si>
  <si>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</si>
  <si>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</si>
  <si>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</si>
  <si>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</si>
  <si>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</si>
  <si>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</si>
  <si>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</si>
  <si>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</si>
  <si>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</si>
  <si>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</si>
  <si>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</si>
  <si>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</si>
  <si>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</si>
  <si>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</si>
  <si>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</si>
  <si>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</si>
  <si>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</si>
  <si>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</si>
  <si>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</si>
  <si>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</si>
  <si>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</si>
  <si>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</si>
  <si>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</si>
  <si>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</si>
  <si>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</si>
  <si>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</si>
  <si>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</si>
  <si>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</si>
  <si>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</si>
  <si>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</si>
  <si>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</si>
  <si>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</si>
  <si>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</si>
  <si>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</si>
  <si>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</si>
  <si>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</si>
  <si>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</si>
  <si>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</si>
  <si>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</si>
  <si>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</si>
  <si>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</si>
  <si>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</si>
  <si>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</si>
  <si>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</si>
  <si>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</si>
  <si>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</si>
  <si>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</si>
  <si>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</si>
  <si>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</si>
  <si>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</si>
  <si>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</si>
  <si>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</si>
  <si>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</si>
  <si>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</si>
  <si>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</si>
  <si>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</si>
  <si>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</si>
  <si>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</si>
  <si>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</si>
  <si>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</si>
  <si>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</si>
  <si>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</si>
  <si>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</si>
  <si>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</si>
  <si>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</si>
  <si>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</si>
  <si>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</si>
  <si>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</si>
  <si>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</si>
  <si>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</si>
  <si>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</si>
  <si>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</si>
  <si>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</si>
  <si>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</si>
  <si>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</si>
  <si>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</si>
  <si>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</si>
  <si>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</si>
  <si>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</si>
  <si>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</si>
  <si>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</si>
  <si>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</si>
  <si>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</si>
  <si>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</si>
  <si>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</si>
  <si>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</si>
  <si>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</si>
  <si>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</si>
  <si>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</si>
  <si>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</si>
  <si>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</si>
  <si>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</si>
  <si>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</si>
  <si>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</si>
  <si>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</si>
  <si>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</si>
  <si>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</si>
  <si>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</si>
  <si>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</si>
  <si>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</si>
  <si>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</si>
  <si>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</si>
  <si>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</si>
  <si>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</si>
  <si>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</si>
  <si>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</si>
  <si>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</si>
  <si>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</si>
  <si>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</si>
  <si>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</si>
  <si>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</si>
  <si>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</si>
  <si>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</si>
  <si>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</si>
  <si>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</si>
  <si>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</si>
  <si>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</si>
  <si>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</si>
  <si>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</si>
  <si>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</si>
  <si>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</si>
  <si>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</si>
  <si>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</si>
  <si>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</si>
  <si>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</si>
  <si>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</si>
  <si>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</si>
  <si>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</si>
  <si>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</si>
  <si>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</si>
  <si>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</si>
  <si>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</si>
  <si>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</si>
  <si>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</si>
  <si>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</si>
  <si>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</si>
  <si>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</si>
  <si>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</si>
  <si>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</si>
  <si>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</si>
  <si>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</si>
  <si>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</si>
  <si>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</si>
  <si>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</si>
  <si>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</si>
  <si>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</si>
  <si>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</si>
  <si>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</si>
  <si>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</si>
  <si>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</si>
  <si>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</si>
  <si>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</si>
  <si>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</si>
  <si>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</si>
  <si>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</si>
  <si>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</si>
  <si>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</si>
  <si>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</si>
  <si>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</si>
  <si>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</si>
  <si>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</si>
  <si>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</si>
  <si>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</si>
  <si>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</si>
  <si>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</si>
  <si>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</si>
  <si>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</si>
  <si>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</si>
  <si>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</si>
  <si>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</si>
  <si>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</si>
  <si>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</si>
  <si>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</si>
  <si>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</si>
  <si>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</si>
  <si>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</si>
  <si>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</si>
  <si>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</si>
  <si>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</si>
  <si>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</si>
  <si>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</si>
  <si>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</si>
  <si>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</si>
  <si>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</si>
  <si>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</si>
  <si>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</si>
  <si>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</si>
  <si>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</si>
  <si>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</si>
  <si>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</si>
  <si>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</si>
  <si>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</si>
  <si>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</si>
  <si>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</si>
  <si>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</si>
  <si>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</si>
  <si>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</si>
  <si>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</si>
  <si>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</si>
  <si>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</si>
  <si>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</si>
  <si>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</si>
  <si>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</si>
  <si>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</si>
  <si>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</si>
  <si>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</si>
  <si>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</si>
  <si>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</si>
  <si>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</si>
  <si>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</si>
  <si>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</si>
  <si>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</si>
  <si>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</si>
  <si>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</si>
  <si>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</si>
  <si>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</si>
  <si>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</si>
  <si>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</si>
  <si>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</si>
  <si>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</si>
  <si>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</si>
  <si>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</si>
  <si>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</si>
  <si>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</si>
  <si>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</si>
  <si>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</si>
  <si>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</si>
  <si>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</si>
  <si>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</si>
  <si>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</si>
  <si>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</si>
  <si>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</si>
  <si>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</si>
  <si>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</si>
  <si>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</si>
  <si>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</si>
  <si>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</si>
  <si>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</si>
  <si>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</si>
  <si>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</si>
  <si>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</si>
  <si>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</si>
  <si>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</si>
  <si>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</si>
  <si>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</si>
  <si>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</si>
  <si>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</si>
  <si>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</si>
  <si>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</si>
  <si>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</si>
  <si>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</si>
  <si>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</si>
  <si>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</si>
  <si>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</si>
  <si>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</si>
  <si>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</si>
  <si>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</si>
  <si>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</si>
  <si>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</si>
  <si>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</si>
  <si>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</si>
  <si>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</si>
  <si>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</si>
  <si>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</si>
  <si>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</si>
  <si>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</si>
  <si>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</si>
  <si>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</si>
  <si>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</si>
  <si>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</si>
  <si>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</si>
  <si>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</si>
  <si>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</si>
  <si>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</si>
  <si>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</si>
  <si>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</si>
  <si>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</si>
  <si>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</si>
  <si>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</si>
  <si>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</si>
  <si>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</si>
  <si>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</si>
  <si>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</si>
  <si>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</si>
  <si>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</si>
  <si>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</si>
  <si>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</si>
  <si>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</si>
  <si>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</si>
  <si>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</si>
  <si>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</si>
  <si>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</si>
  <si>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</si>
  <si>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</si>
  <si>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</si>
  <si>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</si>
  <si>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</si>
  <si>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</si>
  <si>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</si>
  <si>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</si>
  <si>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</si>
  <si>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</si>
  <si>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</si>
  <si>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</si>
  <si>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</si>
  <si>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</si>
  <si>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</si>
  <si>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</si>
  <si>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</si>
  <si>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</si>
  <si>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</si>
  <si>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</si>
  <si>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</si>
  <si>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</si>
  <si>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</si>
  <si>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</si>
  <si>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</si>
  <si>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</si>
  <si>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</si>
  <si>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</si>
  <si>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</si>
  <si>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</si>
  <si>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</si>
  <si>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</si>
  <si>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</si>
  <si>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</si>
  <si>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</si>
  <si>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</si>
  <si>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</si>
  <si>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</si>
  <si>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</si>
  <si>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</si>
  <si>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</si>
  <si>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</si>
  <si>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</si>
  <si>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</si>
  <si>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</si>
  <si>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</si>
  <si>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</si>
  <si>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</si>
  <si>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</si>
  <si>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</si>
  <si>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</si>
  <si>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</si>
  <si>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</si>
  <si>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</si>
  <si>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</si>
  <si>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</si>
  <si>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</si>
  <si>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</si>
  <si>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</si>
  <si>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</si>
  <si>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</si>
  <si>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</si>
  <si>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</si>
  <si>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</si>
  <si>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</si>
  <si>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</si>
  <si>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</si>
  <si>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</si>
  <si>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</si>
  <si>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</si>
  <si>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</si>
  <si>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</si>
  <si>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</si>
  <si>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</si>
  <si>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</si>
  <si>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</si>
  <si>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</si>
  <si>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</si>
  <si>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</si>
  <si>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</si>
  <si>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</si>
  <si>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</si>
  <si>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</si>
  <si>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</si>
  <si>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</si>
  <si>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</si>
  <si>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</si>
  <si>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</si>
  <si>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</si>
  <si>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</si>
  <si>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</si>
  <si>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</si>
  <si>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</si>
  <si>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</si>
  <si>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</si>
  <si>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</si>
  <si>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</si>
  <si>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</si>
  <si>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</si>
  <si>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</si>
  <si>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</si>
  <si>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</si>
  <si>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</si>
  <si>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</si>
  <si>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</si>
  <si>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</si>
  <si>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</si>
  <si>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</si>
  <si>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</si>
  <si>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</si>
  <si>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</si>
  <si>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</si>
  <si>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</si>
  <si>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</si>
  <si>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</si>
  <si>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</si>
  <si>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</si>
  <si>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</si>
  <si>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</si>
  <si>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</si>
  <si>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</si>
  <si>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</si>
  <si>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</si>
  <si>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</si>
  <si>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</si>
  <si>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</si>
  <si>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</si>
  <si>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</si>
  <si>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</si>
  <si>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</si>
  <si>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</si>
  <si>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</si>
  <si>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</si>
  <si>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</si>
  <si>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</si>
  <si>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</si>
  <si>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</si>
  <si>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</si>
  <si>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</si>
  <si>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</si>
  <si>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</si>
  <si>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</si>
  <si>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</si>
  <si>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</si>
  <si>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</si>
  <si>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</si>
  <si>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</si>
  <si>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</si>
  <si>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</si>
  <si>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</si>
  <si>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</si>
  <si>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</si>
  <si>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</si>
  <si>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</si>
  <si>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</si>
  <si>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</si>
  <si>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</si>
  <si>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</si>
  <si>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</si>
  <si>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</si>
  <si>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</si>
  <si>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</si>
  <si>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</si>
  <si>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</si>
  <si>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</si>
  <si>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</si>
  <si>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</si>
  <si>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</si>
  <si>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</si>
  <si>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</si>
  <si>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</si>
  <si>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</si>
  <si>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</si>
  <si>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</si>
  <si>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</si>
  <si>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</si>
  <si>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</si>
  <si>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</si>
  <si>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</si>
  <si>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</si>
  <si>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</si>
  <si>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</si>
  <si>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</si>
  <si>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</si>
  <si>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</si>
  <si>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</si>
  <si>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</si>
  <si>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</si>
  <si>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</si>
  <si>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</si>
  <si>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</si>
  <si>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</si>
  <si>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</si>
  <si>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</si>
  <si>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</si>
  <si>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</si>
  <si>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</si>
  <si>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</si>
  <si>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</si>
  <si>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</si>
  <si>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</si>
  <si>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</si>
  <si>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</si>
  <si>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</si>
  <si>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</si>
  <si>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</si>
  <si>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</si>
  <si>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</si>
  <si>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</si>
  <si>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</si>
  <si>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</si>
  <si>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</si>
  <si>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</si>
  <si>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</si>
  <si>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</si>
  <si>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</si>
  <si>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</si>
  <si>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</si>
  <si>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</si>
  <si>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</si>
  <si>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</si>
  <si>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</si>
  <si>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</si>
  <si>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</si>
  <si>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</si>
  <si>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</si>
  <si>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</si>
  <si>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</si>
  <si>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</si>
  <si>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</si>
  <si>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</si>
  <si>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</si>
  <si>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</si>
  <si>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</si>
  <si>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</si>
  <si>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</si>
  <si>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</si>
  <si>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</si>
  <si>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</si>
  <si>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</si>
  <si>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</si>
  <si>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</si>
  <si>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</si>
  <si>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</si>
  <si>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</si>
  <si>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</si>
  <si>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</si>
  <si>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</si>
  <si>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</si>
  <si>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</si>
  <si>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</si>
  <si>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</si>
  <si>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</si>
  <si>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</si>
  <si>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</si>
  <si>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</si>
  <si>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</si>
  <si>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</si>
  <si>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</si>
  <si>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</si>
  <si>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</si>
  <si>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</si>
  <si>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</si>
  <si>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</si>
  <si>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</si>
  <si>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</si>
  <si>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</si>
  <si>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</si>
  <si>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</si>
  <si>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</si>
  <si>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</si>
  <si>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</si>
  <si>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</si>
  <si>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</si>
  <si>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</si>
  <si>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</si>
  <si>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</si>
  <si>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</si>
  <si>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</si>
  <si>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</si>
  <si>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</si>
  <si>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</si>
  <si>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</si>
  <si>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</si>
  <si>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</si>
  <si>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</si>
  <si>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</si>
  <si>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</si>
  <si>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</si>
  <si>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</si>
  <si>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</si>
  <si>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</si>
  <si>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</si>
  <si>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</si>
  <si>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</si>
  <si>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</si>
  <si>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</si>
  <si>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</si>
  <si>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</si>
  <si>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</si>
  <si>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</si>
  <si>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</si>
  <si>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</si>
  <si>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</si>
  <si>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</si>
  <si>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</si>
  <si>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</si>
  <si>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</si>
  <si>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</si>
  <si>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</si>
  <si>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</si>
  <si>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</si>
  <si>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</si>
  <si>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</si>
  <si>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</si>
  <si>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</si>
  <si>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</si>
  <si>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</si>
  <si>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</si>
  <si>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</si>
  <si>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</si>
  <si>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</si>
  <si>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</si>
  <si>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</si>
  <si>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</si>
  <si>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</si>
  <si>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</si>
  <si>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</si>
  <si>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</si>
  <si>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</si>
  <si>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</si>
  <si>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</si>
  <si>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</si>
  <si>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</si>
  <si>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</si>
  <si>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</si>
  <si>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</si>
  <si>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</si>
  <si>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</si>
  <si>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</si>
  <si>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</si>
  <si>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</si>
  <si>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</si>
  <si>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</si>
  <si>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</si>
  <si>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</si>
  <si>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</si>
  <si>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</si>
  <si>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</si>
  <si>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</si>
  <si>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</si>
  <si>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</si>
  <si>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</si>
  <si>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</si>
  <si>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</si>
  <si>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</si>
  <si>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</si>
  <si>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</si>
  <si>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</si>
  <si>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</si>
  <si>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</si>
  <si>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</si>
  <si>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</si>
  <si>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</si>
  <si>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</si>
  <si>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</si>
  <si>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</si>
  <si>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</si>
  <si>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</si>
  <si>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</si>
  <si>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</si>
  <si>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</si>
  <si>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</si>
  <si>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</si>
  <si>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</si>
  <si>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</si>
  <si>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</si>
  <si>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</si>
  <si>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</si>
  <si>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</si>
  <si>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</si>
  <si>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</si>
  <si>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</si>
  <si>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</si>
  <si>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</si>
  <si>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</si>
  <si>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</si>
  <si>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</si>
  <si>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</si>
  <si>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</si>
  <si>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</si>
  <si>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</si>
  <si>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</si>
  <si>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</si>
  <si>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</si>
  <si>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</si>
  <si>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</si>
  <si>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</si>
  <si>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</si>
  <si>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</si>
  <si>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</si>
  <si>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</si>
  <si>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</si>
  <si>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</si>
  <si>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</si>
  <si>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</si>
  <si>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</si>
  <si>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</si>
  <si>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</si>
  <si>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</si>
  <si>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</si>
  <si>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</si>
  <si>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</si>
  <si>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</si>
  <si>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</si>
  <si>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</si>
  <si>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</si>
  <si>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</si>
  <si>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</si>
  <si>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</si>
  <si>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</si>
  <si>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</si>
  <si>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</si>
  <si>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</si>
  <si>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</si>
  <si>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</si>
  <si>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</si>
  <si>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</si>
  <si>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</si>
  <si>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</si>
  <si>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</si>
  <si>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</si>
  <si>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</si>
  <si>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</si>
  <si>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</si>
  <si>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</si>
  <si>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</si>
  <si>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</si>
  <si>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</si>
  <si>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</si>
  <si>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</si>
  <si>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</si>
  <si>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</si>
  <si>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</si>
  <si>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</si>
  <si>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</si>
  <si>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</si>
  <si>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</si>
  <si>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</si>
  <si>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</si>
  <si>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</si>
  <si>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</si>
  <si>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</si>
  <si>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</si>
  <si>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</si>
  <si>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</si>
  <si>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</si>
  <si>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</si>
  <si>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</si>
  <si>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</si>
  <si>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</si>
  <si>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</si>
  <si>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</si>
  <si>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</si>
  <si>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</si>
  <si>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</si>
  <si>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</si>
  <si>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</si>
  <si>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</si>
  <si>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</si>
  <si>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</si>
  <si>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</si>
  <si>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</si>
  <si>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</si>
  <si>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</si>
  <si>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</si>
  <si>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</si>
  <si>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</si>
  <si>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</si>
  <si>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</si>
  <si>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</si>
  <si>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</si>
  <si>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</si>
  <si>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</si>
  <si>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</si>
  <si>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</si>
  <si>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</si>
  <si>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</si>
  <si>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</si>
  <si>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</si>
  <si>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</si>
  <si>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</si>
  <si>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</si>
  <si>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</si>
  <si>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</si>
  <si>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</si>
  <si>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</si>
  <si>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</si>
  <si>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</si>
  <si>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</si>
  <si>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</si>
  <si>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</si>
  <si>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</si>
  <si>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</si>
  <si>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</si>
  <si>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</si>
  <si>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</si>
  <si>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</si>
  <si>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</si>
  <si>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</si>
  <si>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</si>
  <si>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</si>
  <si>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</si>
  <si>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</si>
  <si>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</si>
  <si>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</si>
  <si>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</si>
  <si>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</si>
  <si>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</si>
  <si>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</si>
  <si>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</si>
  <si>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</si>
  <si>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</si>
  <si>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</si>
  <si>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</si>
  <si>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</si>
  <si>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</si>
  <si>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</si>
  <si>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</si>
  <si>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</si>
  <si>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</si>
  <si>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</si>
  <si>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</si>
  <si>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</si>
  <si>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</si>
  <si>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</si>
  <si>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</si>
  <si>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</si>
  <si>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</si>
  <si>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</si>
  <si>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</si>
  <si>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</si>
  <si>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</si>
  <si>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</si>
  <si>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</si>
  <si>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</si>
  <si>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</si>
  <si>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</si>
  <si>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</si>
  <si>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</si>
  <si>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</si>
  <si>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</si>
  <si>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</si>
  <si>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</si>
  <si>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</si>
  <si>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</si>
  <si>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</si>
  <si>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</si>
  <si>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</si>
  <si>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</si>
  <si>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</si>
  <si>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</si>
  <si>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</si>
  <si>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</si>
  <si>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</si>
  <si>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</si>
  <si>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</si>
  <si>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</si>
  <si>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</si>
  <si>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</si>
  <si>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</si>
  <si>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</si>
  <si>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</si>
  <si>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</si>
  <si>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</si>
  <si>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</si>
  <si>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</si>
  <si>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</si>
  <si>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</si>
  <si>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</si>
  <si>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</si>
  <si>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</si>
  <si>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</si>
  <si>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</si>
  <si>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</si>
  <si>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</si>
  <si>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</si>
  <si>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</si>
  <si>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</si>
  <si>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</si>
  <si>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</si>
  <si>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</si>
  <si>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</si>
  <si>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</si>
  <si>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</si>
  <si>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</si>
  <si>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</si>
  <si>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</si>
  <si>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</si>
  <si>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</si>
  <si>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</si>
  <si>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</si>
  <si>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</si>
  <si>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</si>
  <si>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</si>
  <si>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</si>
  <si>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</si>
  <si>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</si>
  <si>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</si>
  <si>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</si>
  <si>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</si>
  <si>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</si>
  <si>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</si>
  <si>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</si>
  <si>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</si>
  <si>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</si>
  <si>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</si>
  <si>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</si>
  <si>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</si>
  <si>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</si>
  <si>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</si>
  <si>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</si>
  <si>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</si>
  <si>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</si>
  <si>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</si>
  <si>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</si>
  <si>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</si>
  <si>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</si>
  <si>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</si>
  <si>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</si>
  <si>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</si>
  <si>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</si>
  <si>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</si>
  <si>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</si>
  <si>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</si>
  <si>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</si>
  <si>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</si>
  <si>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</si>
  <si>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</si>
  <si>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</si>
  <si>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</si>
  <si>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</si>
  <si>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</si>
  <si>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</si>
  <si>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</si>
  <si>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</si>
  <si>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</si>
  <si>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</si>
  <si>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</si>
  <si>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</si>
  <si>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</si>
  <si>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</si>
  <si>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</si>
  <si>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</si>
  <si>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</si>
  <si>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</si>
  <si>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</si>
  <si>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</si>
  <si>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</si>
  <si>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</si>
  <si>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</si>
  <si>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</si>
  <si>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</si>
  <si>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</si>
  <si>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</si>
  <si>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</si>
  <si>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</si>
  <si>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</si>
  <si>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</si>
  <si>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</si>
  <si>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</si>
  <si>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</si>
  <si>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</si>
  <si>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</si>
  <si>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</si>
  <si>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</si>
  <si>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</si>
  <si>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</si>
  <si>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</si>
  <si>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</si>
  <si>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</si>
  <si>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</si>
  <si>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</si>
  <si>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</si>
  <si>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</si>
  <si>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</si>
  <si>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</si>
  <si>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</si>
  <si>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</si>
  <si>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</si>
  <si>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</si>
  <si>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</si>
  <si>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</si>
  <si>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</si>
  <si>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</si>
  <si>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</si>
  <si>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</si>
  <si>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</si>
  <si>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</si>
  <si>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</si>
  <si>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</si>
  <si>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</si>
  <si>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</si>
  <si>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</si>
  <si>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</si>
  <si>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</si>
  <si>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</si>
  <si>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</si>
  <si>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</si>
  <si>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</si>
  <si>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</si>
  <si>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</si>
  <si>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</si>
  <si>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</si>
  <si>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</si>
  <si>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</si>
  <si>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</si>
  <si>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</si>
  <si>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</si>
  <si>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</si>
  <si>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</si>
  <si>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</si>
  <si>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</si>
  <si>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</si>
  <si>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</si>
  <si>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</si>
  <si>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</si>
  <si>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</si>
  <si>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</si>
  <si>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</si>
  <si>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</si>
  <si>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</si>
  <si>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</si>
  <si>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</si>
  <si>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</si>
  <si>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</si>
  <si>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</si>
  <si>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</si>
  <si>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</si>
  <si>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</si>
  <si>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</si>
  <si>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</si>
  <si>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</si>
  <si>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</si>
  <si>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</si>
  <si>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</si>
  <si>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</si>
  <si>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</si>
  <si>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</si>
  <si>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</si>
  <si>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</si>
  <si>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</si>
  <si>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</si>
  <si>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</si>
  <si>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</si>
  <si>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</si>
  <si>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</si>
  <si>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</si>
  <si>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</si>
  <si>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</si>
  <si>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</si>
  <si>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</si>
  <si>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</si>
  <si>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</si>
  <si>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</si>
  <si>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</si>
  <si>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</si>
  <si>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</si>
  <si>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</si>
  <si>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</si>
  <si>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</si>
  <si>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</si>
  <si>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</si>
  <si>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</si>
  <si>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</si>
  <si>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</si>
  <si>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</si>
  <si>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</si>
  <si>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</si>
  <si>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</si>
  <si>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</si>
  <si>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</si>
  <si>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</si>
  <si>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</si>
  <si>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</si>
  <si>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</si>
  <si>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</si>
  <si>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</si>
  <si>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</si>
  <si>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</si>
  <si>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</si>
  <si>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</si>
  <si>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</si>
  <si>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</si>
  <si>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</si>
  <si>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</si>
  <si>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</si>
  <si>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</si>
  <si>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</si>
  <si>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</si>
  <si>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</si>
  <si>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</si>
  <si>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</si>
  <si>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</si>
  <si>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</si>
  <si>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</si>
  <si>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</si>
  <si>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</si>
  <si>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</si>
  <si>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</si>
  <si>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</si>
  <si>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</si>
  <si>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</si>
  <si>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</si>
  <si>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</si>
  <si>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</si>
  <si>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</si>
  <si>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</si>
  <si>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</si>
  <si>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</si>
  <si>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</si>
  <si>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</si>
  <si>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</si>
  <si>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</si>
  <si>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</si>
  <si>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</si>
  <si>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</si>
  <si>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</si>
  <si>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</si>
  <si>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</si>
  <si>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</si>
  <si>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</si>
  <si>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</si>
  <si>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</si>
  <si>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</si>
  <si>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</si>
  <si>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</si>
  <si>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</si>
  <si>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</si>
  <si>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</si>
  <si>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</si>
  <si>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</si>
  <si>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</si>
  <si>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</si>
  <si>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</si>
  <si>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</si>
  <si>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</si>
  <si>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</si>
  <si>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</si>
  <si>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</si>
  <si>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</si>
  <si>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</si>
  <si>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</si>
  <si>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</si>
  <si>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</si>
  <si>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</si>
  <si>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</si>
  <si>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</si>
  <si>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</si>
  <si>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</si>
  <si>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</si>
  <si>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</si>
  <si>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</si>
  <si>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</si>
  <si>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</si>
  <si>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</si>
  <si>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</si>
  <si>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</si>
  <si>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</si>
  <si>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</si>
  <si>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</si>
  <si>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</si>
  <si>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</si>
  <si>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</si>
  <si>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</si>
  <si>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</si>
  <si>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</si>
  <si>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</si>
  <si>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</si>
  <si>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</si>
  <si>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</si>
  <si>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</si>
  <si>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</si>
  <si>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</si>
  <si>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</si>
  <si>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</si>
  <si>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</si>
  <si>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</si>
  <si>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</si>
  <si>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</si>
  <si>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</si>
  <si>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</si>
  <si>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</si>
  <si>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</si>
  <si>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</si>
  <si>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</si>
  <si>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</si>
  <si>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</si>
  <si>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</si>
  <si>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</si>
  <si>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</si>
  <si>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</si>
  <si>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</si>
  <si>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</si>
  <si>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</si>
  <si>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</si>
  <si>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</si>
  <si>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</si>
  <si>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</si>
  <si>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</si>
  <si>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</si>
  <si>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</si>
  <si>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</si>
  <si>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</si>
  <si>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</si>
  <si>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</si>
  <si>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</si>
  <si>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</si>
  <si>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</si>
  <si>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</si>
  <si>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</si>
  <si>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</si>
  <si>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</si>
  <si>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</si>
  <si>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</si>
  <si>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</si>
  <si>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</si>
  <si>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</si>
  <si>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</si>
  <si>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</si>
  <si>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</si>
  <si>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</si>
  <si>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</si>
  <si>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</si>
  <si>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</si>
  <si>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</si>
  <si>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</si>
  <si>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</si>
  <si>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</si>
  <si>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</si>
  <si>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</si>
  <si>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</si>
  <si>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</si>
  <si>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</si>
  <si>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</si>
  <si>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</si>
  <si>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</si>
  <si>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</si>
  <si>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</si>
  <si>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</si>
  <si>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</si>
  <si>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</si>
  <si>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</si>
  <si>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</si>
  <si>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</si>
  <si>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</si>
  <si>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</si>
  <si>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</si>
  <si>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</si>
  <si>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</si>
  <si>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</si>
  <si>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</si>
  <si>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</si>
  <si>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</si>
  <si>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</si>
  <si>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</si>
  <si>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</si>
  <si>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</si>
  <si>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</si>
  <si>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</si>
  <si>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</si>
  <si>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</si>
  <si>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</si>
  <si>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</si>
  <si>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</si>
  <si>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</si>
  <si>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</si>
  <si>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</si>
  <si>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</si>
  <si>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</si>
  <si>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</si>
  <si>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</si>
  <si>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</si>
  <si>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</si>
  <si>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</si>
  <si>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</si>
  <si>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</si>
  <si>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</si>
  <si>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</si>
  <si>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</si>
  <si>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</si>
  <si>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</si>
  <si>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</si>
  <si>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</si>
  <si>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</si>
  <si>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</si>
  <si>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</si>
  <si>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</si>
  <si>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</si>
  <si>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</si>
  <si>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</si>
  <si>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</si>
  <si>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</si>
  <si>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</si>
  <si>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</si>
  <si>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</si>
  <si>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</si>
  <si>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</si>
  <si>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</si>
  <si>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</si>
  <si>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</si>
  <si>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</si>
  <si>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</si>
  <si>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</si>
  <si>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</si>
  <si>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</si>
  <si>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</si>
  <si>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</si>
  <si>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</si>
  <si>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</si>
  <si>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</si>
  <si>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</si>
  <si>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</si>
  <si>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</si>
  <si>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</si>
  <si>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</si>
  <si>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</si>
  <si>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</si>
  <si>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</si>
  <si>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</si>
  <si>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</si>
  <si>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</si>
  <si>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</si>
  <si>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</si>
  <si>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</si>
  <si>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</si>
  <si>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</si>
  <si>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</si>
  <si>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</si>
  <si>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</si>
  <si>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</si>
  <si>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</si>
  <si>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</si>
  <si>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</si>
  <si>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</si>
  <si>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</si>
  <si>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</si>
  <si>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</si>
  <si>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</si>
  <si>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</si>
  <si>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</si>
  <si>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</si>
  <si>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</si>
  <si>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</si>
  <si>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</si>
  <si>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</si>
  <si>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</si>
  <si>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</si>
  <si>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</si>
  <si>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</si>
  <si>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</si>
  <si>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</si>
  <si>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</si>
  <si>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</si>
  <si>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</si>
  <si>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</si>
  <si>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</si>
  <si>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</si>
  <si>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</si>
  <si>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</si>
  <si>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</si>
  <si>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</si>
  <si>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</si>
  <si>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</si>
  <si>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</si>
  <si>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</si>
  <si>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</si>
  <si>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</si>
  <si>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</si>
  <si>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</si>
  <si>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</si>
  <si>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</si>
  <si>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</si>
  <si>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</si>
  <si>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</si>
  <si>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</si>
  <si>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</si>
  <si>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</si>
  <si>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</si>
  <si>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</si>
  <si>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</si>
  <si>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</si>
  <si>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</si>
  <si>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</si>
  <si>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</si>
  <si>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</si>
  <si>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</si>
  <si>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</si>
  <si>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</si>
  <si>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</si>
  <si>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</si>
  <si>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</si>
  <si>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</si>
  <si>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</si>
  <si>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</si>
  <si>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</si>
  <si>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</si>
  <si>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</si>
  <si>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</si>
  <si>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</si>
  <si>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</si>
  <si>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</si>
  <si>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</si>
  <si>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</si>
  <si>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</si>
  <si>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</si>
  <si>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</si>
  <si>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</si>
  <si>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</si>
  <si>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</si>
  <si>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</si>
  <si>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</si>
  <si>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</si>
  <si>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</si>
  <si>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</si>
  <si>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</si>
  <si>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</si>
  <si>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</si>
  <si>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</si>
  <si>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</si>
  <si>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</si>
  <si>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</si>
  <si>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</si>
  <si>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</si>
  <si>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</si>
  <si>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</si>
  <si>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</si>
  <si>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</si>
  <si>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</si>
  <si>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</si>
  <si>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</si>
  <si>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</si>
  <si>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</si>
  <si>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</si>
  <si>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</si>
  <si>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</si>
  <si>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</si>
  <si>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</si>
  <si>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</si>
  <si>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</si>
  <si>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</si>
  <si>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</si>
  <si>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</si>
  <si>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</si>
  <si>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</si>
  <si>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</si>
  <si>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</si>
  <si>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</si>
  <si>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</si>
  <si>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</si>
  <si>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</si>
  <si>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</si>
  <si>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</si>
  <si>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</si>
  <si>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</si>
  <si>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</si>
  <si>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</si>
  <si>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</si>
  <si>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</si>
  <si>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</si>
  <si>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</si>
  <si>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</si>
  <si>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</si>
  <si>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</si>
  <si>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</si>
  <si>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</si>
  <si>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</si>
  <si>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</si>
  <si>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</si>
  <si>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</si>
  <si>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</si>
  <si>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</si>
  <si>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</si>
  <si>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</si>
  <si>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</si>
  <si>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</si>
  <si>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</si>
  <si>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</si>
  <si>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</si>
  <si>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</si>
  <si>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</si>
  <si>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</si>
  <si>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</si>
  <si>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</si>
  <si>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</si>
  <si>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</si>
  <si>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</si>
  <si>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</si>
  <si>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</si>
  <si>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</si>
  <si>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</si>
  <si>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</si>
  <si>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</si>
  <si>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</si>
  <si>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</si>
  <si>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</si>
  <si>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</si>
  <si>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</si>
  <si>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</si>
  <si>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</si>
  <si>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</si>
  <si>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</si>
  <si>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</si>
  <si>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</si>
  <si>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</si>
  <si>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</si>
  <si>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</si>
  <si>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</si>
  <si>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</si>
  <si>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</si>
  <si>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</si>
  <si>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</si>
  <si>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</si>
  <si>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</si>
  <si>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</si>
  <si>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</si>
  <si>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</si>
  <si>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</si>
  <si>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</si>
  <si>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</si>
  <si>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</si>
  <si>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</si>
  <si>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</si>
  <si>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</si>
  <si>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</si>
  <si>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</si>
  <si>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</si>
  <si>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</si>
  <si>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</si>
  <si>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</si>
  <si>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</si>
  <si>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</si>
  <si>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</si>
  <si>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</si>
  <si>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</si>
  <si>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</si>
  <si>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</si>
  <si>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</si>
  <si>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</si>
  <si>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</si>
  <si>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</si>
  <si>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</si>
  <si>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</si>
  <si>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</si>
  <si>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</si>
  <si>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</si>
  <si>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</si>
  <si>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</si>
  <si>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</si>
  <si>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</si>
  <si>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</si>
  <si>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</si>
  <si>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</si>
  <si>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</si>
  <si>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</si>
  <si>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</si>
  <si>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</si>
  <si>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</si>
  <si>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</si>
  <si>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</si>
  <si>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</si>
  <si>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</si>
  <si>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</si>
  <si>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</si>
  <si>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</si>
  <si>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</si>
  <si>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</si>
  <si>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</si>
  <si>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</si>
  <si>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</si>
  <si>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</si>
  <si>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</si>
  <si>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</si>
  <si>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</si>
  <si>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</si>
  <si>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</si>
  <si>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</si>
  <si>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</si>
  <si>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</si>
  <si>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</si>
  <si>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</si>
  <si>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</si>
  <si>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</si>
  <si>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</si>
  <si>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</si>
  <si>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</si>
  <si>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</si>
  <si>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</si>
  <si>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</si>
  <si>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</si>
  <si>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</si>
  <si>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</si>
  <si>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</si>
  <si>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</si>
  <si>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</si>
  <si>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</si>
  <si>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</si>
  <si>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</si>
  <si>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</si>
  <si>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</si>
  <si>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</si>
  <si>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</si>
  <si>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</si>
  <si>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</si>
  <si>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</si>
  <si>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</si>
  <si>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</si>
  <si>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</si>
  <si>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</si>
  <si>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</si>
  <si>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</si>
  <si>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</si>
  <si>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</si>
  <si>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</si>
  <si>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</si>
  <si>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</si>
  <si>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</si>
  <si>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</si>
  <si>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</si>
  <si>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</si>
  <si>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</si>
  <si>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</si>
  <si>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</si>
  <si>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</si>
  <si>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</si>
  <si>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</si>
  <si>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</si>
  <si>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</si>
  <si>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</si>
  <si>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</si>
  <si>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</si>
  <si>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</si>
  <si>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</si>
  <si>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</si>
  <si>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</si>
  <si>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</si>
  <si>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</si>
  <si>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</si>
  <si>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</si>
  <si>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</si>
  <si>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</si>
  <si>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</si>
  <si>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</si>
  <si>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</si>
  <si>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</si>
  <si>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</si>
  <si>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</si>
  <si>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</si>
  <si>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</si>
  <si>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</si>
  <si>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</si>
  <si>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</si>
  <si>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</si>
  <si>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</si>
  <si>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</si>
  <si>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</si>
  <si>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</si>
  <si>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</si>
  <si>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</si>
  <si>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</si>
  <si>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</si>
  <si>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</si>
  <si>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</si>
  <si>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</si>
  <si>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</si>
  <si>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</si>
  <si>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</si>
  <si>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</si>
  <si>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</si>
  <si>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</si>
  <si>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</si>
  <si>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</si>
  <si>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</si>
  <si>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</si>
  <si>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</si>
  <si>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</si>
  <si>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</si>
  <si>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</si>
  <si>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</si>
  <si>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</si>
  <si>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</si>
  <si>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</si>
  <si>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</si>
  <si>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</si>
  <si>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</si>
  <si>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</si>
  <si>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</si>
  <si>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</si>
  <si>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</si>
  <si>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</si>
  <si>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</si>
  <si>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</si>
  <si>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</si>
  <si>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</si>
  <si>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</si>
  <si>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</si>
  <si>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</si>
  <si>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</si>
  <si>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</si>
  <si>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</si>
  <si>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</si>
  <si>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</si>
  <si>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</si>
  <si>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</si>
  <si>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</si>
  <si>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</si>
  <si>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</si>
  <si>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</si>
  <si>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</si>
  <si>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</si>
  <si>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</si>
  <si>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</si>
  <si>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</si>
  <si>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</si>
  <si>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</si>
  <si>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</si>
  <si>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</si>
  <si>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</si>
  <si>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</si>
  <si>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</si>
  <si>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</si>
  <si>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</si>
  <si>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</si>
  <si>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</si>
  <si>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</si>
  <si>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</si>
  <si>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</si>
  <si>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</si>
  <si>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</si>
  <si>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</si>
  <si>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</si>
  <si>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</si>
  <si>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</si>
  <si>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</si>
  <si>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</si>
  <si>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</si>
  <si>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</si>
  <si>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</si>
  <si>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</si>
  <si>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</si>
  <si>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</si>
  <si>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</si>
  <si>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</si>
  <si>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</si>
  <si>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</si>
  <si>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</si>
  <si>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</si>
  <si>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</si>
  <si>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</si>
  <si>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</si>
  <si>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</si>
  <si>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</si>
  <si>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</si>
  <si>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</si>
  <si>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</si>
  <si>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</si>
  <si>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</si>
  <si>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</si>
  <si>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</si>
  <si>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</si>
  <si>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</si>
  <si>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</si>
  <si>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</si>
  <si>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</si>
  <si>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</si>
  <si>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</si>
  <si>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</si>
  <si>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</si>
  <si>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</si>
  <si>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</si>
  <si>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</si>
  <si>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</si>
  <si>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</si>
  <si>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</si>
  <si>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</si>
  <si>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</si>
  <si>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</si>
  <si>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</si>
  <si>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</si>
  <si>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</si>
  <si>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</si>
  <si>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</si>
  <si>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</si>
  <si>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</si>
  <si>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</si>
  <si>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</si>
  <si>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</si>
  <si>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</si>
  <si>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</si>
  <si>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</si>
  <si>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</si>
  <si>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</si>
  <si>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</si>
  <si>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</si>
  <si>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</si>
  <si>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</si>
  <si>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</si>
  <si>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</si>
  <si>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</si>
  <si>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</si>
  <si>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</si>
  <si>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</si>
  <si>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</si>
  <si>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</si>
  <si>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</si>
  <si>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</si>
  <si>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</si>
  <si>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</si>
  <si>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</si>
  <si>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</si>
  <si>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</si>
  <si>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</si>
  <si>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</si>
  <si>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</si>
  <si>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</si>
  <si>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</si>
  <si>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</si>
  <si>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</si>
  <si>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</si>
  <si>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</si>
  <si>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</si>
  <si>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</si>
  <si>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</si>
  <si>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</si>
  <si>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</si>
  <si>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</si>
  <si>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</si>
  <si>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</si>
  <si>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</si>
  <si>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</si>
  <si>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</si>
  <si>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</si>
  <si>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</si>
  <si>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</si>
  <si>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</si>
  <si>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</si>
  <si>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</si>
  <si>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</si>
  <si>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</si>
  <si>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</si>
  <si>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</si>
  <si>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</si>
  <si>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</si>
  <si>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</si>
  <si>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</si>
  <si>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</si>
  <si>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</si>
  <si>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</si>
  <si>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</si>
  <si>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</si>
  <si>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</si>
  <si>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</si>
  <si>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</si>
  <si>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</si>
  <si>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</si>
  <si>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</si>
  <si>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</si>
  <si>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</si>
  <si>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</si>
  <si>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</si>
  <si>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</si>
  <si>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</si>
  <si>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</si>
  <si>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</si>
  <si>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</si>
  <si>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</si>
  <si>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</si>
  <si>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</si>
  <si>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</si>
  <si>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</si>
  <si>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</si>
  <si>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</si>
  <si>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</si>
  <si>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</si>
  <si>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</si>
  <si>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</si>
  <si>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</si>
  <si>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</si>
  <si>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</si>
  <si>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</si>
  <si>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</si>
  <si>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</si>
  <si>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</si>
  <si>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</si>
  <si>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</si>
  <si>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</si>
  <si>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</si>
  <si>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</si>
  <si>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</si>
  <si>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</si>
  <si>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</si>
  <si>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</si>
  <si>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</si>
  <si>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</si>
  <si>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</si>
  <si>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</si>
  <si>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</si>
  <si>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</si>
  <si>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</si>
  <si>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</si>
  <si>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</si>
  <si>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</si>
  <si>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</si>
  <si>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</si>
  <si>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</si>
  <si>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</si>
  <si>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</si>
  <si>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</si>
  <si>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</si>
  <si>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</si>
  <si>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</si>
  <si>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</si>
  <si>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</si>
  <si>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</si>
  <si>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</si>
  <si>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</si>
  <si>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</si>
  <si>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</si>
  <si>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</si>
  <si>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</si>
  <si>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</si>
  <si>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</si>
  <si>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</si>
  <si>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</si>
  <si>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</si>
  <si>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</si>
  <si>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</si>
  <si>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</si>
  <si>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</si>
  <si>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</si>
  <si>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</si>
  <si>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</si>
  <si>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</si>
  <si>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</si>
  <si>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</si>
  <si>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地下</t>
  </si>
  <si>
    <t>是</t>
  </si>
  <si>
    <t>车库</t>
    <phoneticPr fontId="7" type="noConversion"/>
  </si>
  <si>
    <t>成新度</t>
  </si>
  <si>
    <t>收益法 (元)</t>
  </si>
  <si>
    <t>城镇住宅用地</t>
  </si>
  <si>
    <t>自定义容积率</t>
  </si>
  <si>
    <t>不临65条商业街</t>
  </si>
  <si>
    <t>与级别开发程度一致</t>
  </si>
  <si>
    <t>未包含在土地购买价格中</t>
  </si>
  <si>
    <t>已包含在土地取得成本中</t>
  </si>
  <si>
    <t>押一</t>
  </si>
  <si>
    <t>钢混</t>
  </si>
  <si>
    <t>非生产用房</t>
  </si>
  <si>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</si>
  <si>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</si>
  <si>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</si>
  <si>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</si>
  <si>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</si>
  <si>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</si>
  <si>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</si>
  <si>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</si>
  <si>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</si>
  <si>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</si>
  <si>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</si>
  <si>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</si>
  <si>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</si>
  <si>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</si>
  <si>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</si>
  <si>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9#</t>
  </si>
  <si>
    <t>-3-118</t>
  </si>
  <si>
    <t>X京房权证朝字第627606号</t>
  </si>
  <si>
    <t>车库/车位</t>
  </si>
  <si>
    <t>其他</t>
  </si>
  <si>
    <t>-2-059</t>
  </si>
  <si>
    <t>-3-197</t>
  </si>
  <si>
    <t>-3-532</t>
  </si>
  <si>
    <t>-3-099</t>
  </si>
  <si>
    <t>-3-5071</t>
  </si>
  <si>
    <r>
      <t>-2-</t>
    </r>
    <r>
      <rPr>
        <sz val="11"/>
        <color theme="1"/>
        <rFont val="宋体"/>
        <family val="3"/>
        <charset val="134"/>
        <scheme val="minor"/>
      </rPr>
      <t>0</t>
    </r>
    <r>
      <rPr>
        <sz val="11"/>
        <color theme="1"/>
        <rFont val="宋体"/>
        <family val="3"/>
        <charset val="134"/>
        <scheme val="minor"/>
      </rPr>
      <t>19</t>
    </r>
    <phoneticPr fontId="134" type="noConversion"/>
  </si>
  <si>
    <t>-3-167</t>
  </si>
  <si>
    <t>-3-026</t>
    <phoneticPr fontId="134" type="noConversion"/>
  </si>
  <si>
    <r>
      <t>-</t>
    </r>
    <r>
      <rPr>
        <sz val="11"/>
        <color theme="1"/>
        <rFont val="宋体"/>
        <family val="3"/>
        <charset val="134"/>
        <scheme val="minor"/>
      </rPr>
      <t>2-029</t>
    </r>
    <phoneticPr fontId="134" type="noConversion"/>
  </si>
  <si>
    <t>9幢</t>
  </si>
  <si>
    <t>-3-203</t>
  </si>
  <si>
    <t>现：X京房权证朝字第627606号</t>
  </si>
  <si>
    <t>-3-327</t>
  </si>
  <si>
    <r>
      <t>-</t>
    </r>
    <r>
      <rPr>
        <sz val="11"/>
        <color theme="1"/>
        <rFont val="宋体"/>
        <family val="3"/>
        <charset val="134"/>
        <scheme val="minor"/>
      </rPr>
      <t>2-012</t>
    </r>
    <phoneticPr fontId="134" type="noConversion"/>
  </si>
  <si>
    <t>-3-129</t>
  </si>
  <si>
    <t>成本法 (元)</t>
  </si>
  <si>
    <t>较好</t>
  </si>
  <si>
    <t>一般</t>
  </si>
  <si>
    <t>好</t>
  </si>
  <si>
    <t>https://sf.taobao.com/list/0.htm?auction_source=0&amp;st_param=0&amp;auction_start_seg=-1&amp;q=%B9%E3%CB%B3%B1%B1%B4%F3%BD%D6</t>
    <phoneticPr fontId="134" type="noConversion"/>
  </si>
  <si>
    <t>否</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</si>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</sst>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18" applyNumberFormat="1" applyAlignment="1"/>
    <xf numFmtId="14" fontId="95" fillId="0" borderId="0" xfId="18" applyNumberFormat="1" applyAlignment="1"/>
    <xf numFmtId="49" fontId="95" fillId="0" borderId="0" xfId="18" applyNumberFormat="1" applyAlignment="1"/>
    <xf numFmtId="49" fontId="95" fillId="0" borderId="0" xfId="18" applyNumberFormat="1" applyFont="1" applyAlignment="1"/>
    <xf numFmtId="192" fontId="95" fillId="0" borderId="0" xfId="18">
      <alignment vertical="center"/>
    </xf>
    <xf numFmtId="192" fontId="272" fillId="0" borderId="0" xfId="19"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68581</xdr:rowOff>
    </xdr:from>
    <xdr:to>
      <xdr:col>5</xdr:col>
      <xdr:colOff>202247</xdr:colOff>
      <xdr:row>28</xdr:row>
      <xdr:rowOff>99061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1781"/>
          <a:ext cx="3486467" cy="2407920"/>
        </a:xfrm>
        <a:prstGeom prst="rect">
          <a:avLst/>
        </a:prstGeom>
      </xdr:spPr>
    </xdr:pic>
    <xdr:clientData/>
  </xdr:twoCellAnchor>
  <xdr:twoCellAnchor editAs="oneCell">
    <xdr:from>
      <xdr:col>0</xdr:col>
      <xdr:colOff>0</xdr:colOff>
      <xdr:row>29</xdr:row>
      <xdr:rowOff>0</xdr:rowOff>
    </xdr:from>
    <xdr:to>
      <xdr:col>23</xdr:col>
      <xdr:colOff>462934</xdr:colOff>
      <xdr:row>53</xdr:row>
      <xdr:rowOff>96594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303520"/>
          <a:ext cx="15085714" cy="4485714"/>
        </a:xfrm>
        <a:prstGeom prst="rect">
          <a:avLst/>
        </a:prstGeom>
      </xdr:spPr>
    </xdr:pic>
    <xdr:clientData/>
  </xdr:twoCellAnchor>
  <xdr:twoCellAnchor editAs="oneCell">
    <xdr:from>
      <xdr:col>0</xdr:col>
      <xdr:colOff>0</xdr:colOff>
      <xdr:row>54</xdr:row>
      <xdr:rowOff>0</xdr:rowOff>
    </xdr:from>
    <xdr:to>
      <xdr:col>10</xdr:col>
      <xdr:colOff>349639</xdr:colOff>
      <xdr:row>86</xdr:row>
      <xdr:rowOff>24030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75520"/>
          <a:ext cx="7047619"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21326;&#244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基准地价修正"/>
      <sheetName val="比较法-住宅"/>
      <sheetName val="假设开发法"/>
      <sheetName val="收益法"/>
      <sheetName val="成本法 (元)"/>
      <sheetName val="收益法 (元)"/>
      <sheetName val="Sheet2"/>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61">
          <cell r="A61" t="str">
            <v>交易情况</v>
          </cell>
          <cell r="C61" t="str">
            <v>正常</v>
          </cell>
        </row>
        <row r="63">
          <cell r="B63" t="str">
            <v>用途</v>
          </cell>
          <cell r="C63" t="str">
            <v>住宅</v>
          </cell>
          <cell r="D63" t="str">
            <v>住宅</v>
          </cell>
        </row>
        <row r="86">
          <cell r="B86" t="str">
            <v>楼层-1</v>
          </cell>
        </row>
        <row r="88">
          <cell r="B88" t="str">
            <v>朝向</v>
          </cell>
          <cell r="C88" t="str">
            <v>南北西</v>
          </cell>
          <cell r="D88" t="str">
            <v>南北</v>
          </cell>
          <cell r="E88" t="str">
            <v>东南</v>
          </cell>
          <cell r="F88" t="str">
            <v>西南</v>
          </cell>
          <cell r="G88" t="str">
            <v>南</v>
          </cell>
          <cell r="H88" t="str">
            <v>东西</v>
          </cell>
          <cell r="I88" t="str">
            <v>东北</v>
          </cell>
          <cell r="J88" t="str">
            <v>西北</v>
          </cell>
        </row>
        <row r="100">
          <cell r="B100" t="str">
            <v>建筑类型</v>
          </cell>
          <cell r="C100" t="str">
            <v>多层板楼</v>
          </cell>
          <cell r="D100" t="str">
            <v>高层板楼</v>
          </cell>
          <cell r="E100" t="str">
            <v>塔楼</v>
          </cell>
        </row>
        <row r="105">
          <cell r="B105" t="str">
            <v>建筑结构</v>
          </cell>
          <cell r="C105" t="str">
            <v>钢混</v>
          </cell>
          <cell r="D105" t="str">
            <v>砖混</v>
          </cell>
        </row>
        <row r="107">
          <cell r="B107" t="str">
            <v>建筑品质</v>
          </cell>
        </row>
        <row r="109">
          <cell r="B109" t="str">
            <v>公共部分装修</v>
          </cell>
          <cell r="C109" t="str">
            <v>普通装修</v>
          </cell>
        </row>
        <row r="114">
          <cell r="B114" t="str">
            <v>物业管理</v>
          </cell>
          <cell r="C114" t="str">
            <v>物业公司管理</v>
          </cell>
          <cell r="D114" t="str">
            <v>单位自管</v>
          </cell>
        </row>
        <row r="116">
          <cell r="B116" t="str">
            <v>市政基础设施</v>
          </cell>
          <cell r="C116" t="str">
            <v>七通</v>
          </cell>
        </row>
        <row r="118">
          <cell r="B118" t="str">
            <v>房型</v>
          </cell>
        </row>
        <row r="122">
          <cell r="B122" t="str">
            <v>内部装修</v>
          </cell>
          <cell r="C122" t="str">
            <v>普通装修</v>
          </cell>
          <cell r="D122" t="str">
            <v>简单装修</v>
          </cell>
          <cell r="E122" t="str">
            <v>毛坯</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f.taobao.com/list/0.htm?auction_source=0&amp;st_param=0&amp;auction_start_seg=-1&amp;q=%B9%E3%CB%B3%B1%B1%B4%F3%BD%D6"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2025年6月6日（评估专业人员实地查勘之日）</v>
      </c>
    </row>
    <row r="13" spans="1:2" s="1203" customFormat="1">
      <c r="A13" s="1201" t="s">
        <v>529</v>
      </c>
      <c r="B13" s="1202" t="str">
        <f>'预评函-1'!A18</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35.380000000000003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45814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1.53</v>
      </c>
      <c r="D5" s="3025">
        <f>IF(ISERROR(ROUND(POWER(1+E5,A5-C5)*(POWER(1+E5,C5)-1)/(POWER(1+E5,A5)-1),3)),0,ROUND(POWER(1+E5,A5-C5)*(POWER(1+E5,C5)-1)/(POWER(1+E5,A5)-1),4))</f>
        <v>7.3599999999999999E-2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11.54</v>
      </c>
      <c r="D6" s="3025">
        <f>IF(ISERROR(ROUND(POWER(1+E6,A6-C6)*(POWER(1+E6,C6)-1)/(POWER(1+E6,A6)-1),3)),0,ROUND(POWER(1+E6,A6-C6)*(POWER(1+E6,C6)-1)/(POWER(1+E6,A6)-1),4))</f>
        <v>0.42359999999999998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31.55</v>
      </c>
      <c r="D7" s="3025">
        <f>IF(ISERROR(ROUND(POWER(1+E7,A7-C7)*(POWER(1+E7,C7)-1)/(POWER(1+E7,A7)-1),3)),0,ROUND(POWER(1+E7,A7-C7)*(POWER(1+E7,C7)-1)/(POWER(1+E7,A7)-1),4))</f>
        <v>0.75860000000000005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5" t="str">
        <f>IF(B10="北京市","北京市",C10)&amp;F10&amp;IF(结果表!G1="在建","出让国有建设用地使用权及在建建筑物",IF(结果表!G1="土地","出让国有建设用地使用权",))&amp;B9&amp;"预评估"</f>
        <v>北京市预评估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45814</v>
      </c>
      <c r="C3" s="2374" t="s">
        <v>2171</v>
      </c>
      <c r="D3" s="2373">
        <f>B3</f>
        <v>45814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8" t="s">
        <v>2177</v>
      </c>
      <c r="E8" s="2391"/>
      <c r="F8" s="2392"/>
      <c r="G8" s="2663"/>
      <c r="H8" s="2663"/>
      <c r="I8" s="2663"/>
      <c r="J8" s="2439"/>
      <c r="K8" s="2614"/>
      <c r="L8" s="2613"/>
      <c r="M8" s="2613"/>
      <c r="N8" s="2439"/>
      <c r="O8" s="2450"/>
      <c r="P8" s="2439"/>
      <c r="Q8" s="2439"/>
      <c r="R8" s="2439"/>
    </row>
    <row r="9" spans="1:30" ht="13.8" thickBot="1">
      <c r="A9" s="2393" t="s">
        <v>2178</v>
      </c>
      <c r="B9" s="2394"/>
      <c r="C9" s="2395"/>
      <c r="D9" s="3519"/>
      <c r="E9" s="2394"/>
      <c r="F9" s="2396"/>
      <c r="G9" s="2665"/>
      <c r="H9" s="2665"/>
      <c r="I9" s="2665"/>
      <c r="J9" s="2439"/>
      <c r="K9" s="2616"/>
      <c r="L9" s="2613"/>
      <c r="M9" s="2613"/>
      <c r="N9" s="2439"/>
      <c r="O9" s="2450"/>
      <c r="P9" s="2439"/>
      <c r="Q9" s="2439"/>
      <c r="R9" s="2439"/>
    </row>
    <row r="10" spans="1:30" ht="13.8" thickTop="1">
      <c r="A10" s="2397" t="s">
        <v>2179</v>
      </c>
      <c r="B10" s="2398" t="s">
        <v>3412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3468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v>55961</v>
      </c>
      <c r="G13" s="856"/>
      <c r="H13" s="856"/>
      <c r="I13" s="856"/>
      <c r="J13" s="3062"/>
      <c r="K13" s="2613"/>
      <c r="L13" s="2613"/>
      <c r="M13" s="2439"/>
      <c r="N13" s="2450"/>
      <c r="O13" s="2439"/>
      <c r="P13" s="2439"/>
      <c r="Q13" s="2439"/>
      <c r="AD13" s="1745"/>
    </row>
    <row r="14" spans="1:30">
      <c r="A14" s="1081"/>
      <c r="B14" s="2407" t="s">
        <v>2191</v>
      </c>
      <c r="C14" s="2408"/>
      <c r="D14" s="2408"/>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27.8</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35.380000000000003</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2945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9" sqref="C4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35.380000000000003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35.380000000000003</v>
      </c>
      <c r="H5" s="13">
        <f t="shared" ref="H5:AT5" si="0">SUM(H13:H656)</f>
        <v>35.380000000000003</v>
      </c>
      <c r="I5" s="13">
        <f t="shared" si="0"/>
        <v>35.380000000000003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35.380000000000003</v>
      </c>
      <c r="BA5" s="15">
        <f t="shared" si="1"/>
        <v>35.380000000000003</v>
      </c>
      <c r="BB5" s="15">
        <f t="shared" si="1"/>
        <v>35.380000000000003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3414</v>
      </c>
      <c r="E13" s="13">
        <f>IF($C$3="是",ROUND($A$3*G13/$B$3,2),ROUND($A$3*(G13-AT13)/$B$3,2))</f>
        <v>0</v>
      </c>
      <c r="F13" s="29"/>
      <c r="G13" s="30">
        <f>H13+AC13+AT13</f>
        <v>35.380000000000003</v>
      </c>
      <c r="H13" s="17">
        <f>SUMIF(I$12:AB$12,"总值",I13:AB13)</f>
        <v>35.380000000000003</v>
      </c>
      <c r="I13" s="1626">
        <v>35.380000000000003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35.380000000000003</v>
      </c>
      <c r="BA13" s="13">
        <f>SUM(BB13:BK13)</f>
        <v>35.380000000000003</v>
      </c>
      <c r="BB13" s="13">
        <f>IF($D13="是",I13-J13,0)</f>
        <v>35.380000000000003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f>'数据-基础表'!AY6</f>
        <v>0</v>
      </c>
      <c r="E3" s="43">
        <f>'数据-基础表'!AZ5</f>
        <v>35.380000000000003</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35.380000000000003</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35.380000000000003</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35.380000000000003</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3415</v>
      </c>
      <c r="D19" s="45">
        <f>ROUND($D$3*E19/$E$3,2)</f>
        <v>0</v>
      </c>
      <c r="E19" s="53">
        <f t="shared" ref="E19:E26" si="1">SUM(F19:G19)</f>
        <v>35.380000000000003</v>
      </c>
      <c r="F19" s="2795"/>
      <c r="G19" s="2796">
        <f>'数据-基础表'!I13</f>
        <v>35.380000000000003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35.380000000000003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35.380000000000003</v>
      </c>
      <c r="F27" s="1140">
        <f>IF(SUM(F19:F26)=E8,SUM(F19:F26),"地上面积有误")</f>
        <v>0</v>
      </c>
      <c r="G27" s="1142">
        <f>SUM(G19:G26)</f>
        <v>35.380000000000003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35.380000000000003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35.380000000000003</v>
      </c>
      <c r="F31" s="677">
        <f>F27+F30</f>
        <v>0</v>
      </c>
      <c r="G31" s="678">
        <f>G27+G30</f>
        <v>35.380000000000003</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车库</v>
      </c>
      <c r="B6" s="1713" t="str">
        <f>IF(A6=0,"","经营性")</f>
        <v>经营性</v>
      </c>
      <c r="C6" s="1714" t="s">
        <v>3333</v>
      </c>
      <c r="D6" s="858">
        <f>SUMIF(项目基本情况!C$12:I$12,C6,项目基本情况!C$14:I$14)</f>
        <v>50</v>
      </c>
      <c r="E6" s="857">
        <f>IF(B6="","",SUMIF(项目基本情况!C$12:I$12,C6,项目基本情况!C$13:I$13))</f>
        <v>55961</v>
      </c>
      <c r="F6" s="64">
        <f>SUMIF(项目基本情况!C$12:I$12,C6,项目基本情况!C$15:I$15)</f>
        <v>27.8</v>
      </c>
      <c r="G6" s="65">
        <f>IF(ISERROR(ROUND(POWER(1+H6,D6-F6)*(POWER(1+H6,F6)-1)/(POWER(1+H6,D6)-1),3)),0,ROUND(POWER(1+H6,D6-F6)*(POWER(1+H6,F6)-1)/(POWER(1+H6,D6)-1),3))</f>
        <v>0.79400000000000004</v>
      </c>
      <c r="H6" s="732">
        <v>4.4999999999999998E-2</v>
      </c>
      <c r="I6" s="732">
        <v>0.05</v>
      </c>
      <c r="J6" s="66">
        <v>5.5E-2</v>
      </c>
      <c r="K6" s="1030">
        <f>SUMIF('数据-汇总表'!C$19:C$33,A6,'数据-汇总表'!E$19:E$33)</f>
        <v>35.380000000000003</v>
      </c>
      <c r="L6" s="733">
        <v>4500</v>
      </c>
      <c r="M6" s="67">
        <f t="shared" ref="M6:M14" si="0">ROUND(K6*L6/10000,0)</f>
        <v>16</v>
      </c>
      <c r="N6" s="731">
        <v>0.72</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1000</v>
      </c>
      <c r="V6" s="70">
        <v>0.03</v>
      </c>
      <c r="W6" s="70">
        <v>0.08</v>
      </c>
      <c r="X6" s="1040"/>
      <c r="Y6" s="71">
        <f>N6</f>
        <v>0.72</v>
      </c>
      <c r="Z6" s="72"/>
      <c r="AA6" s="66"/>
      <c r="AB6" s="66"/>
      <c r="AC6" s="1040"/>
      <c r="AD6" s="73"/>
      <c r="AE6" s="1041">
        <f ca="1">IF(AN6="",0,SUMIF(INDIRECT("'"&amp;AN6&amp;"'"&amp;"!E:E"),$AE$5,INDIRECT("'"&amp;AN6&amp;"'"&amp;"!F:F")))</f>
        <v>27.8</v>
      </c>
      <c r="AF6" s="1348"/>
      <c r="AG6" s="138">
        <f>IF(AF6="",0,AE6-AF6)</f>
        <v>0</v>
      </c>
      <c r="AH6" s="74">
        <v>1</v>
      </c>
      <c r="AI6" s="76">
        <v>12</v>
      </c>
      <c r="AJ6" s="77"/>
      <c r="AK6" s="78">
        <v>2E-3</v>
      </c>
      <c r="AL6" s="79">
        <v>1E-3</v>
      </c>
      <c r="AM6" s="80">
        <v>0.01</v>
      </c>
      <c r="AN6" s="1715" t="s">
        <v>3417</v>
      </c>
      <c r="AO6" s="52">
        <f ca="1">SUMIF(INDIRECT("'"&amp;AN6&amp;"'"&amp;"!A:A"),"总价",INDIRECT("'"&amp;AN6&amp;"'"&amp;"!B:B"))</f>
        <v>19.5641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0.79400000000000004</v>
      </c>
      <c r="H16" s="90">
        <f>ROUND(SUMPRODUCT(H6:H13,K6:K13)/SUMPRODUCT((H6:H13&gt;0)*(K6:K13)),3)</f>
        <v>4.4999999999999998E-2</v>
      </c>
      <c r="I16" s="91"/>
      <c r="J16" s="91"/>
      <c r="K16" s="92">
        <f>SUM(K6:K15)</f>
        <v>35.380000000000003</v>
      </c>
      <c r="L16" s="93">
        <f>ROUND(M16*10000/SUM(K6:K14),0)</f>
        <v>4522</v>
      </c>
      <c r="M16" s="93">
        <f>SUM(M6:M14)</f>
        <v>16</v>
      </c>
      <c r="N16" s="94">
        <f>ROUND(SUMPRODUCT(M6:M14,N6:N14)/M16,3)</f>
        <v>0.72</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f>ROUND(1-(2025-2008)/60,2)</f>
        <v>0.72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35.380000000000003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45814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28.084644000000001</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'数据-取费表'!K6</f>
        <v>35.380000000000003</v>
      </c>
      <c r="C14" s="2518"/>
      <c r="D14" s="2518">
        <f ca="1">E14*B14/10000</f>
        <v>28.084644000000001</v>
      </c>
      <c r="E14" s="2518">
        <f ca="1">结果表!G20</f>
        <v>7938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G21" sqref="G21"/>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3333</v>
      </c>
      <c r="D1" s="1747"/>
      <c r="E1" s="1747"/>
      <c r="F1" s="1749" t="s">
        <v>1263</v>
      </c>
      <c r="G1" s="1561"/>
      <c r="H1" s="1750" t="str">
        <f>IF(G1="现房","——","估价对象范围")</f>
        <v>估价对象范围</v>
      </c>
      <c r="I1" s="1751"/>
    </row>
    <row r="2" spans="1:12" ht="21.75" customHeight="1" thickBot="1">
      <c r="A2" s="3629" t="str">
        <f>项目基本情况!S2</f>
        <v>北京市房地产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3462</v>
      </c>
      <c r="D4" s="1756" t="s">
        <v>3417</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7" t="s">
        <v>1268</v>
      </c>
      <c r="B5" s="3632">
        <v>25</v>
      </c>
      <c r="C5" s="3635">
        <v>8</v>
      </c>
      <c r="D5" s="3623">
        <f>10-C5</f>
        <v>2</v>
      </c>
      <c r="E5" s="131" t="s">
        <v>1269</v>
      </c>
      <c r="F5" s="1757"/>
      <c r="G5" s="1757"/>
      <c r="H5" s="1757"/>
      <c r="I5" s="1373"/>
    </row>
    <row r="6" spans="1:12" ht="13.2">
      <c r="A6" s="3577"/>
      <c r="B6" s="3632"/>
      <c r="C6" s="3637"/>
      <c r="D6" s="3623"/>
      <c r="E6" s="131" t="s">
        <v>1270</v>
      </c>
      <c r="F6" s="1757"/>
      <c r="G6" s="1757"/>
      <c r="H6" s="1757"/>
      <c r="I6" s="1373"/>
    </row>
    <row r="7" spans="1:12" ht="13.2">
      <c r="A7" s="3577"/>
      <c r="B7" s="3632"/>
      <c r="C7" s="3636"/>
      <c r="D7" s="3623"/>
      <c r="E7" s="131" t="s">
        <v>1271</v>
      </c>
      <c r="F7" s="1757"/>
      <c r="G7" s="1757"/>
      <c r="H7" s="1757"/>
      <c r="I7" s="1373"/>
    </row>
    <row r="8" spans="1:12" ht="13.2">
      <c r="A8" s="3577" t="s">
        <v>1272</v>
      </c>
      <c r="B8" s="3632">
        <v>15</v>
      </c>
      <c r="C8" s="3635"/>
      <c r="D8" s="3623"/>
      <c r="E8" s="131" t="s">
        <v>1273</v>
      </c>
      <c r="F8" s="1757"/>
      <c r="G8" s="1757"/>
      <c r="H8" s="1757"/>
      <c r="I8" s="1373"/>
    </row>
    <row r="9" spans="1:12" ht="13.2">
      <c r="A9" s="3577"/>
      <c r="B9" s="3632"/>
      <c r="C9" s="3636"/>
      <c r="D9" s="3623"/>
      <c r="E9" s="131" t="s">
        <v>1274</v>
      </c>
      <c r="F9" s="1757"/>
      <c r="G9" s="1757"/>
      <c r="H9" s="1757"/>
      <c r="I9" s="1373"/>
    </row>
    <row r="10" spans="1:12" ht="13.2">
      <c r="A10" s="3577" t="s">
        <v>1275</v>
      </c>
      <c r="B10" s="3632">
        <v>15</v>
      </c>
      <c r="C10" s="3635"/>
      <c r="D10" s="3623"/>
      <c r="E10" s="131" t="s">
        <v>1276</v>
      </c>
      <c r="F10" s="1757"/>
      <c r="G10" s="1757"/>
      <c r="H10" s="1757"/>
      <c r="I10" s="1373"/>
    </row>
    <row r="11" spans="1:12" ht="13.2">
      <c r="A11" s="3577"/>
      <c r="B11" s="3632"/>
      <c r="C11" s="3636"/>
      <c r="D11" s="3623"/>
      <c r="E11" s="131" t="s">
        <v>1277</v>
      </c>
      <c r="F11" s="1757"/>
      <c r="G11" s="1757"/>
      <c r="H11" s="1757"/>
      <c r="I11" s="1373"/>
    </row>
    <row r="12" spans="1:12" ht="13.2">
      <c r="A12" s="3577" t="s">
        <v>1278</v>
      </c>
      <c r="B12" s="3632">
        <v>15</v>
      </c>
      <c r="C12" s="3635"/>
      <c r="D12" s="3623"/>
      <c r="E12" s="131" t="s">
        <v>1279</v>
      </c>
      <c r="F12" s="1757"/>
      <c r="G12" s="1757"/>
      <c r="H12" s="1757"/>
      <c r="I12" s="1373"/>
    </row>
    <row r="13" spans="1:12" ht="13.2">
      <c r="A13" s="3577"/>
      <c r="B13" s="3632"/>
      <c r="C13" s="3636"/>
      <c r="D13" s="3623"/>
      <c r="E13" s="131" t="s">
        <v>1280</v>
      </c>
      <c r="F13" s="1757"/>
      <c r="G13" s="1757"/>
      <c r="H13" s="1757"/>
      <c r="I13" s="1373"/>
    </row>
    <row r="14" spans="1:12" ht="13.2">
      <c r="A14" s="3577" t="s">
        <v>1281</v>
      </c>
      <c r="B14" s="3632">
        <v>30</v>
      </c>
      <c r="C14" s="3635"/>
      <c r="D14" s="3623"/>
      <c r="E14" s="131" t="s">
        <v>1282</v>
      </c>
      <c r="F14" s="1757"/>
      <c r="G14" s="1757"/>
      <c r="H14" s="1757"/>
      <c r="I14" s="1373"/>
    </row>
    <row r="15" spans="1:12" ht="13.2">
      <c r="A15" s="3577"/>
      <c r="B15" s="3632"/>
      <c r="C15" s="3637"/>
      <c r="D15" s="3623"/>
      <c r="E15" s="131" t="s">
        <v>1283</v>
      </c>
      <c r="F15" s="1757"/>
      <c r="G15" s="1757"/>
      <c r="H15" s="1757"/>
      <c r="I15" s="1373"/>
    </row>
    <row r="16" spans="1:12" ht="13.2">
      <c r="A16" s="3577"/>
      <c r="B16" s="3632"/>
      <c r="C16" s="3636"/>
      <c r="D16" s="362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54" t="s">
        <v>2131</v>
      </c>
      <c r="F18" s="3655"/>
      <c r="G18" s="3655"/>
      <c r="H18" s="3655"/>
      <c r="I18" s="3655"/>
      <c r="K18" s="302" t="s">
        <v>1289</v>
      </c>
      <c r="L18" s="302">
        <f>IF(C1="",'数据-汇总表'!E3,SUMIF(项目类型,C1,'数据-汇总表'!E17:E26)+SUMIF(项目类型,C1,'数据-汇总表'!I17:I26))</f>
        <v>35.380000000000003</v>
      </c>
      <c r="M18" s="302">
        <f>IF(C1="",'数据-汇总表'!E3,SUMIF(项目类型,C1,'数据-汇总表'!E17:E26))</f>
        <v>35.380000000000003</v>
      </c>
    </row>
    <row r="19" spans="1:36" ht="14.4">
      <c r="A19" s="1761" t="s">
        <v>1290</v>
      </c>
      <c r="B19" s="1762" t="s">
        <v>1291</v>
      </c>
      <c r="C19" s="134">
        <f ca="1">SUMIF(INDIRECT("'"&amp;C4&amp;"'"&amp;"!A:A"),结果表!B19,INDIRECT("'"&amp;C4&amp;"'"&amp;"!B:B"))</f>
        <v>30.215599999999998</v>
      </c>
      <c r="D19" s="135">
        <f ca="1">SUMIF(INDIRECT("'"&amp;D4&amp;"'"&amp;"!A:A"),结果表!B19,INDIRECT("'"&amp;D4&amp;"'"&amp;"!B:B"))</f>
        <v>19.5641</v>
      </c>
      <c r="E19" s="1761" t="s">
        <v>1292</v>
      </c>
      <c r="F19" s="1762" t="s">
        <v>1291</v>
      </c>
      <c r="G19" s="136">
        <f ca="1">ROUND(C19*$C$18+D19*$D$18,0)</f>
        <v>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8540</v>
      </c>
      <c r="D20" s="138">
        <f ca="1">SUMIF(INDIRECT("'"&amp;D4&amp;"'"&amp;"!A:A"),结果表!B20,INDIRECT("'"&amp;D4&amp;"'"&amp;"!B:B"))</f>
        <v>5530</v>
      </c>
      <c r="E20" s="1764"/>
      <c r="F20" s="1026" t="s">
        <v>1295</v>
      </c>
      <c r="G20" s="139">
        <f ca="1">ROUND(C20*$C$18+D20*$D$18,0)</f>
        <v>7938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0.54444109363579196</v>
      </c>
      <c r="E22" s="129"/>
      <c r="F22" s="129"/>
      <c r="G22" s="129"/>
      <c r="H22" s="129"/>
      <c r="I22" s="129"/>
    </row>
    <row r="23" spans="1:36" ht="13.8" thickBot="1">
      <c r="A23" s="1747"/>
      <c r="B23" s="1747"/>
      <c r="C23" s="1747"/>
      <c r="D23" s="1747"/>
      <c r="E23" s="129"/>
      <c r="F23" s="129"/>
      <c r="G23" s="129"/>
      <c r="H23" s="129"/>
      <c r="I23" s="129"/>
    </row>
    <row r="24" spans="1:36" ht="14.4">
      <c r="A24" s="3647" t="s">
        <v>1299</v>
      </c>
      <c r="B24" s="1762" t="s">
        <v>1291</v>
      </c>
      <c r="C24" s="136">
        <f>IF(B30=0,0,D30)</f>
        <v>0</v>
      </c>
      <c r="D24" s="1769"/>
      <c r="E24" s="129"/>
      <c r="F24" s="129"/>
      <c r="G24" s="129"/>
      <c r="H24" s="129"/>
      <c r="I24" s="129"/>
    </row>
    <row r="25" spans="1:36" ht="14.4">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7938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4" t="s">
        <v>1312</v>
      </c>
      <c r="B36" s="1787" t="s">
        <v>1313</v>
      </c>
      <c r="C36" s="145"/>
      <c r="D36" s="1788"/>
      <c r="E36" s="1789"/>
      <c r="F36" s="1790"/>
      <c r="G36" s="129"/>
      <c r="H36" s="129"/>
      <c r="I36" s="129"/>
    </row>
    <row r="37" spans="1:15" ht="15" thickBot="1">
      <c r="A37" s="3625"/>
      <c r="B37" s="1674" t="s">
        <v>1314</v>
      </c>
      <c r="C37" s="147"/>
      <c r="D37" s="1139"/>
      <c r="E37" s="1139"/>
      <c r="F37" s="1790"/>
      <c r="G37" s="129"/>
      <c r="H37" s="129"/>
      <c r="I37" s="129"/>
    </row>
    <row r="38" spans="1:15" ht="15" thickBot="1">
      <c r="A38" s="362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t="e">
        <f ca="1">ROUND(H101*F45,0)</f>
        <v>#REF!</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45814</v>
      </c>
      <c r="N47" s="3567"/>
      <c r="O47" s="3567"/>
    </row>
    <row r="48" spans="1:15" ht="26.4">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5" t="s">
        <v>1340</v>
      </c>
      <c r="L48" s="3565"/>
      <c r="M48" s="3568" t="e">
        <f ca="1">H101</f>
        <v>#REF!</v>
      </c>
      <c r="N48" s="3568"/>
      <c r="O48" s="3568"/>
    </row>
    <row r="49" spans="1:35" ht="25.5" customHeight="1">
      <c r="A49" s="2333" t="s">
        <v>1341</v>
      </c>
      <c r="B49" s="3613" t="s">
        <v>1342</v>
      </c>
      <c r="C49" s="3613"/>
      <c r="D49" s="1590">
        <v>0</v>
      </c>
      <c r="E49" s="324" t="s">
        <v>1343</v>
      </c>
      <c r="F49" s="2424" t="s">
        <v>28</v>
      </c>
      <c r="G49" s="3596"/>
      <c r="H49" s="2310" t="s">
        <v>2134</v>
      </c>
      <c r="I49" s="2311"/>
      <c r="J49" s="2523">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51"/>
      <c r="B50" s="3613" t="s">
        <v>1344</v>
      </c>
      <c r="C50" s="3613"/>
      <c r="D50" s="2552"/>
      <c r="E50" s="332"/>
      <c r="F50" s="2424"/>
      <c r="G50" s="3597"/>
      <c r="H50" s="2312" t="s">
        <v>2135</v>
      </c>
      <c r="I50" s="2311"/>
      <c r="J50" s="3564" t="s">
        <v>1345</v>
      </c>
      <c r="K50" s="3564"/>
      <c r="L50" s="3564"/>
      <c r="M50" s="3564"/>
      <c r="N50" s="3564"/>
      <c r="O50" s="3564"/>
    </row>
    <row r="51" spans="1:35" ht="20.399999999999999" customHeight="1">
      <c r="A51" s="2553"/>
      <c r="B51" s="3613" t="s">
        <v>1346</v>
      </c>
      <c r="C51" s="3613"/>
      <c r="D51" s="1087"/>
      <c r="E51" s="327"/>
      <c r="F51" s="2424"/>
      <c r="G51" s="3598"/>
      <c r="H51" s="2312" t="s">
        <v>2136</v>
      </c>
      <c r="I51" s="2311"/>
      <c r="J51" s="2524" t="s">
        <v>1347</v>
      </c>
      <c r="K51" s="3565" t="s">
        <v>1348</v>
      </c>
      <c r="L51" s="3565"/>
      <c r="M51" s="2524" t="s">
        <v>1349</v>
      </c>
      <c r="N51" s="2524" t="s">
        <v>1350</v>
      </c>
      <c r="O51" s="2524" t="s">
        <v>1351</v>
      </c>
    </row>
    <row r="52" spans="1:35" ht="24" customHeight="1">
      <c r="A52" s="2335" t="s">
        <v>1352</v>
      </c>
      <c r="B52" s="3613" t="s">
        <v>1353</v>
      </c>
      <c r="C52" s="3613"/>
      <c r="D52" s="1087" t="e">
        <f ca="1">ROUND(D45*'数据-取费表'!B41/(1+'数据-取费表'!C42),0)</f>
        <v>#REF!</v>
      </c>
      <c r="E52" s="2334" t="s">
        <v>1354</v>
      </c>
      <c r="F52" s="2554">
        <f>'数据-取费表'!B41</f>
        <v>5.6000000000000001E-2</v>
      </c>
      <c r="G52" s="2555"/>
      <c r="H52" s="2544"/>
      <c r="I52" s="1807"/>
      <c r="J52" s="2523">
        <v>1</v>
      </c>
      <c r="K52" s="3590" t="s">
        <v>1355</v>
      </c>
      <c r="L52" s="3590"/>
      <c r="M52" s="2525" t="b">
        <f>D48</f>
        <v>0</v>
      </c>
      <c r="N52" s="2523" t="str">
        <f>E48</f>
        <v>销售额×税（费）率</v>
      </c>
      <c r="O52" s="2526">
        <f>F48</f>
        <v>5.6000000000000001E-2</v>
      </c>
    </row>
    <row r="53" spans="1:35" ht="12" customHeight="1">
      <c r="A53" s="2335" t="s">
        <v>1356</v>
      </c>
      <c r="B53" s="3614" t="s">
        <v>2291</v>
      </c>
      <c r="C53" s="3615"/>
      <c r="D53" s="1087" t="e">
        <f ca="1">ROUND(D45*'数据-取费表'!B41/(1+'数据-取费表'!C42),0)</f>
        <v>#REF!</v>
      </c>
      <c r="E53" s="2334" t="s">
        <v>1354</v>
      </c>
      <c r="F53" s="2554">
        <f>'数据-取费表'!B41</f>
        <v>5.6000000000000001E-2</v>
      </c>
      <c r="G53" s="2555"/>
      <c r="H53" s="2544"/>
      <c r="I53" s="1807"/>
      <c r="J53" s="2523">
        <v>2</v>
      </c>
      <c r="K53" s="3590" t="s">
        <v>1357</v>
      </c>
      <c r="L53" s="3590"/>
      <c r="M53" s="2525" t="e">
        <f t="shared" ref="M53:O54" ca="1" si="0">D55</f>
        <v>#REF!</v>
      </c>
      <c r="N53" s="2523" t="str">
        <f t="shared" si="0"/>
        <v>销售额×税（费）率</v>
      </c>
      <c r="O53" s="2526" t="str">
        <f t="shared" si="0"/>
        <v>免征</v>
      </c>
    </row>
    <row r="54" spans="1:35" ht="12" customHeight="1">
      <c r="A54" s="2335" t="s">
        <v>1358</v>
      </c>
      <c r="B54" s="3614" t="s">
        <v>2292</v>
      </c>
      <c r="C54" s="3615"/>
      <c r="D54" s="1087" t="e">
        <f ca="1">C68</f>
        <v>#REF!</v>
      </c>
      <c r="E54" s="327" t="s">
        <v>1359</v>
      </c>
      <c r="F54" s="2554">
        <f>'数据-取费表'!B41</f>
        <v>5.6000000000000001E-2</v>
      </c>
      <c r="G54" s="2555"/>
      <c r="H54" s="2556"/>
      <c r="I54" s="1807"/>
      <c r="J54" s="2523">
        <v>3</v>
      </c>
      <c r="K54" s="3590" t="s">
        <v>1360</v>
      </c>
      <c r="L54" s="3590"/>
      <c r="M54" s="2525" t="e">
        <f t="shared" ca="1" si="0"/>
        <v>#REF!</v>
      </c>
      <c r="N54" s="2523" t="str">
        <f t="shared" si="0"/>
        <v>增值额×税（费）率</v>
      </c>
      <c r="O54" s="2527" t="str">
        <f t="shared" si="0"/>
        <v>免征</v>
      </c>
    </row>
    <row r="55" spans="1:35" ht="24" customHeight="1">
      <c r="A55" s="3650" t="s">
        <v>1361</v>
      </c>
      <c r="B55" s="3628"/>
      <c r="C55" s="3628"/>
      <c r="D55" s="2324" t="e">
        <f ca="1">IF(H55="个人住宅",0,ROUND(D45*I55,0))</f>
        <v>#REF!</v>
      </c>
      <c r="E55" s="2334" t="s">
        <v>1362</v>
      </c>
      <c r="F55" s="2554" t="str">
        <f>IF(H55="正常",I55,"免征")</f>
        <v>免征</v>
      </c>
      <c r="G55" s="2555"/>
      <c r="H55" s="2550"/>
      <c r="I55" s="165">
        <f>'数据-取费表'!B49</f>
        <v>5.0000000000000001E-4</v>
      </c>
      <c r="J55" s="2523">
        <f>IF(H59="非个人房产","",4)</f>
        <v>4</v>
      </c>
      <c r="K55" s="3590" t="str">
        <f>IF(H59="非个人房产","——","个人所得税")</f>
        <v>个人所得税</v>
      </c>
      <c r="L55" s="3590"/>
      <c r="M55" s="2528" t="e">
        <f ca="1">D59</f>
        <v>#REF!</v>
      </c>
      <c r="N55" s="2040" t="str">
        <f>E59</f>
        <v>差额计税</v>
      </c>
      <c r="O55" s="2529">
        <f>F59</f>
        <v>0.01</v>
      </c>
    </row>
    <row r="56" spans="1:35" ht="25.2">
      <c r="A56" s="3650" t="s">
        <v>1363</v>
      </c>
      <c r="B56" s="3628"/>
      <c r="C56" s="3628"/>
      <c r="D56" s="2324" t="e">
        <f ca="1">IF(H56="个人住宅",D57,D58)</f>
        <v>#REF!</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3.2">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0</v>
      </c>
      <c r="O57" s="2533"/>
      <c r="P57" s="2690" t="e">
        <f ca="1">N57/M49</f>
        <v>#VALUE!</v>
      </c>
    </row>
    <row r="58" spans="1:35" ht="25.2">
      <c r="A58" s="2335" t="s">
        <v>1352</v>
      </c>
      <c r="B58" s="3614" t="s">
        <v>1369</v>
      </c>
      <c r="C58" s="3613"/>
      <c r="D58" s="2324" t="e">
        <f ca="1">IF(H58="转让取得",C81,C97)</f>
        <v>#REF!</v>
      </c>
      <c r="E58" s="2334" t="s">
        <v>1364</v>
      </c>
      <c r="F58" s="302" t="s">
        <v>28</v>
      </c>
      <c r="G58" s="2555"/>
      <c r="H58" s="2558"/>
      <c r="I58" s="1808"/>
      <c r="J58" s="3590"/>
      <c r="K58" s="3590"/>
      <c r="L58" s="2530" t="s">
        <v>1370</v>
      </c>
      <c r="M58" s="2534"/>
      <c r="N58" s="2535" t="str">
        <f ca="1">NUMBERSTRING(INT(N57*10000),2)&amp;"元整"</f>
        <v>零元整</v>
      </c>
      <c r="O58" s="2536"/>
    </row>
    <row r="59" spans="1:35" ht="24.6" thickBot="1">
      <c r="A59" s="3594" t="s">
        <v>1371</v>
      </c>
      <c r="B59" s="3595"/>
      <c r="C59" s="359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2">
        <f>J57+1</f>
        <v>6</v>
      </c>
      <c r="K59" s="3590" t="s">
        <v>1372</v>
      </c>
      <c r="L59" s="2523" t="s">
        <v>1368</v>
      </c>
      <c r="M59" s="2537"/>
      <c r="N59" s="2538" t="e">
        <f ca="1">M49-N57</f>
        <v>#VALUE!</v>
      </c>
      <c r="O59" s="2539"/>
    </row>
    <row r="60" spans="1:35" ht="12" customHeight="1">
      <c r="A60" s="1809"/>
      <c r="B60" s="1747"/>
      <c r="C60" s="1747"/>
      <c r="D60" s="1747"/>
      <c r="E60" s="1578"/>
      <c r="F60" s="1808"/>
      <c r="G60" s="1808"/>
      <c r="H60" s="1810"/>
      <c r="I60" s="129"/>
      <c r="J60" s="3593"/>
      <c r="K60" s="3590"/>
      <c r="L60" s="2530" t="s">
        <v>1370</v>
      </c>
      <c r="M60" s="2534"/>
      <c r="N60" s="2535" t="e">
        <f ca="1">NUMBERSTRING(INT(N59*10000),2)&amp;"元整"</f>
        <v>#VALUE!</v>
      </c>
      <c r="O60" s="2536"/>
    </row>
    <row r="61" spans="1:35" ht="13.8" thickBot="1">
      <c r="A61" s="3649" t="s">
        <v>1373</v>
      </c>
      <c r="B61" s="3649"/>
      <c r="C61" s="3649"/>
      <c r="D61" s="3649"/>
      <c r="E61" s="3649"/>
      <c r="F61" s="1808"/>
      <c r="G61" s="1808"/>
      <c r="H61" s="1810"/>
      <c r="I61" s="129"/>
      <c r="J61" s="2523">
        <f>J59+1</f>
        <v>7</v>
      </c>
      <c r="K61" s="3590" t="s">
        <v>1374</v>
      </c>
      <c r="L61" s="3590"/>
      <c r="M61" s="2540"/>
      <c r="N61" s="2541" t="e">
        <f ca="1">ROUND(N59*10000/'数据-汇总表'!E3,0)</f>
        <v>#VALUE!</v>
      </c>
      <c r="O61" s="2542"/>
    </row>
    <row r="62" spans="1:35" ht="13.2">
      <c r="A62" s="3609" t="s">
        <v>1375</v>
      </c>
      <c r="B62" s="361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5" t="s">
        <v>2129</v>
      </c>
      <c r="H90" s="357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成本法 (元)</v>
      </c>
      <c r="D101" s="2586" t="str">
        <f>D4</f>
        <v>收益法 (元)</v>
      </c>
      <c r="E101" s="3569" t="s">
        <v>1431</v>
      </c>
      <c r="F101" s="3570"/>
      <c r="G101" s="1827" t="s">
        <v>1432</v>
      </c>
      <c r="H101" s="2595" t="e">
        <f ca="1">H118</f>
        <v>#REF!</v>
      </c>
      <c r="I101" s="129"/>
    </row>
    <row r="102" spans="1:35" ht="18.75" customHeight="1">
      <c r="A102" s="3601" t="s">
        <v>1433</v>
      </c>
      <c r="B102" s="2584" t="s">
        <v>1432</v>
      </c>
      <c r="C102" s="2585">
        <f ca="1">IF(D32="楼面单价",ROUND(C19,0),C19)</f>
        <v>30.215599999999998</v>
      </c>
      <c r="D102" s="2586">
        <f ca="1">IF(D32="楼面单价",ROUND(D19,0),D19)</f>
        <v>19.5641</v>
      </c>
      <c r="E102" s="3569"/>
      <c r="F102" s="3570"/>
      <c r="G102" s="1827" t="s">
        <v>1434</v>
      </c>
      <c r="H102" s="2555" t="e">
        <f ca="1">I118</f>
        <v>#REF!</v>
      </c>
      <c r="I102" s="129"/>
    </row>
    <row r="103" spans="1:35" ht="42.75" customHeight="1">
      <c r="A103" s="3601"/>
      <c r="B103" s="2584" t="s">
        <v>1434</v>
      </c>
      <c r="C103" s="2587">
        <f ca="1">C20</f>
        <v>8540</v>
      </c>
      <c r="D103" s="2588">
        <f ca="1">D20</f>
        <v>5530</v>
      </c>
      <c r="E103" s="3562" t="s">
        <v>1435</v>
      </c>
      <c r="F103" s="3563"/>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t="e">
        <f ca="1">IF(E107="——","——",H101-H103)</f>
        <v>#REF!</v>
      </c>
      <c r="I107" s="129"/>
    </row>
    <row r="108" spans="1:35" ht="18.75" customHeight="1">
      <c r="A108" s="129"/>
      <c r="B108" s="129"/>
      <c r="C108" s="129"/>
      <c r="D108" s="129"/>
      <c r="E108" s="3602"/>
      <c r="F108" s="3570"/>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35.380000000000003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t="e">
        <f ca="1">H107</f>
        <v>#REF!</v>
      </c>
      <c r="E122" s="3579"/>
      <c r="F122" s="3579"/>
      <c r="G122" s="3579"/>
      <c r="H122" s="3579"/>
      <c r="I122" s="3580"/>
      <c r="AA122" s="725"/>
    </row>
    <row r="123" spans="1:27" ht="18.75" customHeight="1">
      <c r="A123" s="3577" t="s">
        <v>1452</v>
      </c>
      <c r="B123" s="3577"/>
      <c r="C123" s="3577"/>
      <c r="D123" s="3583" t="e">
        <f ca="1">NUMBERSTRING(INT(D122*10000),2)&amp;"元整"</f>
        <v>#REF!</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4805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35.380000000000003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35.380000000000003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35.380000000000003</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8.9999999999999998E-4</v>
      </c>
      <c r="D44" s="238"/>
      <c r="E44" s="238"/>
      <c r="F44" s="239"/>
      <c r="G44" s="3658"/>
    </row>
    <row r="45" spans="1:7" s="214" customFormat="1" ht="13.5" customHeight="1">
      <c r="A45" s="255" t="s">
        <v>1547</v>
      </c>
      <c r="B45" s="244" t="s">
        <v>1513</v>
      </c>
      <c r="C45" s="245">
        <f ca="1">C46</f>
        <v>1</v>
      </c>
      <c r="D45" s="235">
        <f ca="1">C47</f>
        <v>2.3999999999999998E-3</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16</v>
      </c>
      <c r="D51" s="232"/>
      <c r="E51" s="232"/>
      <c r="F51" s="264"/>
      <c r="G51" s="234" t="s">
        <v>1560</v>
      </c>
    </row>
    <row r="52" spans="1:7" s="208" customFormat="1" ht="16.8" thickBot="1">
      <c r="A52" s="265" t="s">
        <v>1561</v>
      </c>
      <c r="B52" s="266"/>
      <c r="C52" s="267">
        <f ca="1">C31+C51</f>
        <v>17</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C24" sqref="C2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70.760000000000005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t="s">
        <v>3406</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3418</v>
      </c>
      <c r="F3" s="2004" t="s">
        <v>3419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666"/>
      <c r="B4" s="3667"/>
      <c r="C4" s="3667"/>
      <c r="D4" s="3668"/>
      <c r="E4" s="3668"/>
      <c r="F4" s="3668"/>
      <c r="G4" s="3668"/>
      <c r="H4" s="3668"/>
      <c r="I4" s="3668"/>
      <c r="J4" s="3669"/>
      <c r="K4" s="1119"/>
      <c r="L4" s="2003" t="s">
        <v>1946</v>
      </c>
      <c r="M4" s="864">
        <f>SUMPRODUCT((区片价!B55:B86=I2)*(区片价!C3:G3=E2)*(区片价!C55:G86))</f>
        <v>21700</v>
      </c>
      <c r="N4" s="866">
        <f>SUMPRODUCT((因素修正幅度!B55:B86=I2)*(因素修正幅度!C3:G3=E2)*(因素修正幅度!C55:G86))</f>
        <v>0.1</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0</v>
      </c>
      <c r="D5" s="1339">
        <f>ROUND(C6*C17+C20,0)</f>
        <v>21700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21700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四级</v>
      </c>
      <c r="Y7" s="1214" t="s">
        <v>1956</v>
      </c>
      <c r="Z7" s="1215">
        <f>G3</f>
        <v>2.5</v>
      </c>
      <c r="AA7" s="1216"/>
      <c r="AB7" s="1216"/>
      <c r="AC7" s="1217"/>
      <c r="AD7" s="1218"/>
      <c r="AE7" s="1218"/>
      <c r="AF7" s="1218"/>
      <c r="AG7" s="1218"/>
      <c r="AH7" s="1218"/>
      <c r="AI7" s="1218"/>
      <c r="AJ7" s="1219"/>
    </row>
    <row r="8" spans="1:36" ht="26.4">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63" t="s">
        <v>1960</v>
      </c>
      <c r="X8" s="36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65"/>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6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0" t="s">
        <v>3254</v>
      </c>
      <c r="B20" s="167" t="s">
        <v>1994</v>
      </c>
      <c r="C20" s="3325">
        <f>ROUND(IF(F21="与级别开发程度一致",0,(G21-E21)/C21),0)</f>
        <v>0</v>
      </c>
      <c r="D20" s="3341" t="s">
        <v>1998</v>
      </c>
      <c r="E20" s="3342"/>
      <c r="F20" s="3676" t="s">
        <v>1995</v>
      </c>
      <c r="G20" s="367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45814</v>
      </c>
      <c r="H23" s="3343" t="s">
        <v>3256</v>
      </c>
      <c r="I23" s="3344" t="str">
        <f>IF(H23="季度增幅（自定义）",SUMIF(N25:N28,E2,O25:O28),"")</f>
        <v/>
      </c>
      <c r="J23" s="3446" t="s">
        <v>3255</v>
      </c>
      <c r="K23" s="1125"/>
      <c r="L23" s="2055" t="s">
        <v>2004</v>
      </c>
      <c r="M23" s="1328">
        <f>ROUND(SUMIF(地价!B2:G2,E2,地价!B16:G16),0)</f>
        <v>687</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f>'数据-取费表'!K6</f>
        <v>35.380000000000003</v>
      </c>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5"/>
      <c r="B39" s="2041" t="s">
        <v>3259</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4945</v>
      </c>
      <c r="D41" s="2098"/>
      <c r="E41" s="171">
        <f t="shared" si="4"/>
        <v>0</v>
      </c>
      <c r="F41" s="175">
        <f>SUMIF(修正!A57:A68,G2,修正!F57:F68)</f>
        <v>0.25</v>
      </c>
      <c r="G41" s="171">
        <f>ROUND(IF(E2="工业",C41*$M$42,C41*$M$41),0)</f>
        <v>1236</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2967</v>
      </c>
      <c r="D42" s="2103">
        <f>D33</f>
        <v>35.380000000000003</v>
      </c>
      <c r="E42" s="187">
        <f t="shared" si="4"/>
        <v>10</v>
      </c>
      <c r="F42" s="767">
        <f>SUMIF(修正!A57:A68,G2,修正!G57:G68)</f>
        <v>0.15</v>
      </c>
      <c r="G42" s="187">
        <f>ROUND(IF(E2="工业",C42*$M$42,C42*$M$41),0)</f>
        <v>742</v>
      </c>
      <c r="H42" s="187">
        <f t="shared" si="5"/>
        <v>35.380000000000003</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0.81330000000000002</v>
      </c>
      <c r="D44" s="171" t="s">
        <v>1999</v>
      </c>
      <c r="E44" s="2153">
        <f>G24</f>
        <v>0.05</v>
      </c>
      <c r="F44" s="171" t="s">
        <v>2008</v>
      </c>
      <c r="G44" s="183">
        <f>'数据-取费表'!F6</f>
        <v>27.8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1.0495000000000001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3463</v>
      </c>
      <c r="D72" s="1065">
        <f t="shared" ref="D72:D80" si="17">SUMIF($J$71:$N$71,C72,J72:N72)</f>
        <v>0.01</v>
      </c>
      <c r="E72" s="744">
        <f>ROUND(SUM(D72:D80),4)</f>
        <v>4.9500000000000002E-2</v>
      </c>
      <c r="F72" s="1814">
        <f>IF(E2="住宅",SUMIF(L1:L12,G2,N1:N12),"——")</f>
        <v>0.1</v>
      </c>
      <c r="G72" s="1063">
        <v>0.01</v>
      </c>
      <c r="H72" s="1066">
        <f t="shared" ref="H72:H80" si="18">IFERROR(ROUNDDOWN($F$72*I72/2,4),"——")</f>
        <v>0.01</v>
      </c>
      <c r="I72" s="3367">
        <v>0.2</v>
      </c>
      <c r="J72" s="1064">
        <f t="shared" ref="J72:J80" si="19">K72+$G72</f>
        <v>0.02</v>
      </c>
      <c r="K72" s="1064">
        <f t="shared" ref="K72:K80" si="20">$L72+$G72</f>
        <v>0.01</v>
      </c>
      <c r="L72" s="1064">
        <v>0</v>
      </c>
      <c r="M72" s="1064">
        <f t="shared" ref="M72:N80" si="21">L72-$G72</f>
        <v>-0.01</v>
      </c>
      <c r="N72" s="1064">
        <f t="shared" si="21"/>
        <v>-0.02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3463</v>
      </c>
      <c r="D73" s="1065">
        <f t="shared" si="17"/>
        <v>1.2999999999999999E-2</v>
      </c>
      <c r="E73" s="747"/>
      <c r="F73" s="1814"/>
      <c r="G73" s="1063">
        <v>1.2999999999999999E-2</v>
      </c>
      <c r="H73" s="1066">
        <f t="shared" si="18"/>
        <v>1.2999999999999999E-2</v>
      </c>
      <c r="I73" s="3367">
        <v>0.26</v>
      </c>
      <c r="J73" s="1064">
        <f t="shared" si="19"/>
        <v>2.5999999999999999E-2</v>
      </c>
      <c r="K73" s="1064">
        <f t="shared" si="20"/>
        <v>1.2999999999999999E-2</v>
      </c>
      <c r="L73" s="1064">
        <v>0</v>
      </c>
      <c r="M73" s="1064">
        <f t="shared" si="21"/>
        <v>-1.2999999999999999E-2</v>
      </c>
      <c r="N73" s="1064">
        <f t="shared" si="21"/>
        <v>-2.5999999999999999E-2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3463</v>
      </c>
      <c r="D74" s="1065">
        <f t="shared" si="17"/>
        <v>5.0000000000000001E-3</v>
      </c>
      <c r="E74" s="747"/>
      <c r="F74" s="1814"/>
      <c r="G74" s="1063">
        <v>5.0000000000000001E-3</v>
      </c>
      <c r="H74" s="1066">
        <f t="shared" si="18"/>
        <v>5.0000000000000001E-3</v>
      </c>
      <c r="I74" s="3367">
        <v>0.1</v>
      </c>
      <c r="J74" s="1064">
        <f t="shared" si="19"/>
        <v>0.01</v>
      </c>
      <c r="K74" s="1064">
        <f t="shared" si="20"/>
        <v>5.0000000000000001E-3</v>
      </c>
      <c r="L74" s="1064">
        <v>0</v>
      </c>
      <c r="M74" s="1064">
        <f t="shared" si="21"/>
        <v>-5.0000000000000001E-3</v>
      </c>
      <c r="N74" s="1064">
        <f t="shared" si="21"/>
        <v>-0.01</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3464</v>
      </c>
      <c r="D75" s="1065">
        <f t="shared" si="17"/>
        <v>0</v>
      </c>
      <c r="E75" s="747"/>
      <c r="F75" s="1814"/>
      <c r="G75" s="1063">
        <v>2.5000000000000001E-3</v>
      </c>
      <c r="H75" s="1066">
        <f t="shared" si="18"/>
        <v>2.5000000000000001E-3</v>
      </c>
      <c r="I75" s="3367">
        <v>0.05</v>
      </c>
      <c r="J75" s="1064">
        <f t="shared" si="19"/>
        <v>5.0000000000000001E-3</v>
      </c>
      <c r="K75" s="1064">
        <f t="shared" si="20"/>
        <v>2.5000000000000001E-3</v>
      </c>
      <c r="L75" s="1064">
        <v>0</v>
      </c>
      <c r="M75" s="1064">
        <f t="shared" si="21"/>
        <v>-2.5000000000000001E-3</v>
      </c>
      <c r="N75" s="1064">
        <f t="shared" si="21"/>
        <v>-5.0000000000000001E-3</v>
      </c>
      <c r="O75" s="1119"/>
      <c r="P75" s="1119"/>
      <c r="Q75" s="1997"/>
      <c r="Z75" s="1998"/>
      <c r="AA75" s="2053"/>
      <c r="AG75" s="1121"/>
      <c r="AK75" s="2053"/>
    </row>
    <row r="76" spans="1:37" ht="26.4">
      <c r="A76" s="2130" t="s">
        <v>2059</v>
      </c>
      <c r="B76" s="1326" t="str">
        <f>估价对象房地状况!C21</f>
        <v>估价对象所在区域公共配套设施齐备情况</v>
      </c>
      <c r="C76" s="2044" t="s">
        <v>3463</v>
      </c>
      <c r="D76" s="1065">
        <f t="shared" si="17"/>
        <v>4.0000000000000001E-3</v>
      </c>
      <c r="E76" s="747"/>
      <c r="F76" s="1814"/>
      <c r="G76" s="1063">
        <v>4.0000000000000001E-3</v>
      </c>
      <c r="H76" s="1066">
        <f t="shared" si="18"/>
        <v>4.0000000000000001E-3</v>
      </c>
      <c r="I76" s="3367">
        <v>0.08</v>
      </c>
      <c r="J76" s="1064">
        <f t="shared" si="19"/>
        <v>8.0000000000000002E-3</v>
      </c>
      <c r="K76" s="1064">
        <f t="shared" si="20"/>
        <v>4.0000000000000001E-3</v>
      </c>
      <c r="L76" s="1064">
        <v>0</v>
      </c>
      <c r="M76" s="1064">
        <f t="shared" si="21"/>
        <v>-4.0000000000000001E-3</v>
      </c>
      <c r="N76" s="1064">
        <f t="shared" si="21"/>
        <v>-8.0000000000000002E-3</v>
      </c>
      <c r="O76" s="1119"/>
      <c r="P76" s="1119"/>
      <c r="Z76" s="1998"/>
      <c r="AA76" s="2053"/>
      <c r="AG76" s="1121"/>
      <c r="AK76" s="2053"/>
    </row>
    <row r="77" spans="1:37" ht="26.4">
      <c r="A77" s="2130" t="s">
        <v>2060</v>
      </c>
      <c r="B77" s="1326" t="str">
        <f>估价对象房地状况!C22</f>
        <v>估价对象所在区域基础设施水平</v>
      </c>
      <c r="C77" s="2044" t="s">
        <v>3465</v>
      </c>
      <c r="D77" s="1065">
        <f t="shared" si="17"/>
        <v>8.9999999999999993E-3</v>
      </c>
      <c r="E77" s="747"/>
      <c r="F77" s="1814"/>
      <c r="G77" s="1063">
        <v>4.4999999999999997E-3</v>
      </c>
      <c r="H77" s="1066">
        <f t="shared" si="18"/>
        <v>4.4999999999999997E-3</v>
      </c>
      <c r="I77" s="3367">
        <v>0.09</v>
      </c>
      <c r="J77" s="1064">
        <f t="shared" si="19"/>
        <v>8.9999999999999993E-3</v>
      </c>
      <c r="K77" s="1064">
        <f t="shared" si="20"/>
        <v>4.4999999999999997E-3</v>
      </c>
      <c r="L77" s="1064">
        <v>0</v>
      </c>
      <c r="M77" s="1064">
        <f t="shared" si="21"/>
        <v>-4.4999999999999997E-3</v>
      </c>
      <c r="N77" s="1064">
        <f t="shared" si="21"/>
        <v>-8.9999999999999993E-3</v>
      </c>
      <c r="O77" s="1119"/>
      <c r="P77" s="1119"/>
      <c r="Z77" s="1998"/>
      <c r="AA77" s="2053"/>
      <c r="AG77" s="1121"/>
      <c r="AK77" s="2053"/>
    </row>
    <row r="78" spans="1:37" ht="36">
      <c r="A78" s="2130" t="s">
        <v>2057</v>
      </c>
      <c r="B78" s="2136" t="s">
        <v>2058</v>
      </c>
      <c r="C78" s="2044" t="s">
        <v>3463</v>
      </c>
      <c r="D78" s="1065">
        <f t="shared" si="17"/>
        <v>2.5000000000000001E-3</v>
      </c>
      <c r="E78" s="747"/>
      <c r="F78" s="1814"/>
      <c r="G78" s="1063">
        <v>2.5000000000000001E-3</v>
      </c>
      <c r="H78" s="1066">
        <f t="shared" si="18"/>
        <v>2.5000000000000001E-3</v>
      </c>
      <c r="I78" s="3367">
        <v>0.05</v>
      </c>
      <c r="J78" s="1064">
        <f t="shared" si="19"/>
        <v>5.0000000000000001E-3</v>
      </c>
      <c r="K78" s="1064">
        <f t="shared" si="20"/>
        <v>2.5000000000000001E-3</v>
      </c>
      <c r="L78" s="1064">
        <v>0</v>
      </c>
      <c r="M78" s="1064">
        <f t="shared" si="21"/>
        <v>-2.5000000000000001E-3</v>
      </c>
      <c r="N78" s="1064">
        <f t="shared" si="21"/>
        <v>-5.0000000000000001E-3</v>
      </c>
      <c r="O78" s="1997"/>
      <c r="P78" s="1997"/>
      <c r="Z78" s="1998"/>
      <c r="AA78" s="2053"/>
      <c r="AG78" s="1121"/>
      <c r="AK78" s="2053"/>
    </row>
    <row r="79" spans="1:37" ht="39.6">
      <c r="A79" s="2130" t="s">
        <v>2061</v>
      </c>
      <c r="B79" s="2133" t="str">
        <f>估价对象房地状况!C20</f>
        <v>区域自然环境：；人文环境；综合评价环境状况一般</v>
      </c>
      <c r="C79" s="2044" t="s">
        <v>3463</v>
      </c>
      <c r="D79" s="1065">
        <f t="shared" si="17"/>
        <v>6.0000000000000001E-3</v>
      </c>
      <c r="E79" s="747"/>
      <c r="F79" s="1814"/>
      <c r="G79" s="1063">
        <v>6.0000000000000001E-3</v>
      </c>
      <c r="H79" s="1066">
        <f t="shared" si="18"/>
        <v>6.0000000000000001E-3</v>
      </c>
      <c r="I79" s="3367">
        <v>0.12</v>
      </c>
      <c r="J79" s="1064">
        <f t="shared" si="19"/>
        <v>1.2E-2</v>
      </c>
      <c r="K79" s="1064">
        <f t="shared" si="20"/>
        <v>6.0000000000000001E-3</v>
      </c>
      <c r="L79" s="1064">
        <v>0</v>
      </c>
      <c r="M79" s="1064">
        <f t="shared" si="21"/>
        <v>-6.0000000000000001E-3</v>
      </c>
      <c r="N79" s="1064">
        <f t="shared" si="21"/>
        <v>-1.2E-2</v>
      </c>
      <c r="Z79" s="1998"/>
      <c r="AA79" s="2053"/>
      <c r="AG79" s="1121"/>
      <c r="AK79" s="2053"/>
    </row>
    <row r="80" spans="1:37" ht="36.6" thickBot="1">
      <c r="A80" s="2138" t="s">
        <v>2068</v>
      </c>
      <c r="B80" s="2142"/>
      <c r="C80" s="2044" t="s">
        <v>3464</v>
      </c>
      <c r="D80" s="1065">
        <f t="shared" si="17"/>
        <v>0</v>
      </c>
      <c r="E80" s="748"/>
      <c r="F80" s="1814"/>
      <c r="G80" s="1063">
        <v>2.5000000000000001E-3</v>
      </c>
      <c r="H80" s="1066">
        <f t="shared" si="18"/>
        <v>2.5000000000000001E-3</v>
      </c>
      <c r="I80" s="3368">
        <v>0.05</v>
      </c>
      <c r="J80" s="1064">
        <f t="shared" si="19"/>
        <v>5.0000000000000001E-3</v>
      </c>
      <c r="K80" s="1064">
        <f t="shared" si="20"/>
        <v>2.5000000000000001E-3</v>
      </c>
      <c r="L80" s="1064">
        <v>0</v>
      </c>
      <c r="M80" s="1064">
        <f t="shared" si="21"/>
        <v>-2.5000000000000001E-3</v>
      </c>
      <c r="N80" s="1064">
        <f t="shared" si="21"/>
        <v>-5.0000000000000001E-3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72" t="s">
        <v>3294</v>
      </c>
      <c r="B103" s="3672"/>
      <c r="C103" s="3672"/>
      <c r="D103" s="3672"/>
      <c r="E103" s="3672"/>
      <c r="F103" s="3672"/>
      <c r="G103" s="3672"/>
      <c r="H103" s="3672"/>
      <c r="I103" s="3672"/>
      <c r="J103" s="3672"/>
      <c r="K103" s="3390"/>
      <c r="L103" s="3390"/>
      <c r="M103" s="3390"/>
      <c r="N103" s="3390"/>
    </row>
    <row r="104" spans="1:14">
      <c r="A104" s="3673" t="s">
        <v>3295</v>
      </c>
      <c r="B104" s="3673" t="s">
        <v>3296</v>
      </c>
      <c r="C104" s="3391" t="s">
        <v>3297</v>
      </c>
      <c r="D104" s="3392"/>
      <c r="E104" s="3392"/>
      <c r="F104" s="3392"/>
      <c r="G104" s="3392"/>
      <c r="H104" s="3392"/>
      <c r="I104" s="3392"/>
      <c r="J104" s="3393"/>
      <c r="K104" s="3394"/>
      <c r="L104" s="3394"/>
      <c r="M104" s="3394"/>
      <c r="N104" s="3394"/>
    </row>
    <row r="105" spans="1:14">
      <c r="A105" s="3673"/>
      <c r="B105" s="3673"/>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59"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0"/>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62" t="s">
        <v>3311</v>
      </c>
      <c r="B113" s="3662"/>
      <c r="C113" s="3662"/>
      <c r="D113" s="3662"/>
      <c r="E113" s="3662"/>
      <c r="F113" s="3662"/>
      <c r="G113" s="3662"/>
      <c r="H113" s="3662"/>
      <c r="I113" s="3662"/>
      <c r="J113" s="366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2" sqref="G2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30.215599999999998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8540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115250</v>
      </c>
      <c r="D5" s="211" t="s">
        <v>1469</v>
      </c>
      <c r="E5" s="212" t="s">
        <v>1470</v>
      </c>
      <c r="F5" s="212" t="s">
        <v>1471</v>
      </c>
      <c r="G5" s="213"/>
    </row>
    <row r="6" spans="1:8" s="214" customFormat="1" ht="13.5" customHeight="1">
      <c r="A6" s="778" t="s">
        <v>1472</v>
      </c>
      <c r="B6" s="215" t="s">
        <v>1473</v>
      </c>
      <c r="C6" s="216">
        <f>ROUND(基准地价修正!C42*基准地价修正!D42,0)</f>
        <v>104972</v>
      </c>
      <c r="D6" s="217"/>
      <c r="E6" s="218"/>
      <c r="F6" s="218"/>
      <c r="G6" s="219"/>
    </row>
    <row r="7" spans="1:8" s="214" customFormat="1" ht="13.5" customHeight="1">
      <c r="A7" s="778" t="s">
        <v>1474</v>
      </c>
      <c r="B7" s="215" t="s">
        <v>1475</v>
      </c>
      <c r="C7" s="220">
        <f>ROUND(C6*F7,0)</f>
        <v>3202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7076</v>
      </c>
      <c r="D8" s="222"/>
      <c r="E8" s="220"/>
      <c r="F8" s="221"/>
      <c r="G8" s="1856" t="s">
        <v>3422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7076</v>
      </c>
      <c r="D10" s="845">
        <f ca="1">IF(B1="",'数据-汇总表'!E6,IF(INDIRECT("'数据-取费表'!c"&amp;$G$1)="住宅",INDIRECT("'数据-取费表'!s"&amp;$G$1),INDIRECT("'数据-取费表'!k"&amp;$G$1)+INDIRECT("'数据-取费表'!s"&amp;$G$1)))</f>
        <v>35.380000000000003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35.380000000000003</v>
      </c>
      <c r="E19" s="211">
        <f>'数据-取费表'!B31</f>
        <v>200</v>
      </c>
      <c r="F19" s="231"/>
      <c r="G19" s="1856" t="s">
        <v>3423</v>
      </c>
    </row>
    <row r="20" spans="1:7" s="214" customFormat="1" ht="13.5" customHeight="1">
      <c r="A20" s="255" t="s">
        <v>1574</v>
      </c>
      <c r="B20" s="210" t="s">
        <v>1575</v>
      </c>
      <c r="C20" s="232">
        <f ca="1">ROUND((C5+C19)*F20,0)</f>
        <v>1153</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7054</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7019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35</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9312</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9312</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145357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177431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159210</v>
      </c>
      <c r="D34" s="217"/>
      <c r="E34" s="220"/>
      <c r="F34" s="257"/>
      <c r="G34" s="219"/>
    </row>
    <row r="35" spans="1:7" ht="13.5" customHeight="1">
      <c r="A35" s="780" t="s">
        <v>351</v>
      </c>
      <c r="B35" s="215" t="s">
        <v>1527</v>
      </c>
      <c r="C35" s="220">
        <f ca="1">ROUND(C34*F35,0)</f>
        <v>7961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7076</v>
      </c>
      <c r="D37" s="217">
        <f ca="1">D19</f>
        <v>35.380000000000003</v>
      </c>
      <c r="E37" s="249">
        <f>'数据-取费表'!B35</f>
        <v>200</v>
      </c>
      <c r="F37" s="259"/>
      <c r="G37" s="261"/>
    </row>
    <row r="38" spans="1:7" ht="13.5" customHeight="1">
      <c r="A38" s="780" t="s">
        <v>354</v>
      </c>
      <c r="B38" s="215" t="s">
        <v>1533</v>
      </c>
      <c r="C38" s="220">
        <f ca="1">ROUND(C34*F38,0)</f>
        <v>3184</v>
      </c>
      <c r="D38" s="220"/>
      <c r="E38" s="220"/>
      <c r="F38" s="259">
        <f>'数据-取费表'!B36</f>
        <v>0.02</v>
      </c>
      <c r="G38" s="219" t="s">
        <v>1528</v>
      </c>
    </row>
    <row r="39" spans="1:7" s="214" customFormat="1" ht="13.5" customHeight="1">
      <c r="A39" s="255" t="s">
        <v>1534</v>
      </c>
      <c r="B39" s="210" t="s">
        <v>1535</v>
      </c>
      <c r="C39" s="232">
        <f ca="1">ROUND(C33*F20,0)</f>
        <v>1774</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5376</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5323</v>
      </c>
      <c r="D42" s="238"/>
      <c r="E42" s="238"/>
      <c r="F42" s="239"/>
      <c r="G42" s="3656" t="s">
        <v>1591</v>
      </c>
    </row>
    <row r="43" spans="1:7" ht="13.5" customHeight="1">
      <c r="A43" s="780" t="s">
        <v>347</v>
      </c>
      <c r="B43" s="215" t="s">
        <v>1545</v>
      </c>
      <c r="C43" s="238">
        <f ca="1">ROUND(IF('数据-取费表'!B22&lt;=1,C39*F22*'数据-取费表'!B20/2,C39*(POWER((1+F22),'数据-取费表'!B20/2)-1)),0)</f>
        <v>53</v>
      </c>
      <c r="D43" s="238"/>
      <c r="E43" s="238"/>
      <c r="F43" s="239"/>
      <c r="G43" s="3657"/>
    </row>
    <row r="44" spans="1:7" ht="13.5" customHeight="1">
      <c r="A44" s="780" t="s">
        <v>348</v>
      </c>
      <c r="B44" s="215" t="s">
        <v>1546</v>
      </c>
      <c r="C44" s="238">
        <f ca="1">ROUND(IF('数据-取费表'!B22&lt;=1,C40*F22*'数据-取费表'!B20/2,C40*(POWER((1+F22),'数据-取费表'!B20/2)-1)),4)</f>
        <v>8.9999999999999998E-4</v>
      </c>
      <c r="D44" s="238"/>
      <c r="E44" s="238"/>
      <c r="F44" s="239"/>
      <c r="G44" s="3658"/>
    </row>
    <row r="45" spans="1:7" s="214" customFormat="1" ht="13.5" customHeight="1">
      <c r="A45" s="255" t="s">
        <v>1547</v>
      </c>
      <c r="B45" s="244" t="s">
        <v>1513</v>
      </c>
      <c r="C45" s="245">
        <f ca="1">C46</f>
        <v>14336</v>
      </c>
      <c r="D45" s="235">
        <f ca="1">C47</f>
        <v>2.3999999999999998E-3</v>
      </c>
      <c r="E45" s="236" t="s">
        <v>1539</v>
      </c>
      <c r="F45" s="246">
        <f ca="1">F27</f>
        <v>0.08</v>
      </c>
      <c r="G45" s="247" t="s">
        <v>1548</v>
      </c>
    </row>
    <row r="46" spans="1:7" s="214" customFormat="1" ht="13.5" customHeight="1">
      <c r="A46" s="780" t="s">
        <v>346</v>
      </c>
      <c r="B46" s="248" t="s">
        <v>1549</v>
      </c>
      <c r="C46" s="249">
        <f ca="1">ROUND((C33+C39)*F27,0)</f>
        <v>14336</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217776</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156799</v>
      </c>
      <c r="D51" s="232"/>
      <c r="E51" s="232"/>
      <c r="F51" s="264"/>
      <c r="G51" s="234" t="s">
        <v>1560</v>
      </c>
    </row>
    <row r="52" spans="1:7" s="208" customFormat="1" ht="16.8" thickBot="1">
      <c r="A52" s="265" t="s">
        <v>1561</v>
      </c>
      <c r="B52" s="266"/>
      <c r="C52" s="267">
        <f ca="1">C31+C51</f>
        <v>302156</v>
      </c>
      <c r="D52" s="266"/>
      <c r="E52" s="266"/>
      <c r="F52" s="266"/>
      <c r="G52" s="268"/>
    </row>
    <row r="55" spans="1:7" ht="15">
      <c r="B55" s="270" t="s">
        <v>1562</v>
      </c>
      <c r="C55" s="271"/>
    </row>
    <row r="56" spans="1:7">
      <c r="B56" s="273" t="s">
        <v>802</v>
      </c>
      <c r="C56" s="275">
        <f ca="1">1-C57</f>
        <v>0.48099999999999998</v>
      </c>
    </row>
    <row r="57" spans="1:7">
      <c r="B57" s="273" t="s">
        <v>803</v>
      </c>
      <c r="C57" s="274">
        <f ca="1">ROUND(C51/C52,3)</f>
        <v>0.51900000000000002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-283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35.380000000000003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35.380000000000003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35.380000000000003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3" sqref="J5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3333</v>
      </c>
      <c r="D1" s="1362" t="s">
        <v>43</v>
      </c>
      <c r="E1" s="1363" t="s">
        <v>678</v>
      </c>
      <c r="F1" s="1062">
        <f ca="1">J53</f>
        <v>27.8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19.5641</v>
      </c>
      <c r="C2" s="1387" t="s">
        <v>879</v>
      </c>
      <c r="D2" s="1471">
        <f ca="1">C40+J29+L46</f>
        <v>195641</v>
      </c>
      <c r="E2" s="1388" t="s">
        <v>880</v>
      </c>
      <c r="F2" s="1389"/>
      <c r="G2" s="2706"/>
      <c r="H2" s="2695"/>
      <c r="I2" s="2695"/>
      <c r="J2" s="2695"/>
      <c r="K2" s="2696"/>
      <c r="L2" s="2695"/>
      <c r="M2" s="2695"/>
    </row>
    <row r="3" spans="1:37" ht="18" customHeight="1" thickBot="1">
      <c r="A3" s="1390" t="s">
        <v>881</v>
      </c>
      <c r="B3" s="1391">
        <f ca="1">IF(ISERROR(D2/F43),0,ROUND(D2/F43,0))</f>
        <v>5530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11054</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11040</v>
      </c>
      <c r="D6" s="155" t="s">
        <v>2106</v>
      </c>
      <c r="E6" s="302" t="s">
        <v>696</v>
      </c>
      <c r="F6" s="303">
        <f ca="1">INDIRECT("'数据-取费表'!u"&amp;$G$1)</f>
        <v>1000</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1</v>
      </c>
      <c r="G7" s="1384"/>
      <c r="H7" s="304"/>
      <c r="I7" s="3681"/>
      <c r="J7" s="306"/>
      <c r="K7" s="307"/>
      <c r="L7" s="302" t="s">
        <v>697</v>
      </c>
      <c r="M7" s="303">
        <f ca="1">F7</f>
        <v>1</v>
      </c>
    </row>
    <row r="8" spans="1:37" ht="18" customHeight="1">
      <c r="A8" s="304"/>
      <c r="B8" s="3681"/>
      <c r="C8" s="306"/>
      <c r="D8" s="307"/>
      <c r="E8" s="302" t="s">
        <v>698</v>
      </c>
      <c r="F8" s="303">
        <f ca="1">INDIRECT("'数据-取费表'!ai"&amp;$G$1)</f>
        <v>12</v>
      </c>
      <c r="G8" s="1384"/>
      <c r="H8" s="304"/>
      <c r="I8" s="3681"/>
      <c r="J8" s="306"/>
      <c r="K8" s="307"/>
      <c r="L8" s="302" t="s">
        <v>698</v>
      </c>
      <c r="M8" s="303">
        <f ca="1">INDIRECT("'数据-取费表'!ai"&amp;$G$1)</f>
        <v>12</v>
      </c>
    </row>
    <row r="9" spans="1:37" ht="18" customHeight="1">
      <c r="A9" s="304"/>
      <c r="B9" s="3682"/>
      <c r="C9" s="306"/>
      <c r="D9" s="307"/>
      <c r="E9" s="302" t="s">
        <v>699</v>
      </c>
      <c r="F9" s="312">
        <f ca="1">INDIRECT("'数据-取费表'!w"&amp;$G$1)</f>
        <v>0.08</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14</v>
      </c>
      <c r="D10" s="1366" t="s">
        <v>2116</v>
      </c>
      <c r="E10" s="313" t="s">
        <v>701</v>
      </c>
      <c r="F10" s="1116" t="s">
        <v>3424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156799</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159210</v>
      </c>
      <c r="D14" s="1345" t="s">
        <v>708</v>
      </c>
      <c r="E14" s="1342"/>
      <c r="F14" s="319"/>
      <c r="G14" s="1384"/>
      <c r="H14" s="982" t="s">
        <v>398</v>
      </c>
      <c r="I14" s="302" t="s">
        <v>709</v>
      </c>
      <c r="J14" s="21">
        <f ca="1">C29</f>
        <v>217776</v>
      </c>
      <c r="K14" s="12"/>
      <c r="L14" s="807"/>
      <c r="M14" s="808"/>
    </row>
    <row r="15" spans="1:37" s="1397" customFormat="1" ht="18" customHeight="1" thickBot="1">
      <c r="A15" s="982" t="s">
        <v>399</v>
      </c>
      <c r="B15" s="302" t="s">
        <v>710</v>
      </c>
      <c r="C15" s="21">
        <f ca="1">ROUND(C14*F15,0)</f>
        <v>7961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436</v>
      </c>
      <c r="K16" s="1087" t="s">
        <v>715</v>
      </c>
      <c r="L16" s="1088"/>
      <c r="M16" s="1072"/>
    </row>
    <row r="17" spans="1:37" s="1397" customFormat="1" ht="18" customHeight="1">
      <c r="A17" s="982" t="s">
        <v>681</v>
      </c>
      <c r="B17" s="302" t="s">
        <v>716</v>
      </c>
      <c r="C17" s="21">
        <f ca="1">ROUND(F17*(F43+INDIRECT("'数据-取费表'!S"&amp;$G$1)),0)</f>
        <v>7076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3184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177431</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1774</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436</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5376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-436</v>
      </c>
      <c r="K25" s="1095" t="s">
        <v>753</v>
      </c>
      <c r="L25" s="1096"/>
      <c r="M25" s="1097"/>
    </row>
    <row r="26" spans="1:37" ht="18" customHeight="1">
      <c r="A26" s="982" t="s">
        <v>397</v>
      </c>
      <c r="B26" s="302" t="s">
        <v>754</v>
      </c>
      <c r="C26" s="21">
        <f ca="1">ROUND((C19+C20)*F26,0)</f>
        <v>14336</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217776</v>
      </c>
      <c r="D29" s="1092"/>
      <c r="E29" s="1090"/>
      <c r="F29" s="1093"/>
      <c r="G29" s="1396"/>
      <c r="H29" s="334" t="s">
        <v>396</v>
      </c>
      <c r="I29" s="335" t="s">
        <v>768</v>
      </c>
      <c r="J29" s="336">
        <f ca="1">ROUND(J26/(1+F40)^F41,0)</f>
        <v>0</v>
      </c>
      <c r="K29" s="337" t="s">
        <v>769</v>
      </c>
      <c r="L29" s="338"/>
      <c r="M29" s="339">
        <f ca="1">INDIRECT("'数据-取费表'!k"&amp;$G$1)</f>
        <v>35.380000000000003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1851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589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1262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436</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157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111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8499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175978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4974</v>
      </c>
      <c r="D43" s="337" t="s">
        <v>777</v>
      </c>
      <c r="E43" s="338" t="s">
        <v>778</v>
      </c>
      <c r="F43" s="339">
        <f ca="1">INDIRECT("'数据-取费表'!k"&amp;$G$1)</f>
        <v>35.380000000000003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-18.478300000000001</v>
      </c>
      <c r="D45" s="3432" t="s">
        <v>3353</v>
      </c>
      <c r="E45" s="1400"/>
      <c r="F45" s="1400"/>
      <c r="O45" s="1403" t="s">
        <v>808</v>
      </c>
      <c r="P45" s="1461"/>
      <c r="Q45" s="1461"/>
      <c r="R45" s="1461"/>
    </row>
    <row r="46" spans="1:18" s="1384" customFormat="1" ht="13.8" thickBot="1">
      <c r="A46" s="1404" t="s">
        <v>809</v>
      </c>
      <c r="C46" s="1405">
        <f ca="1">ROUND(C45,0)</f>
        <v>-18</v>
      </c>
      <c r="D46" s="1406" t="str">
        <f>C2</f>
        <v>万元</v>
      </c>
      <c r="I46" s="1407" t="s">
        <v>810</v>
      </c>
      <c r="J46" s="1408"/>
      <c r="K46" s="1409"/>
      <c r="L46" s="1410">
        <f ca="1">IF(M47="住宅",0,IF(L48&gt;J51,L60,J60))</f>
        <v>19663</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175978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3426</v>
      </c>
      <c r="K48" s="1423" t="s">
        <v>820</v>
      </c>
      <c r="L48" s="1424">
        <f ca="1">INDIRECT("'数据-取费表'!f"&amp;$G$1)</f>
        <v>27.8</v>
      </c>
      <c r="O48" s="1418" t="s">
        <v>404</v>
      </c>
      <c r="P48" s="1419" t="s">
        <v>821</v>
      </c>
      <c r="Q48" s="1420">
        <f ca="1">J60</f>
        <v>19663</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217776</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-2358</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27.8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27.8</v>
      </c>
      <c r="K53" s="3678" t="s">
        <v>837</v>
      </c>
      <c r="L53" s="3679"/>
      <c r="O53" s="1418" t="s">
        <v>409</v>
      </c>
      <c r="P53" s="1419" t="s">
        <v>838</v>
      </c>
      <c r="Q53" s="1420">
        <f ca="1">Q47+Q48</f>
        <v>195641</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156799</v>
      </c>
      <c r="D56" s="1447"/>
      <c r="E56" s="1448"/>
      <c r="F56" s="1440"/>
      <c r="I56" s="1449" t="s">
        <v>842</v>
      </c>
      <c r="J56" s="1450" t="s">
        <v>3467</v>
      </c>
      <c r="K56" s="1421" t="s">
        <v>843</v>
      </c>
      <c r="L56" s="1424" t="str">
        <f ca="1">IF(L48&lt;J51,"——",L48-J51)</f>
        <v>——</v>
      </c>
      <c r="O56" s="1418" t="s">
        <v>403</v>
      </c>
      <c r="P56" s="1419" t="s">
        <v>817</v>
      </c>
      <c r="Q56" s="1420">
        <f ca="1">C40+J29</f>
        <v>175978</v>
      </c>
      <c r="R56" s="1420" t="s">
        <v>818</v>
      </c>
    </row>
    <row r="57" spans="1:18" s="1384" customFormat="1" ht="24.6" thickBot="1">
      <c r="A57" s="1451"/>
      <c r="B57" s="950" t="s">
        <v>767</v>
      </c>
      <c r="C57" s="238">
        <f ca="1">C29</f>
        <v>217776</v>
      </c>
      <c r="D57" s="1452"/>
      <c r="E57" s="1453"/>
      <c r="F57" s="1454"/>
      <c r="I57" s="1455" t="s">
        <v>844</v>
      </c>
      <c r="J57" s="1456">
        <f ca="1">IF(OR(M47="住宅",J51&lt;L48,J56="是"),"——",J51-L48)</f>
        <v>15.2</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593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87110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19663</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175978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436</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157</v>
      </c>
      <c r="D65" s="964" t="s">
        <v>743</v>
      </c>
      <c r="E65" s="950" t="s">
        <v>744</v>
      </c>
      <c r="F65" s="330">
        <f t="shared" ca="1" si="0"/>
        <v>1E-3</v>
      </c>
      <c r="I65" s="1462" t="s">
        <v>867</v>
      </c>
      <c r="J65" s="1463">
        <v>40</v>
      </c>
      <c r="K65" s="1463">
        <v>30</v>
      </c>
      <c r="L65" s="1463">
        <v>50</v>
      </c>
      <c r="M65" s="1465">
        <v>0.02</v>
      </c>
      <c r="O65" s="1418" t="s">
        <v>403</v>
      </c>
      <c r="P65" s="1419" t="s">
        <v>868</v>
      </c>
      <c r="Q65" s="1420">
        <f ca="1">C40+J29</f>
        <v>175978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-593</v>
      </c>
      <c r="D67" s="963" t="s">
        <v>753</v>
      </c>
      <c r="E67" s="968"/>
      <c r="F67" s="969"/>
      <c r="O67" s="1428" t="s">
        <v>405</v>
      </c>
      <c r="P67" s="1419" t="s">
        <v>850</v>
      </c>
      <c r="Q67" s="1466">
        <f ca="1">L51</f>
        <v>-2358</v>
      </c>
      <c r="R67" s="1420" t="s">
        <v>870</v>
      </c>
    </row>
    <row r="68" spans="1:18" s="1384" customFormat="1" ht="16.2" thickBot="1">
      <c r="A68" s="947" t="s">
        <v>395</v>
      </c>
      <c r="B68" s="948" t="s">
        <v>774</v>
      </c>
      <c r="C68" s="301">
        <f ca="1">ROUND(C67*(1-((1+F70)/(1+F68))^F69)/(F68-F70),0)</f>
        <v>-8805</v>
      </c>
      <c r="D68" s="965" t="s">
        <v>758</v>
      </c>
      <c r="E68" s="950" t="s">
        <v>759</v>
      </c>
      <c r="F68" s="312">
        <f ca="1">F40</f>
        <v>0.05</v>
      </c>
      <c r="O68" s="1428" t="s">
        <v>406</v>
      </c>
      <c r="P68" s="1467" t="s">
        <v>871</v>
      </c>
      <c r="Q68" s="1420">
        <f ca="1">ROUND(Q69-Q70*Q71,0)</f>
        <v>-125</v>
      </c>
      <c r="R68" s="1420" t="s">
        <v>414</v>
      </c>
    </row>
    <row r="69" spans="1:18" s="1384" customFormat="1" ht="13.8" thickBot="1">
      <c r="A69" s="951"/>
      <c r="B69" s="952"/>
      <c r="C69" s="306"/>
      <c r="D69" s="970" t="s">
        <v>762</v>
      </c>
      <c r="E69" s="950" t="s">
        <v>763</v>
      </c>
      <c r="F69" s="333">
        <f ca="1">F41</f>
        <v>27.8</v>
      </c>
      <c r="O69" s="1428" t="s">
        <v>411</v>
      </c>
      <c r="P69" s="1467" t="s">
        <v>872</v>
      </c>
      <c r="Q69" s="1420">
        <f ca="1">C39</f>
        <v>8499</v>
      </c>
      <c r="R69" s="1420" t="s">
        <v>818</v>
      </c>
    </row>
    <row r="70" spans="1:18" s="1384" customFormat="1" ht="13.8" thickBot="1">
      <c r="A70" s="954"/>
      <c r="B70" s="955"/>
      <c r="C70" s="310"/>
      <c r="D70" s="966"/>
      <c r="E70" s="950" t="s">
        <v>766</v>
      </c>
      <c r="F70" s="1054"/>
      <c r="O70" s="1428" t="s">
        <v>412</v>
      </c>
      <c r="P70" s="1467" t="s">
        <v>873</v>
      </c>
      <c r="Q70" s="1420">
        <f ca="1">C13</f>
        <v>156799</v>
      </c>
      <c r="R70" s="1420" t="s">
        <v>818</v>
      </c>
    </row>
    <row r="71" spans="1:18" s="1384" customFormat="1" ht="13.8" thickBot="1">
      <c r="A71" s="971" t="s">
        <v>396</v>
      </c>
      <c r="B71" s="972" t="s">
        <v>776</v>
      </c>
      <c r="C71" s="336">
        <f ca="1">ROUND(C68/F71,0)</f>
        <v>-249</v>
      </c>
      <c r="D71" s="973" t="s">
        <v>777</v>
      </c>
      <c r="E71" s="974" t="s">
        <v>778</v>
      </c>
      <c r="F71" s="339">
        <f ca="1">F43</f>
        <v>35.380000000000003</v>
      </c>
      <c r="O71" s="1428" t="s">
        <v>413</v>
      </c>
      <c r="P71" s="1467" t="s">
        <v>874</v>
      </c>
      <c r="Q71" s="1431">
        <f ca="1">C76</f>
        <v>5.5E-2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8624</v>
      </c>
      <c r="D75" s="1384"/>
      <c r="E75" s="1384"/>
      <c r="F75" s="1384"/>
      <c r="K75" s="1402"/>
      <c r="L75" s="1384"/>
      <c r="O75" s="1418" t="s">
        <v>409</v>
      </c>
      <c r="P75" s="1419" t="s">
        <v>838</v>
      </c>
      <c r="Q75" s="1420">
        <f ca="1">Q65+Q66</f>
        <v>175978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-1.4999999999999902E-2</v>
      </c>
    </row>
    <row r="80" spans="1:18">
      <c r="B80" s="340" t="s">
        <v>800</v>
      </c>
      <c r="C80" s="274">
        <f ca="1">ROUND(C75/C39,3)</f>
        <v>1.0149999999999999</v>
      </c>
    </row>
    <row r="81" spans="2:3">
      <c r="B81" s="270" t="s">
        <v>801</v>
      </c>
      <c r="C81" s="238"/>
    </row>
    <row r="82" spans="2:3">
      <c r="B82" s="273" t="s">
        <v>802</v>
      </c>
      <c r="C82" s="275">
        <f ca="1">1-C83</f>
        <v>0.10899999999999999</v>
      </c>
    </row>
    <row r="83" spans="2:3">
      <c r="B83" s="273" t="s">
        <v>803</v>
      </c>
      <c r="C83" s="274">
        <f ca="1">ROUND(C13/C40,3)</f>
        <v>0.89100000000000001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3" t="s">
        <v>2317</v>
      </c>
      <c r="K2" s="368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5" t="s">
        <v>2327</v>
      </c>
      <c r="K3" s="368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5" t="s">
        <v>2329</v>
      </c>
      <c r="K4" s="368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7" t="s">
        <v>2333</v>
      </c>
      <c r="B6" s="3688"/>
      <c r="C6" s="3689"/>
      <c r="D6" s="2870"/>
      <c r="E6" s="2871"/>
      <c r="F6" s="2872"/>
      <c r="G6" s="2873"/>
      <c r="H6" s="2848"/>
      <c r="I6" s="2849"/>
      <c r="J6" s="3690">
        <v>1</v>
      </c>
      <c r="K6" s="369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90"/>
      <c r="K7" s="369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4" t="s">
        <v>2347</v>
      </c>
      <c r="C8" s="3695"/>
      <c r="D8" s="2889" t="s">
        <v>2348</v>
      </c>
      <c r="E8" s="2890" t="s">
        <v>2349</v>
      </c>
      <c r="F8" s="2891" t="s">
        <v>2350</v>
      </c>
      <c r="G8" s="2892"/>
      <c r="H8" s="2848"/>
      <c r="I8" s="2849"/>
      <c r="J8" s="3690"/>
      <c r="K8" s="369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4" t="s">
        <v>2353</v>
      </c>
      <c r="C9" s="3695"/>
      <c r="D9" s="2889">
        <f>ROUND(D6*E9,0)</f>
        <v>0</v>
      </c>
      <c r="E9" s="2893"/>
      <c r="F9" s="2894" t="s">
        <v>2354</v>
      </c>
      <c r="G9" s="2873"/>
      <c r="H9" s="2848"/>
      <c r="I9" s="2849"/>
      <c r="J9" s="3690"/>
      <c r="K9" s="3692"/>
      <c r="L9" s="2883" t="s">
        <v>2355</v>
      </c>
      <c r="M9" s="2884"/>
      <c r="N9" s="2860"/>
      <c r="O9" s="2885"/>
      <c r="P9" s="2885"/>
      <c r="Q9" s="2886">
        <v>365</v>
      </c>
      <c r="R9" s="2887">
        <f t="shared" si="0"/>
        <v>0</v>
      </c>
      <c r="S9" s="2841"/>
      <c r="T9" s="2841"/>
      <c r="U9" s="2841"/>
      <c r="V9" s="2849"/>
    </row>
    <row r="10" spans="1:22" s="2853" customFormat="1" ht="13.2" customHeight="1">
      <c r="A10" s="2888">
        <v>2</v>
      </c>
      <c r="B10" s="3694" t="s">
        <v>2356</v>
      </c>
      <c r="C10" s="3695"/>
      <c r="D10" s="2889">
        <f>ROUND(D6*E10,0)</f>
        <v>0</v>
      </c>
      <c r="E10" s="2893"/>
      <c r="F10" s="2894" t="s">
        <v>2357</v>
      </c>
      <c r="G10" s="2873"/>
      <c r="H10" s="2848"/>
      <c r="I10" s="2849"/>
      <c r="J10" s="3690"/>
      <c r="K10" s="3692"/>
      <c r="L10" s="2883" t="s">
        <v>2358</v>
      </c>
      <c r="M10" s="2884"/>
      <c r="N10" s="2860"/>
      <c r="O10" s="2885"/>
      <c r="P10" s="2885"/>
      <c r="Q10" s="2886">
        <v>365</v>
      </c>
      <c r="R10" s="2887">
        <f t="shared" si="0"/>
        <v>0</v>
      </c>
      <c r="S10" s="2841"/>
      <c r="T10" s="2841"/>
      <c r="U10" s="2841"/>
      <c r="V10" s="2849"/>
    </row>
    <row r="11" spans="1:22" s="2853" customFormat="1" ht="13.2" customHeight="1">
      <c r="A11" s="2888">
        <v>3</v>
      </c>
      <c r="B11" s="3694" t="s">
        <v>2359</v>
      </c>
      <c r="C11" s="3695"/>
      <c r="D11" s="2889">
        <f>D12+D14+D15+D16</f>
        <v>0</v>
      </c>
      <c r="E11" s="2895" t="e">
        <f>D11/D6</f>
        <v>#DIV/0!</v>
      </c>
      <c r="F11" s="2891"/>
      <c r="G11" s="2892"/>
      <c r="H11" s="2848"/>
      <c r="I11" s="2849"/>
      <c r="J11" s="3690"/>
      <c r="K11" s="369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6" t="s">
        <v>2362</v>
      </c>
      <c r="C12" s="3697"/>
      <c r="D12" s="2897">
        <f>ROUND(D13*1.2%*(1-30%),0)</f>
        <v>0</v>
      </c>
      <c r="E12" s="2898">
        <v>1.2E-2</v>
      </c>
      <c r="F12" s="2891" t="s">
        <v>2363</v>
      </c>
      <c r="G12" s="2892"/>
      <c r="H12" s="2848"/>
      <c r="I12" s="2849"/>
      <c r="J12" s="3690"/>
      <c r="K12" s="369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90"/>
      <c r="K13" s="369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6" t="s">
        <v>2368</v>
      </c>
      <c r="C14" s="3697"/>
      <c r="D14" s="2897">
        <f>ROUND(E14*B5/10000,0)</f>
        <v>0</v>
      </c>
      <c r="E14" s="2886"/>
      <c r="F14" s="2891" t="s">
        <v>2369</v>
      </c>
      <c r="G14" s="2892"/>
      <c r="H14" s="2848"/>
      <c r="I14" s="2849"/>
      <c r="J14" s="3690"/>
      <c r="K14" s="369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6" t="s">
        <v>2372</v>
      </c>
      <c r="C15" s="3697"/>
      <c r="D15" s="2897">
        <f>ROUND(D6*E15,0)</f>
        <v>0</v>
      </c>
      <c r="E15" s="2898">
        <v>5.5E-2</v>
      </c>
      <c r="F15" s="2891" t="s">
        <v>2373</v>
      </c>
      <c r="G15" s="2873"/>
      <c r="H15" s="2848"/>
      <c r="I15" s="2849"/>
      <c r="J15" s="3690">
        <v>2</v>
      </c>
      <c r="K15" s="369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6" t="s">
        <v>2381</v>
      </c>
      <c r="C16" s="3697"/>
      <c r="D16" s="2908">
        <f>D6*E16</f>
        <v>0</v>
      </c>
      <c r="E16" s="2909"/>
      <c r="F16" s="2894" t="s">
        <v>2382</v>
      </c>
      <c r="G16" s="2873"/>
      <c r="H16" s="2848"/>
      <c r="I16" s="2849"/>
      <c r="J16" s="3690"/>
      <c r="K16" s="369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8" t="s">
        <v>2384</v>
      </c>
      <c r="C17" s="3699"/>
      <c r="D17" s="2911">
        <f>ROUND(D6*E17,0)</f>
        <v>0</v>
      </c>
      <c r="E17" s="2912"/>
      <c r="F17" s="2913" t="s">
        <v>2385</v>
      </c>
      <c r="G17" s="2873"/>
      <c r="H17" s="2848"/>
      <c r="I17" s="2849"/>
      <c r="J17" s="3690"/>
      <c r="K17" s="369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90"/>
      <c r="K18" s="369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90"/>
      <c r="K19" s="369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0">
        <v>3</v>
      </c>
      <c r="K20" s="369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90"/>
      <c r="K21" s="369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90"/>
      <c r="K22" s="369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90"/>
      <c r="K23" s="369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90"/>
      <c r="K24" s="369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0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0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3" t="s">
        <v>2317</v>
      </c>
      <c r="K32" s="368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5" t="s">
        <v>2327</v>
      </c>
      <c r="K33" s="368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5" t="s">
        <v>2329</v>
      </c>
      <c r="K34" s="368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90">
        <v>1</v>
      </c>
      <c r="K36" s="369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90"/>
      <c r="K37" s="369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0"/>
      <c r="K38" s="369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90"/>
      <c r="K39" s="369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90"/>
      <c r="K40" s="369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0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0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19.5641</v>
      </c>
      <c r="C2" s="1872" t="s">
        <v>1651</v>
      </c>
      <c r="D2" s="1873" t="s">
        <v>1652</v>
      </c>
      <c r="E2" s="2607">
        <f>SUM(E6:E13)</f>
        <v>35.380000000000003</v>
      </c>
      <c r="F2" s="2707"/>
      <c r="G2" s="1489"/>
      <c r="H2" s="1489"/>
      <c r="I2" s="1489"/>
      <c r="J2" s="1489"/>
      <c r="K2" s="1489"/>
      <c r="L2" s="1489"/>
      <c r="M2" s="1489"/>
      <c r="N2" s="1489"/>
      <c r="O2" s="1489"/>
      <c r="P2" s="1489"/>
      <c r="Q2" s="1489"/>
      <c r="R2" s="1489"/>
      <c r="S2" s="1489"/>
    </row>
    <row r="3" spans="1:22" ht="15.6">
      <c r="A3" s="1870" t="s">
        <v>686</v>
      </c>
      <c r="B3" s="2601">
        <f ca="1">ROUND(B2*10000/E2,0)</f>
        <v>5530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2" t="s">
        <v>1654</v>
      </c>
      <c r="C5" s="370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19.5641</v>
      </c>
      <c r="C6" s="1872" t="s">
        <v>1651</v>
      </c>
      <c r="D6" s="2709"/>
      <c r="E6" s="2606">
        <f>IF(OR(A6=0,F6="否"),0,'数据-取费表'!K6+'数据-取费表'!S6)</f>
        <v>35.380000000000003</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35.380000000000003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2" t="s">
        <v>1667</v>
      </c>
      <c r="D4" s="3723"/>
      <c r="E4" s="3724" t="s">
        <v>1668</v>
      </c>
      <c r="F4" s="3725"/>
      <c r="G4" s="3722" t="s">
        <v>1669</v>
      </c>
      <c r="H4" s="3723"/>
      <c r="I4" s="3722" t="s">
        <v>1670</v>
      </c>
      <c r="J4" s="3723"/>
      <c r="K4" s="1889" t="s">
        <v>1671</v>
      </c>
      <c r="L4" s="2715"/>
      <c r="M4" s="2716"/>
      <c r="N4" s="2716"/>
      <c r="O4" s="2716"/>
      <c r="P4" s="3726" t="s">
        <v>1672</v>
      </c>
      <c r="Q4" s="3727"/>
      <c r="R4" s="3709" t="s">
        <v>1668</v>
      </c>
      <c r="S4" s="3710"/>
      <c r="T4" s="3709" t="s">
        <v>1669</v>
      </c>
      <c r="U4" s="3710"/>
      <c r="V4" s="3734" t="s">
        <v>1670</v>
      </c>
      <c r="W4" s="3734"/>
      <c r="X4" s="1355"/>
      <c r="Y4" s="3709" t="s">
        <v>1672</v>
      </c>
      <c r="Z4" s="3710"/>
      <c r="AA4" s="3704" t="s">
        <v>1668</v>
      </c>
      <c r="AB4" s="3704" t="s">
        <v>1669</v>
      </c>
      <c r="AC4" s="3704" t="s">
        <v>1670</v>
      </c>
    </row>
    <row r="5" spans="1:29">
      <c r="A5" s="358"/>
      <c r="B5" s="359"/>
      <c r="C5" s="3715" t="s">
        <v>1673</v>
      </c>
      <c r="D5" s="3716"/>
      <c r="E5" s="3713" t="s">
        <v>1674</v>
      </c>
      <c r="F5" s="3714"/>
      <c r="G5" s="3715" t="s">
        <v>1675</v>
      </c>
      <c r="H5" s="3716"/>
      <c r="I5" s="3715" t="s">
        <v>1676</v>
      </c>
      <c r="J5" s="3716"/>
      <c r="K5" s="1890"/>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1890"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7" t="s">
        <v>1680</v>
      </c>
      <c r="Q7" s="3735"/>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1"/>
      <c r="Q11" s="1343"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1"/>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1"/>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1"/>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8" t="s">
        <v>1691</v>
      </c>
      <c r="Q15" s="1352" t="str">
        <f t="shared" si="6"/>
        <v>居住社区成熟度</v>
      </c>
      <c r="R15" s="705" t="s">
        <v>18</v>
      </c>
      <c r="S15" s="706">
        <f t="shared" si="0"/>
        <v>100</v>
      </c>
      <c r="T15" s="705" t="s">
        <v>18</v>
      </c>
      <c r="U15" s="706">
        <f t="shared" si="1"/>
        <v>100</v>
      </c>
      <c r="V15" s="705" t="s">
        <v>18</v>
      </c>
      <c r="W15" s="706">
        <f t="shared" si="2"/>
        <v>100</v>
      </c>
      <c r="X15" s="1355"/>
      <c r="Y15" s="374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9"/>
      <c r="Q16" s="1352"/>
      <c r="R16" s="705"/>
      <c r="S16" s="706"/>
      <c r="T16" s="705"/>
      <c r="U16" s="706"/>
      <c r="V16" s="705"/>
      <c r="W16" s="706"/>
      <c r="X16" s="1355"/>
      <c r="Y16" s="374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9"/>
      <c r="Q17" s="1352" t="str">
        <f>B17</f>
        <v>交通便捷度</v>
      </c>
      <c r="R17" s="705" t="s">
        <v>18</v>
      </c>
      <c r="S17" s="706">
        <f>F17</f>
        <v>100</v>
      </c>
      <c r="T17" s="705" t="s">
        <v>18</v>
      </c>
      <c r="U17" s="706">
        <f>H17</f>
        <v>100</v>
      </c>
      <c r="V17" s="705" t="s">
        <v>18</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9"/>
      <c r="Q18" s="1352"/>
      <c r="R18" s="705"/>
      <c r="S18" s="706"/>
      <c r="T18" s="705"/>
      <c r="U18" s="706"/>
      <c r="V18" s="705"/>
      <c r="W18" s="706"/>
      <c r="X18" s="1355"/>
      <c r="Y18" s="374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9"/>
      <c r="Q19" s="1352" t="str">
        <f>B19</f>
        <v>公共配套设施</v>
      </c>
      <c r="R19" s="705" t="s">
        <v>18</v>
      </c>
      <c r="S19" s="706">
        <f>F19</f>
        <v>100</v>
      </c>
      <c r="T19" s="705" t="s">
        <v>18</v>
      </c>
      <c r="U19" s="706">
        <f>H19</f>
        <v>100</v>
      </c>
      <c r="V19" s="705" t="s">
        <v>18</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9"/>
      <c r="Q20" s="1352"/>
      <c r="R20" s="705"/>
      <c r="S20" s="706"/>
      <c r="T20" s="705"/>
      <c r="U20" s="706"/>
      <c r="V20" s="705"/>
      <c r="W20" s="706"/>
      <c r="X20" s="1355"/>
      <c r="Y20" s="374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9"/>
      <c r="Q22" s="1352"/>
      <c r="R22" s="705"/>
      <c r="S22" s="706"/>
      <c r="T22" s="705"/>
      <c r="U22" s="706"/>
      <c r="V22" s="705"/>
      <c r="W22" s="706"/>
      <c r="X22" s="1355"/>
      <c r="Y22" s="374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9"/>
      <c r="Q23" s="1352" t="str">
        <f>B23</f>
        <v>自然及人文环境</v>
      </c>
      <c r="R23" s="705" t="s">
        <v>18</v>
      </c>
      <c r="S23" s="706">
        <f>F23</f>
        <v>100</v>
      </c>
      <c r="T23" s="705" t="s">
        <v>18</v>
      </c>
      <c r="U23" s="706">
        <f>H23</f>
        <v>100</v>
      </c>
      <c r="V23" s="705" t="s">
        <v>18</v>
      </c>
      <c r="W23" s="706">
        <f>J23</f>
        <v>100</v>
      </c>
      <c r="X23" s="1355"/>
      <c r="Y23" s="374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9"/>
      <c r="Q26" s="1352" t="str">
        <f t="shared" si="11"/>
        <v>朝向</v>
      </c>
      <c r="R26" s="705" t="s">
        <v>18</v>
      </c>
      <c r="S26" s="706">
        <f t="shared" si="12"/>
        <v>100</v>
      </c>
      <c r="T26" s="705" t="s">
        <v>18</v>
      </c>
      <c r="U26" s="706">
        <f t="shared" si="13"/>
        <v>100</v>
      </c>
      <c r="V26" s="705" t="s">
        <v>18</v>
      </c>
      <c r="W26" s="706">
        <f t="shared" si="14"/>
        <v>100</v>
      </c>
      <c r="X26" s="1355"/>
      <c r="Y26" s="374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9"/>
      <c r="Q27" s="1343">
        <f t="shared" si="11"/>
        <v>111</v>
      </c>
      <c r="R27" s="701" t="s">
        <v>18</v>
      </c>
      <c r="S27" s="702">
        <f t="shared" si="12"/>
        <v>100</v>
      </c>
      <c r="T27" s="701" t="s">
        <v>18</v>
      </c>
      <c r="U27" s="702">
        <f t="shared" si="13"/>
        <v>100</v>
      </c>
      <c r="V27" s="701" t="s">
        <v>18</v>
      </c>
      <c r="W27" s="702">
        <f t="shared" si="14"/>
        <v>100</v>
      </c>
      <c r="X27" s="703"/>
      <c r="Y27" s="374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9"/>
      <c r="Q28" s="1352">
        <f t="shared" si="11"/>
        <v>111</v>
      </c>
      <c r="R28" s="705" t="s">
        <v>18</v>
      </c>
      <c r="S28" s="706">
        <f t="shared" si="12"/>
        <v>100</v>
      </c>
      <c r="T28" s="705" t="s">
        <v>18</v>
      </c>
      <c r="U28" s="706">
        <f t="shared" si="13"/>
        <v>100</v>
      </c>
      <c r="V28" s="705" t="s">
        <v>18</v>
      </c>
      <c r="W28" s="706">
        <f t="shared" si="14"/>
        <v>100</v>
      </c>
      <c r="X28" s="1355"/>
      <c r="Y28" s="374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9"/>
      <c r="Q29" s="1352">
        <f t="shared" si="11"/>
        <v>111</v>
      </c>
      <c r="R29" s="705" t="s">
        <v>18</v>
      </c>
      <c r="S29" s="706">
        <f t="shared" si="12"/>
        <v>100</v>
      </c>
      <c r="T29" s="705" t="s">
        <v>18</v>
      </c>
      <c r="U29" s="706">
        <f t="shared" si="13"/>
        <v>100</v>
      </c>
      <c r="V29" s="705" t="s">
        <v>18</v>
      </c>
      <c r="W29" s="706">
        <f t="shared" si="14"/>
        <v>100</v>
      </c>
      <c r="X29" s="1355"/>
      <c r="Y29" s="374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9"/>
      <c r="Q30" s="1352">
        <f t="shared" si="11"/>
        <v>111</v>
      </c>
      <c r="R30" s="705" t="s">
        <v>18</v>
      </c>
      <c r="S30" s="706">
        <f t="shared" si="12"/>
        <v>100</v>
      </c>
      <c r="T30" s="705" t="s">
        <v>18</v>
      </c>
      <c r="U30" s="706">
        <f t="shared" si="13"/>
        <v>100</v>
      </c>
      <c r="V30" s="705" t="s">
        <v>18</v>
      </c>
      <c r="W30" s="706">
        <f t="shared" si="14"/>
        <v>100</v>
      </c>
      <c r="X30" s="1355"/>
      <c r="Y30" s="374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9"/>
      <c r="Q31" s="1352">
        <f t="shared" si="11"/>
        <v>111</v>
      </c>
      <c r="R31" s="705" t="s">
        <v>18</v>
      </c>
      <c r="S31" s="706">
        <f t="shared" si="12"/>
        <v>100</v>
      </c>
      <c r="T31" s="705" t="s">
        <v>18</v>
      </c>
      <c r="U31" s="706">
        <f t="shared" si="13"/>
        <v>100</v>
      </c>
      <c r="V31" s="705" t="s">
        <v>18</v>
      </c>
      <c r="W31" s="706">
        <f t="shared" si="14"/>
        <v>100</v>
      </c>
      <c r="X31" s="1355"/>
      <c r="Y31" s="374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3" t="s">
        <v>1696</v>
      </c>
      <c r="Q32" s="1352" t="str">
        <f t="shared" si="11"/>
        <v>建筑类型</v>
      </c>
      <c r="R32" s="705" t="s">
        <v>18</v>
      </c>
      <c r="S32" s="706">
        <f t="shared" si="12"/>
        <v>100</v>
      </c>
      <c r="T32" s="705" t="s">
        <v>18</v>
      </c>
      <c r="U32" s="706">
        <f t="shared" si="13"/>
        <v>100</v>
      </c>
      <c r="V32" s="705" t="s">
        <v>18</v>
      </c>
      <c r="W32" s="706">
        <f t="shared" si="14"/>
        <v>100</v>
      </c>
      <c r="X32" s="1355"/>
      <c r="Y32" s="374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4"/>
      <c r="Q33" s="707" t="str">
        <f t="shared" si="11"/>
        <v>项目建筑规模</v>
      </c>
      <c r="R33" s="708" t="s">
        <v>18</v>
      </c>
      <c r="S33" s="709" t="e">
        <f t="shared" si="12"/>
        <v>#N/A</v>
      </c>
      <c r="T33" s="708" t="s">
        <v>18</v>
      </c>
      <c r="U33" s="709" t="e">
        <f t="shared" si="13"/>
        <v>#N/A</v>
      </c>
      <c r="V33" s="708" t="s">
        <v>18</v>
      </c>
      <c r="W33" s="709" t="e">
        <f t="shared" si="14"/>
        <v>#N/A</v>
      </c>
      <c r="X33" s="710"/>
      <c r="Y33" s="374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4"/>
      <c r="Q34" s="1352" t="str">
        <f t="shared" si="11"/>
        <v>建筑结构</v>
      </c>
      <c r="R34" s="705" t="s">
        <v>18</v>
      </c>
      <c r="S34" s="706">
        <f t="shared" si="12"/>
        <v>100</v>
      </c>
      <c r="T34" s="705" t="s">
        <v>18</v>
      </c>
      <c r="U34" s="706">
        <f t="shared" si="13"/>
        <v>100</v>
      </c>
      <c r="V34" s="705" t="s">
        <v>18</v>
      </c>
      <c r="W34" s="706">
        <f t="shared" si="14"/>
        <v>100</v>
      </c>
      <c r="X34" s="1355"/>
      <c r="Y34" s="374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4"/>
      <c r="Q35" s="1352" t="str">
        <f t="shared" si="11"/>
        <v>建筑品质</v>
      </c>
      <c r="R35" s="705" t="s">
        <v>18</v>
      </c>
      <c r="S35" s="706">
        <f t="shared" si="12"/>
        <v>100</v>
      </c>
      <c r="T35" s="705" t="s">
        <v>18</v>
      </c>
      <c r="U35" s="706">
        <f t="shared" si="13"/>
        <v>100</v>
      </c>
      <c r="V35" s="705" t="s">
        <v>18</v>
      </c>
      <c r="W35" s="706">
        <f t="shared" si="14"/>
        <v>100</v>
      </c>
      <c r="X35" s="1355"/>
      <c r="Y35" s="374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4"/>
      <c r="Q36" s="1352" t="str">
        <f t="shared" si="11"/>
        <v>公共部分装修</v>
      </c>
      <c r="R36" s="705" t="s">
        <v>18</v>
      </c>
      <c r="S36" s="706">
        <f t="shared" si="12"/>
        <v>100</v>
      </c>
      <c r="T36" s="705" t="s">
        <v>18</v>
      </c>
      <c r="U36" s="706">
        <f t="shared" si="13"/>
        <v>100</v>
      </c>
      <c r="V36" s="705" t="s">
        <v>18</v>
      </c>
      <c r="W36" s="706">
        <f t="shared" si="14"/>
        <v>100</v>
      </c>
      <c r="X36" s="1355"/>
      <c r="Y36" s="374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4"/>
      <c r="Q37" s="1343" t="str">
        <f t="shared" si="11"/>
        <v>成新度</v>
      </c>
      <c r="R37" s="701" t="s">
        <v>18</v>
      </c>
      <c r="S37" s="702" t="e">
        <f t="shared" si="12"/>
        <v>#N/A</v>
      </c>
      <c r="T37" s="701" t="s">
        <v>18</v>
      </c>
      <c r="U37" s="702" t="e">
        <f t="shared" si="13"/>
        <v>#N/A</v>
      </c>
      <c r="V37" s="701" t="s">
        <v>18</v>
      </c>
      <c r="W37" s="702" t="e">
        <f t="shared" si="14"/>
        <v>#N/A</v>
      </c>
      <c r="X37" s="703"/>
      <c r="Y37" s="374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4" t="s">
        <v>1696</v>
      </c>
      <c r="Q38" s="1352" t="str">
        <f t="shared" si="11"/>
        <v>物业管理</v>
      </c>
      <c r="R38" s="705" t="s">
        <v>18</v>
      </c>
      <c r="S38" s="706">
        <f t="shared" si="12"/>
        <v>100</v>
      </c>
      <c r="T38" s="705" t="s">
        <v>18</v>
      </c>
      <c r="U38" s="706">
        <f t="shared" si="13"/>
        <v>100</v>
      </c>
      <c r="V38" s="705" t="s">
        <v>18</v>
      </c>
      <c r="W38" s="706">
        <f t="shared" si="14"/>
        <v>100</v>
      </c>
      <c r="X38" s="1355"/>
      <c r="Y38" s="374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4"/>
      <c r="Q39" s="1352" t="str">
        <f t="shared" si="11"/>
        <v>市政基础设施</v>
      </c>
      <c r="R39" s="705" t="s">
        <v>18</v>
      </c>
      <c r="S39" s="706">
        <f t="shared" si="12"/>
        <v>100</v>
      </c>
      <c r="T39" s="705" t="s">
        <v>18</v>
      </c>
      <c r="U39" s="706">
        <f t="shared" si="13"/>
        <v>100</v>
      </c>
      <c r="V39" s="705" t="s">
        <v>18</v>
      </c>
      <c r="W39" s="706">
        <f t="shared" si="14"/>
        <v>100</v>
      </c>
      <c r="X39" s="1355"/>
      <c r="Y39" s="374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4"/>
      <c r="Q40" s="1352" t="str">
        <f t="shared" si="11"/>
        <v>房型</v>
      </c>
      <c r="R40" s="705" t="s">
        <v>18</v>
      </c>
      <c r="S40" s="706">
        <f t="shared" si="12"/>
        <v>100</v>
      </c>
      <c r="T40" s="705" t="s">
        <v>18</v>
      </c>
      <c r="U40" s="706">
        <f t="shared" si="13"/>
        <v>100</v>
      </c>
      <c r="V40" s="705" t="s">
        <v>18</v>
      </c>
      <c r="W40" s="706">
        <f t="shared" si="14"/>
        <v>100</v>
      </c>
      <c r="X40" s="1355"/>
      <c r="Y40" s="374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4"/>
      <c r="Q41" s="707" t="str">
        <f t="shared" si="11"/>
        <v>单套/主力户型建筑面积</v>
      </c>
      <c r="R41" s="708" t="s">
        <v>18</v>
      </c>
      <c r="S41" s="709">
        <f t="shared" si="12"/>
        <v>100</v>
      </c>
      <c r="T41" s="708" t="s">
        <v>18</v>
      </c>
      <c r="U41" s="709">
        <f t="shared" si="13"/>
        <v>100</v>
      </c>
      <c r="V41" s="708" t="s">
        <v>18</v>
      </c>
      <c r="W41" s="709">
        <f t="shared" si="14"/>
        <v>100</v>
      </c>
      <c r="X41" s="710"/>
      <c r="Y41" s="374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4"/>
      <c r="Q42" s="1352" t="str">
        <f t="shared" si="11"/>
        <v>内部装修</v>
      </c>
      <c r="R42" s="705" t="s">
        <v>18</v>
      </c>
      <c r="S42" s="706">
        <f t="shared" si="12"/>
        <v>100</v>
      </c>
      <c r="T42" s="705" t="s">
        <v>18</v>
      </c>
      <c r="U42" s="706">
        <f t="shared" si="13"/>
        <v>100</v>
      </c>
      <c r="V42" s="705" t="s">
        <v>18</v>
      </c>
      <c r="W42" s="706">
        <f t="shared" si="14"/>
        <v>100</v>
      </c>
      <c r="X42" s="1355"/>
      <c r="Y42" s="374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4"/>
      <c r="Q43" s="1352" t="str">
        <f t="shared" si="11"/>
        <v>内部装修维护情况</v>
      </c>
      <c r="R43" s="705" t="s">
        <v>18</v>
      </c>
      <c r="S43" s="706">
        <f t="shared" si="12"/>
        <v>100</v>
      </c>
      <c r="T43" s="705" t="s">
        <v>18</v>
      </c>
      <c r="U43" s="706">
        <f t="shared" si="13"/>
        <v>100</v>
      </c>
      <c r="V43" s="705" t="s">
        <v>18</v>
      </c>
      <c r="W43" s="706">
        <f t="shared" si="14"/>
        <v>100</v>
      </c>
      <c r="X43" s="1355"/>
      <c r="Y43" s="374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4"/>
      <c r="Q44" s="1343">
        <f t="shared" si="11"/>
        <v>111</v>
      </c>
      <c r="R44" s="701" t="s">
        <v>18</v>
      </c>
      <c r="S44" s="702">
        <f t="shared" si="12"/>
        <v>100</v>
      </c>
      <c r="T44" s="701" t="s">
        <v>18</v>
      </c>
      <c r="U44" s="702">
        <f t="shared" si="13"/>
        <v>100</v>
      </c>
      <c r="V44" s="701" t="s">
        <v>18</v>
      </c>
      <c r="W44" s="702">
        <f t="shared" si="14"/>
        <v>100</v>
      </c>
      <c r="X44" s="703"/>
      <c r="Y44" s="374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4"/>
      <c r="Q45" s="1352">
        <f t="shared" si="11"/>
        <v>111</v>
      </c>
      <c r="R45" s="705" t="s">
        <v>18</v>
      </c>
      <c r="S45" s="706">
        <f t="shared" si="12"/>
        <v>100</v>
      </c>
      <c r="T45" s="705" t="s">
        <v>18</v>
      </c>
      <c r="U45" s="706">
        <f t="shared" si="13"/>
        <v>100</v>
      </c>
      <c r="V45" s="705" t="s">
        <v>18</v>
      </c>
      <c r="W45" s="706">
        <f t="shared" si="14"/>
        <v>100</v>
      </c>
      <c r="X45" s="1355"/>
      <c r="Y45" s="374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5"/>
      <c r="Q46" s="1352">
        <f t="shared" si="11"/>
        <v>111</v>
      </c>
      <c r="R46" s="705" t="s">
        <v>17</v>
      </c>
      <c r="S46" s="706">
        <f t="shared" si="12"/>
        <v>100</v>
      </c>
      <c r="T46" s="705" t="s">
        <v>17</v>
      </c>
      <c r="U46" s="706">
        <f t="shared" si="13"/>
        <v>100</v>
      </c>
      <c r="V46" s="705" t="s">
        <v>17</v>
      </c>
      <c r="W46" s="706">
        <f t="shared" si="14"/>
        <v>100</v>
      </c>
      <c r="X46" s="1355"/>
      <c r="Y46" s="374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39" t="str">
        <f>A47</f>
        <v>成交单价（元/平方米）</v>
      </c>
      <c r="Q47" s="3739"/>
      <c r="R47" s="3740">
        <f>E47</f>
        <v>0</v>
      </c>
      <c r="S47" s="3740"/>
      <c r="T47" s="3740">
        <f>G47</f>
        <v>0</v>
      </c>
      <c r="U47" s="3740"/>
      <c r="V47" s="3740">
        <f>I47</f>
        <v>0</v>
      </c>
      <c r="W47" s="3740"/>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34"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34"/>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34"/>
      <c r="AC6" s="3706"/>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8" t="s">
        <v>1691</v>
      </c>
      <c r="Q15" s="1352" t="str">
        <f t="shared" si="6"/>
        <v>商业繁华度</v>
      </c>
      <c r="R15" s="705" t="s">
        <v>14</v>
      </c>
      <c r="S15" s="706">
        <f t="shared" si="0"/>
        <v>100</v>
      </c>
      <c r="T15" s="705" t="s">
        <v>14</v>
      </c>
      <c r="U15" s="706">
        <f t="shared" si="1"/>
        <v>100</v>
      </c>
      <c r="V15" s="705" t="s">
        <v>14</v>
      </c>
      <c r="W15" s="706">
        <f t="shared" si="2"/>
        <v>100</v>
      </c>
      <c r="X15" s="1355"/>
      <c r="Y15" s="374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9"/>
      <c r="Q22" s="1352"/>
      <c r="R22" s="705"/>
      <c r="S22" s="706"/>
      <c r="T22" s="705"/>
      <c r="U22" s="706"/>
      <c r="V22" s="705"/>
      <c r="W22" s="706"/>
      <c r="X22" s="1355"/>
      <c r="Y22" s="374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9"/>
      <c r="Q23" s="1352" t="str">
        <f>B23</f>
        <v>自然及人文环境</v>
      </c>
      <c r="R23" s="705" t="s">
        <v>14</v>
      </c>
      <c r="S23" s="706">
        <f>F23</f>
        <v>100</v>
      </c>
      <c r="T23" s="705" t="s">
        <v>14</v>
      </c>
      <c r="U23" s="706">
        <f>H23</f>
        <v>100</v>
      </c>
      <c r="V23" s="705" t="s">
        <v>14</v>
      </c>
      <c r="W23" s="706">
        <f>J23</f>
        <v>100</v>
      </c>
      <c r="X23" s="1355"/>
      <c r="Y23" s="374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9"/>
      <c r="Q25" s="1352" t="str">
        <f t="shared" ref="Q25:Q46" si="11">B25</f>
        <v>临街状况</v>
      </c>
      <c r="R25" s="705" t="s">
        <v>14</v>
      </c>
      <c r="S25" s="706">
        <f>F25</f>
        <v>100</v>
      </c>
      <c r="T25" s="705" t="s">
        <v>14</v>
      </c>
      <c r="U25" s="706">
        <f>H25</f>
        <v>100</v>
      </c>
      <c r="V25" s="705" t="s">
        <v>14</v>
      </c>
      <c r="W25" s="706">
        <f>J25</f>
        <v>100</v>
      </c>
      <c r="X25" s="1355"/>
      <c r="Y25" s="374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9"/>
      <c r="Q26" s="1352" t="str">
        <f t="shared" si="11"/>
        <v>平面位置/可视性</v>
      </c>
      <c r="R26" s="705" t="s">
        <v>14</v>
      </c>
      <c r="S26" s="706">
        <f>F26</f>
        <v>100</v>
      </c>
      <c r="T26" s="705" t="s">
        <v>14</v>
      </c>
      <c r="U26" s="706">
        <f>H26</f>
        <v>100</v>
      </c>
      <c r="V26" s="705" t="s">
        <v>14</v>
      </c>
      <c r="W26" s="706">
        <f>J26</f>
        <v>100</v>
      </c>
      <c r="X26" s="1355"/>
      <c r="Y26" s="374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9"/>
      <c r="Q27" s="1343" t="str">
        <f t="shared" si="11"/>
        <v>人流量</v>
      </c>
      <c r="R27" s="701" t="s">
        <v>14</v>
      </c>
      <c r="S27" s="702">
        <f>F27</f>
        <v>100</v>
      </c>
      <c r="T27" s="701" t="s">
        <v>14</v>
      </c>
      <c r="U27" s="702">
        <f>H27</f>
        <v>100</v>
      </c>
      <c r="V27" s="701" t="s">
        <v>14</v>
      </c>
      <c r="W27" s="702">
        <f>J27</f>
        <v>100</v>
      </c>
      <c r="X27" s="703"/>
      <c r="Y27" s="374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9"/>
      <c r="Q29" s="1352">
        <f t="shared" si="11"/>
        <v>111</v>
      </c>
      <c r="R29" s="705" t="s">
        <v>14</v>
      </c>
      <c r="S29" s="706">
        <f t="shared" si="12"/>
        <v>100</v>
      </c>
      <c r="T29" s="705" t="s">
        <v>14</v>
      </c>
      <c r="U29" s="706">
        <f t="shared" si="13"/>
        <v>100</v>
      </c>
      <c r="V29" s="705" t="s">
        <v>14</v>
      </c>
      <c r="W29" s="706">
        <f t="shared" si="14"/>
        <v>100</v>
      </c>
      <c r="X29" s="1355"/>
      <c r="Y29" s="374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3" t="s">
        <v>1696</v>
      </c>
      <c r="Q32" s="1352" t="str">
        <f t="shared" si="11"/>
        <v>商业类型</v>
      </c>
      <c r="R32" s="705" t="s">
        <v>14</v>
      </c>
      <c r="S32" s="706">
        <f t="shared" si="12"/>
        <v>100</v>
      </c>
      <c r="T32" s="705" t="s">
        <v>14</v>
      </c>
      <c r="U32" s="706">
        <f t="shared" si="13"/>
        <v>100</v>
      </c>
      <c r="V32" s="705" t="s">
        <v>14</v>
      </c>
      <c r="W32" s="706">
        <f t="shared" si="14"/>
        <v>100</v>
      </c>
      <c r="X32" s="1355"/>
      <c r="Y32" s="374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4"/>
      <c r="Q33" s="707" t="str">
        <f t="shared" si="11"/>
        <v>项目建筑规模</v>
      </c>
      <c r="R33" s="708" t="s">
        <v>14</v>
      </c>
      <c r="S33" s="709" t="e">
        <f t="shared" si="12"/>
        <v>#N/A</v>
      </c>
      <c r="T33" s="708" t="s">
        <v>14</v>
      </c>
      <c r="U33" s="709" t="e">
        <f t="shared" si="13"/>
        <v>#N/A</v>
      </c>
      <c r="V33" s="708" t="s">
        <v>14</v>
      </c>
      <c r="W33" s="709" t="e">
        <f t="shared" si="14"/>
        <v>#N/A</v>
      </c>
      <c r="X33" s="710"/>
      <c r="Y33" s="374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4"/>
      <c r="Q34" s="1352" t="str">
        <f t="shared" si="11"/>
        <v>建筑结构</v>
      </c>
      <c r="R34" s="705" t="s">
        <v>14</v>
      </c>
      <c r="S34" s="706">
        <f t="shared" si="12"/>
        <v>100</v>
      </c>
      <c r="T34" s="705" t="s">
        <v>14</v>
      </c>
      <c r="U34" s="706">
        <f t="shared" si="13"/>
        <v>100</v>
      </c>
      <c r="V34" s="705" t="s">
        <v>14</v>
      </c>
      <c r="W34" s="706">
        <f t="shared" si="14"/>
        <v>100</v>
      </c>
      <c r="X34" s="1355"/>
      <c r="Y34" s="374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4"/>
      <c r="Q35" s="1352" t="str">
        <f t="shared" si="11"/>
        <v>公共部分装修</v>
      </c>
      <c r="R35" s="705" t="s">
        <v>14</v>
      </c>
      <c r="S35" s="706">
        <f t="shared" si="12"/>
        <v>100</v>
      </c>
      <c r="T35" s="705" t="s">
        <v>14</v>
      </c>
      <c r="U35" s="706">
        <f t="shared" si="13"/>
        <v>100</v>
      </c>
      <c r="V35" s="705" t="s">
        <v>14</v>
      </c>
      <c r="W35" s="706">
        <f t="shared" si="14"/>
        <v>100</v>
      </c>
      <c r="X35" s="1355"/>
      <c r="Y35" s="374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4"/>
      <c r="Q36" s="1352" t="str">
        <f t="shared" si="11"/>
        <v>成新度</v>
      </c>
      <c r="R36" s="705" t="s">
        <v>14</v>
      </c>
      <c r="S36" s="706" t="e">
        <f t="shared" si="12"/>
        <v>#N/A</v>
      </c>
      <c r="T36" s="705" t="s">
        <v>14</v>
      </c>
      <c r="U36" s="706" t="e">
        <f t="shared" si="13"/>
        <v>#N/A</v>
      </c>
      <c r="V36" s="705" t="s">
        <v>14</v>
      </c>
      <c r="W36" s="706" t="e">
        <f t="shared" si="14"/>
        <v>#N/A</v>
      </c>
      <c r="X36" s="1355"/>
      <c r="Y36" s="374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4"/>
      <c r="Q37" s="1343" t="str">
        <f t="shared" si="11"/>
        <v>市政基础设施</v>
      </c>
      <c r="R37" s="701" t="s">
        <v>14</v>
      </c>
      <c r="S37" s="702">
        <f t="shared" si="12"/>
        <v>100</v>
      </c>
      <c r="T37" s="701" t="s">
        <v>14</v>
      </c>
      <c r="U37" s="702">
        <f t="shared" si="13"/>
        <v>100</v>
      </c>
      <c r="V37" s="701" t="s">
        <v>14</v>
      </c>
      <c r="W37" s="702">
        <f t="shared" si="14"/>
        <v>100</v>
      </c>
      <c r="X37" s="703"/>
      <c r="Y37" s="374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4" t="s">
        <v>1696</v>
      </c>
      <c r="Q38" s="1352" t="str">
        <f t="shared" si="11"/>
        <v>业态</v>
      </c>
      <c r="R38" s="705" t="s">
        <v>14</v>
      </c>
      <c r="S38" s="706">
        <f t="shared" si="12"/>
        <v>100</v>
      </c>
      <c r="T38" s="705" t="s">
        <v>14</v>
      </c>
      <c r="U38" s="706">
        <f t="shared" si="13"/>
        <v>100</v>
      </c>
      <c r="V38" s="705" t="s">
        <v>14</v>
      </c>
      <c r="W38" s="706">
        <f t="shared" si="14"/>
        <v>100</v>
      </c>
      <c r="X38" s="1355"/>
      <c r="Y38" s="374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4"/>
      <c r="Q39" s="1352" t="str">
        <f t="shared" si="11"/>
        <v>层高</v>
      </c>
      <c r="R39" s="705" t="s">
        <v>14</v>
      </c>
      <c r="S39" s="706">
        <f t="shared" si="12"/>
        <v>100</v>
      </c>
      <c r="T39" s="705" t="s">
        <v>14</v>
      </c>
      <c r="U39" s="706">
        <f t="shared" si="13"/>
        <v>100</v>
      </c>
      <c r="V39" s="705" t="s">
        <v>14</v>
      </c>
      <c r="W39" s="706">
        <f t="shared" si="14"/>
        <v>100</v>
      </c>
      <c r="X39" s="1355"/>
      <c r="Y39" s="374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4"/>
      <c r="Q40" s="1352" t="str">
        <f t="shared" si="11"/>
        <v>单套建筑面积</v>
      </c>
      <c r="R40" s="705" t="s">
        <v>14</v>
      </c>
      <c r="S40" s="706">
        <f t="shared" si="12"/>
        <v>100</v>
      </c>
      <c r="T40" s="705" t="s">
        <v>14</v>
      </c>
      <c r="U40" s="706">
        <f t="shared" si="13"/>
        <v>100</v>
      </c>
      <c r="V40" s="705" t="s">
        <v>14</v>
      </c>
      <c r="W40" s="706">
        <f t="shared" si="14"/>
        <v>100</v>
      </c>
      <c r="X40" s="1355"/>
      <c r="Y40" s="374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4"/>
      <c r="Q42" s="1352" t="str">
        <f t="shared" si="11"/>
        <v>内部装修</v>
      </c>
      <c r="R42" s="705" t="s">
        <v>14</v>
      </c>
      <c r="S42" s="706">
        <f t="shared" si="12"/>
        <v>100</v>
      </c>
      <c r="T42" s="705" t="s">
        <v>14</v>
      </c>
      <c r="U42" s="706">
        <f t="shared" si="13"/>
        <v>100</v>
      </c>
      <c r="V42" s="705" t="s">
        <v>14</v>
      </c>
      <c r="W42" s="706">
        <f t="shared" si="14"/>
        <v>100</v>
      </c>
      <c r="X42" s="1355"/>
      <c r="Y42" s="374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4"/>
      <c r="Q43" s="1352" t="str">
        <f t="shared" si="11"/>
        <v>内部装修维护情况</v>
      </c>
      <c r="R43" s="705" t="s">
        <v>14</v>
      </c>
      <c r="S43" s="706">
        <f t="shared" si="12"/>
        <v>100</v>
      </c>
      <c r="T43" s="705" t="s">
        <v>14</v>
      </c>
      <c r="U43" s="706">
        <f t="shared" si="13"/>
        <v>100</v>
      </c>
      <c r="V43" s="705" t="s">
        <v>14</v>
      </c>
      <c r="W43" s="706">
        <f t="shared" si="14"/>
        <v>100</v>
      </c>
      <c r="X43" s="1355"/>
      <c r="Y43" s="374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4"/>
      <c r="Q44" s="1343">
        <f t="shared" si="11"/>
        <v>111</v>
      </c>
      <c r="R44" s="701" t="s">
        <v>14</v>
      </c>
      <c r="S44" s="702">
        <f t="shared" si="12"/>
        <v>100</v>
      </c>
      <c r="T44" s="701" t="s">
        <v>14</v>
      </c>
      <c r="U44" s="702">
        <f t="shared" si="13"/>
        <v>100</v>
      </c>
      <c r="V44" s="701" t="s">
        <v>14</v>
      </c>
      <c r="W44" s="702">
        <f t="shared" si="14"/>
        <v>100</v>
      </c>
      <c r="X44" s="703"/>
      <c r="Y44" s="374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4"/>
      <c r="Q45" s="1352">
        <f t="shared" si="11"/>
        <v>111</v>
      </c>
      <c r="R45" s="705" t="s">
        <v>14</v>
      </c>
      <c r="S45" s="706">
        <f t="shared" si="12"/>
        <v>100</v>
      </c>
      <c r="T45" s="705" t="s">
        <v>14</v>
      </c>
      <c r="U45" s="706">
        <f t="shared" si="13"/>
        <v>100</v>
      </c>
      <c r="V45" s="705" t="s">
        <v>14</v>
      </c>
      <c r="W45" s="706">
        <f t="shared" si="14"/>
        <v>100</v>
      </c>
      <c r="X45" s="1355"/>
      <c r="Y45" s="374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9" t="str">
        <f>A47</f>
        <v>成交单价（元/平方米）</v>
      </c>
      <c r="Q47" s="3739"/>
      <c r="R47" s="3734">
        <f>E47</f>
        <v>0</v>
      </c>
      <c r="S47" s="3734"/>
      <c r="T47" s="3734">
        <f>G47</f>
        <v>0</v>
      </c>
      <c r="U47" s="3734"/>
      <c r="V47" s="3734">
        <f>I47</f>
        <v>0</v>
      </c>
      <c r="W47" s="373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56" t="s">
        <v>1775</v>
      </c>
      <c r="Q4" s="3757"/>
      <c r="R4" s="3751" t="s">
        <v>1771</v>
      </c>
      <c r="S4" s="3752"/>
      <c r="T4" s="3751" t="s">
        <v>1772</v>
      </c>
      <c r="U4" s="3752"/>
      <c r="V4" s="3760" t="s">
        <v>1773</v>
      </c>
      <c r="W4" s="3760"/>
      <c r="X4" s="1958"/>
      <c r="Y4" s="3751" t="s">
        <v>1775</v>
      </c>
      <c r="Z4" s="3752"/>
      <c r="AA4" s="3750" t="s">
        <v>1771</v>
      </c>
      <c r="AB4" s="3750" t="s">
        <v>1772</v>
      </c>
      <c r="AC4" s="3753" t="s">
        <v>1773</v>
      </c>
    </row>
    <row r="5" spans="1:29">
      <c r="A5" s="358"/>
      <c r="B5" s="359"/>
      <c r="C5" s="3715" t="s">
        <v>1673</v>
      </c>
      <c r="D5" s="3716"/>
      <c r="E5" s="3713" t="s">
        <v>1674</v>
      </c>
      <c r="F5" s="3714"/>
      <c r="G5" s="3715" t="s">
        <v>1675</v>
      </c>
      <c r="H5" s="3716"/>
      <c r="I5" s="3715" t="s">
        <v>1676</v>
      </c>
      <c r="J5" s="3716"/>
      <c r="K5" s="559"/>
      <c r="L5" s="2715"/>
      <c r="M5" s="2716"/>
      <c r="N5" s="2716"/>
      <c r="O5" s="2716"/>
      <c r="P5" s="3758"/>
      <c r="Q5" s="3729"/>
      <c r="R5" s="3711"/>
      <c r="S5" s="3712"/>
      <c r="T5" s="3711"/>
      <c r="U5" s="3712"/>
      <c r="V5" s="3734"/>
      <c r="W5" s="3734"/>
      <c r="X5" s="1355"/>
      <c r="Y5" s="3711"/>
      <c r="Z5" s="3712"/>
      <c r="AA5" s="3705"/>
      <c r="AB5" s="3705"/>
      <c r="AC5" s="3754"/>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59"/>
      <c r="Q6" s="3731"/>
      <c r="R6" s="3711"/>
      <c r="S6" s="3712"/>
      <c r="T6" s="3732"/>
      <c r="U6" s="3733"/>
      <c r="V6" s="3734"/>
      <c r="W6" s="3734"/>
      <c r="X6" s="1355"/>
      <c r="Y6" s="3732"/>
      <c r="Z6" s="3733"/>
      <c r="AA6" s="3706"/>
      <c r="AB6" s="3706"/>
      <c r="AC6" s="3755"/>
    </row>
    <row r="7" spans="1:29" s="108" customFormat="1" ht="15" thickBot="1">
      <c r="A7" s="362" t="s">
        <v>1679</v>
      </c>
      <c r="B7" s="363"/>
      <c r="C7" s="364">
        <f>'数据-取费表'!B2</f>
        <v>45814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1"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1"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1"/>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8" t="s">
        <v>1691</v>
      </c>
      <c r="Q15" s="1352" t="str">
        <f t="shared" si="6"/>
        <v>办公集聚程度</v>
      </c>
      <c r="R15" s="705" t="s">
        <v>14</v>
      </c>
      <c r="S15" s="706">
        <f t="shared" si="0"/>
        <v>100</v>
      </c>
      <c r="T15" s="705" t="s">
        <v>14</v>
      </c>
      <c r="U15" s="706">
        <f t="shared" si="1"/>
        <v>100</v>
      </c>
      <c r="V15" s="705" t="s">
        <v>14</v>
      </c>
      <c r="W15" s="706">
        <f t="shared" si="2"/>
        <v>100</v>
      </c>
      <c r="X15" s="1355"/>
      <c r="Y15" s="374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9"/>
      <c r="Q22" s="1352"/>
      <c r="R22" s="705"/>
      <c r="S22" s="706"/>
      <c r="T22" s="705"/>
      <c r="U22" s="706"/>
      <c r="V22" s="705"/>
      <c r="W22" s="706"/>
      <c r="X22" s="1355"/>
      <c r="Y22" s="374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9"/>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9"/>
      <c r="Q25" s="1352" t="str">
        <f>B25</f>
        <v>毗邻道路的类型与等级</v>
      </c>
      <c r="R25" s="705" t="s">
        <v>14</v>
      </c>
      <c r="S25" s="706">
        <f>F25</f>
        <v>100</v>
      </c>
      <c r="T25" s="705" t="s">
        <v>14</v>
      </c>
      <c r="U25" s="706">
        <f>H25</f>
        <v>100</v>
      </c>
      <c r="V25" s="705" t="s">
        <v>14</v>
      </c>
      <c r="W25" s="706">
        <f>J25</f>
        <v>100</v>
      </c>
      <c r="X25" s="1355"/>
      <c r="Y25" s="374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9"/>
      <c r="Q26" s="1352"/>
      <c r="R26" s="705"/>
      <c r="S26" s="706"/>
      <c r="T26" s="705"/>
      <c r="U26" s="706"/>
      <c r="V26" s="705"/>
      <c r="W26" s="706"/>
      <c r="X26" s="1355"/>
      <c r="Y26" s="374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9"/>
      <c r="Q27" s="1352" t="str">
        <f t="shared" ref="Q27:Q47" si="11">B27</f>
        <v>楼层</v>
      </c>
      <c r="R27" s="705" t="s">
        <v>14</v>
      </c>
      <c r="S27" s="706">
        <f>F27</f>
        <v>100</v>
      </c>
      <c r="T27" s="705" t="s">
        <v>14</v>
      </c>
      <c r="U27" s="706">
        <f>H27</f>
        <v>100</v>
      </c>
      <c r="V27" s="705" t="s">
        <v>14</v>
      </c>
      <c r="W27" s="706">
        <f>J27</f>
        <v>100</v>
      </c>
      <c r="X27" s="1355"/>
      <c r="Y27" s="374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9"/>
      <c r="Q28" s="1343" t="str">
        <f t="shared" si="11"/>
        <v>朝向</v>
      </c>
      <c r="R28" s="701" t="s">
        <v>14</v>
      </c>
      <c r="S28" s="702">
        <f>F28</f>
        <v>100</v>
      </c>
      <c r="T28" s="701" t="s">
        <v>14</v>
      </c>
      <c r="U28" s="702">
        <f>H28</f>
        <v>100</v>
      </c>
      <c r="V28" s="701" t="s">
        <v>14</v>
      </c>
      <c r="W28" s="702">
        <f>J28</f>
        <v>100</v>
      </c>
      <c r="X28" s="703"/>
      <c r="Y28" s="374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9"/>
      <c r="Q29" s="1352">
        <f t="shared" si="11"/>
        <v>111</v>
      </c>
      <c r="R29" s="705" t="s">
        <v>14</v>
      </c>
      <c r="S29" s="706">
        <f t="shared" ref="S29:S47" si="12">F29</f>
        <v>100</v>
      </c>
      <c r="T29" s="705" t="s">
        <v>14</v>
      </c>
      <c r="U29" s="706">
        <f t="shared" ref="U29:U47" si="13">H29</f>
        <v>100</v>
      </c>
      <c r="V29" s="705" t="s">
        <v>14</v>
      </c>
      <c r="W29" s="706">
        <f t="shared" ref="W29:W47" si="14">J29</f>
        <v>100</v>
      </c>
      <c r="X29" s="1355"/>
      <c r="Y29" s="374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9"/>
      <c r="Q32" s="1352">
        <f t="shared" si="11"/>
        <v>111</v>
      </c>
      <c r="R32" s="705" t="s">
        <v>14</v>
      </c>
      <c r="S32" s="706">
        <f t="shared" si="12"/>
        <v>100</v>
      </c>
      <c r="T32" s="705" t="s">
        <v>14</v>
      </c>
      <c r="U32" s="706">
        <f t="shared" si="13"/>
        <v>100</v>
      </c>
      <c r="V32" s="705" t="s">
        <v>14</v>
      </c>
      <c r="W32" s="706">
        <f t="shared" si="14"/>
        <v>100</v>
      </c>
      <c r="X32" s="1355"/>
      <c r="Y32" s="374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3" t="s">
        <v>1696</v>
      </c>
      <c r="Q33" s="1352" t="str">
        <f t="shared" si="11"/>
        <v>建筑类型</v>
      </c>
      <c r="R33" s="705" t="s">
        <v>14</v>
      </c>
      <c r="S33" s="706">
        <f t="shared" si="12"/>
        <v>100</v>
      </c>
      <c r="T33" s="705" t="s">
        <v>14</v>
      </c>
      <c r="U33" s="706">
        <f t="shared" si="13"/>
        <v>100</v>
      </c>
      <c r="V33" s="705" t="s">
        <v>14</v>
      </c>
      <c r="W33" s="706">
        <f t="shared" si="14"/>
        <v>100</v>
      </c>
      <c r="X33" s="1355"/>
      <c r="Y33" s="374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4"/>
      <c r="Q34" s="707" t="str">
        <f t="shared" si="11"/>
        <v>项目建筑规模</v>
      </c>
      <c r="R34" s="708" t="s">
        <v>14</v>
      </c>
      <c r="S34" s="709" t="e">
        <f t="shared" si="12"/>
        <v>#N/A</v>
      </c>
      <c r="T34" s="708" t="s">
        <v>14</v>
      </c>
      <c r="U34" s="709" t="e">
        <f t="shared" si="13"/>
        <v>#N/A</v>
      </c>
      <c r="V34" s="708" t="s">
        <v>14</v>
      </c>
      <c r="W34" s="709" t="e">
        <f t="shared" si="14"/>
        <v>#N/A</v>
      </c>
      <c r="X34" s="710"/>
      <c r="Y34" s="374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4"/>
      <c r="Q35" s="1352" t="str">
        <f t="shared" si="11"/>
        <v>建筑结构</v>
      </c>
      <c r="R35" s="705" t="s">
        <v>14</v>
      </c>
      <c r="S35" s="706">
        <f t="shared" si="12"/>
        <v>100</v>
      </c>
      <c r="T35" s="705" t="s">
        <v>14</v>
      </c>
      <c r="U35" s="706">
        <f t="shared" si="13"/>
        <v>100</v>
      </c>
      <c r="V35" s="705" t="s">
        <v>14</v>
      </c>
      <c r="W35" s="706">
        <f t="shared" si="14"/>
        <v>100</v>
      </c>
      <c r="X35" s="1355"/>
      <c r="Y35" s="374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4"/>
      <c r="Q36" s="1352" t="str">
        <f t="shared" si="11"/>
        <v>公共部分装修</v>
      </c>
      <c r="R36" s="705" t="s">
        <v>14</v>
      </c>
      <c r="S36" s="706">
        <f t="shared" si="12"/>
        <v>100</v>
      </c>
      <c r="T36" s="705" t="s">
        <v>14</v>
      </c>
      <c r="U36" s="706">
        <f t="shared" si="13"/>
        <v>100</v>
      </c>
      <c r="V36" s="705" t="s">
        <v>14</v>
      </c>
      <c r="W36" s="706">
        <f t="shared" si="14"/>
        <v>100</v>
      </c>
      <c r="X36" s="1355"/>
      <c r="Y36" s="374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4"/>
      <c r="Q37" s="1352" t="str">
        <f t="shared" si="11"/>
        <v>成新度</v>
      </c>
      <c r="R37" s="705" t="s">
        <v>14</v>
      </c>
      <c r="S37" s="706" t="e">
        <f t="shared" si="12"/>
        <v>#N/A</v>
      </c>
      <c r="T37" s="705" t="s">
        <v>14</v>
      </c>
      <c r="U37" s="706" t="e">
        <f t="shared" si="13"/>
        <v>#N/A</v>
      </c>
      <c r="V37" s="705" t="s">
        <v>14</v>
      </c>
      <c r="W37" s="706" t="e">
        <f t="shared" si="14"/>
        <v>#N/A</v>
      </c>
      <c r="X37" s="1355"/>
      <c r="Y37" s="374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4"/>
      <c r="Q38" s="1343" t="str">
        <f t="shared" si="11"/>
        <v>写字楼等级</v>
      </c>
      <c r="R38" s="701" t="s">
        <v>14</v>
      </c>
      <c r="S38" s="702">
        <f t="shared" si="12"/>
        <v>100</v>
      </c>
      <c r="T38" s="701" t="s">
        <v>14</v>
      </c>
      <c r="U38" s="702">
        <f t="shared" si="13"/>
        <v>100</v>
      </c>
      <c r="V38" s="701" t="s">
        <v>14</v>
      </c>
      <c r="W38" s="702">
        <f t="shared" si="14"/>
        <v>100</v>
      </c>
      <c r="X38" s="703"/>
      <c r="Y38" s="374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4" t="s">
        <v>1696</v>
      </c>
      <c r="Q39" s="1352" t="str">
        <f t="shared" si="11"/>
        <v>物业管理</v>
      </c>
      <c r="R39" s="705" t="s">
        <v>14</v>
      </c>
      <c r="S39" s="706">
        <f t="shared" si="12"/>
        <v>100</v>
      </c>
      <c r="T39" s="705" t="s">
        <v>14</v>
      </c>
      <c r="U39" s="706">
        <f t="shared" si="13"/>
        <v>100</v>
      </c>
      <c r="V39" s="705" t="s">
        <v>14</v>
      </c>
      <c r="W39" s="706">
        <f t="shared" si="14"/>
        <v>100</v>
      </c>
      <c r="X39" s="1355"/>
      <c r="Y39" s="374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4"/>
      <c r="Q40" s="1352" t="str">
        <f t="shared" si="11"/>
        <v>市政基础设施</v>
      </c>
      <c r="R40" s="705" t="s">
        <v>14</v>
      </c>
      <c r="S40" s="706">
        <f t="shared" si="12"/>
        <v>100</v>
      </c>
      <c r="T40" s="705" t="s">
        <v>14</v>
      </c>
      <c r="U40" s="706">
        <f t="shared" si="13"/>
        <v>100</v>
      </c>
      <c r="V40" s="705" t="s">
        <v>14</v>
      </c>
      <c r="W40" s="706">
        <f t="shared" si="14"/>
        <v>100</v>
      </c>
      <c r="X40" s="1355"/>
      <c r="Y40" s="374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4"/>
      <c r="Q41" s="1352" t="str">
        <f t="shared" si="11"/>
        <v>层高</v>
      </c>
      <c r="R41" s="705" t="s">
        <v>14</v>
      </c>
      <c r="S41" s="706">
        <f t="shared" si="12"/>
        <v>100</v>
      </c>
      <c r="T41" s="705" t="s">
        <v>14</v>
      </c>
      <c r="U41" s="706">
        <f t="shared" si="13"/>
        <v>100</v>
      </c>
      <c r="V41" s="705" t="s">
        <v>14</v>
      </c>
      <c r="W41" s="706">
        <f t="shared" si="14"/>
        <v>100</v>
      </c>
      <c r="X41" s="1355"/>
      <c r="Y41" s="374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4"/>
      <c r="Q42" s="707" t="str">
        <f t="shared" si="11"/>
        <v>单套建筑面积</v>
      </c>
      <c r="R42" s="708" t="s">
        <v>14</v>
      </c>
      <c r="S42" s="709">
        <f t="shared" si="12"/>
        <v>100</v>
      </c>
      <c r="T42" s="708" t="s">
        <v>14</v>
      </c>
      <c r="U42" s="709">
        <f t="shared" si="13"/>
        <v>100</v>
      </c>
      <c r="V42" s="708" t="s">
        <v>14</v>
      </c>
      <c r="W42" s="709">
        <f t="shared" si="14"/>
        <v>100</v>
      </c>
      <c r="X42" s="710"/>
      <c r="Y42" s="374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4"/>
      <c r="Q43" s="1352" t="str">
        <f t="shared" si="11"/>
        <v>内部装修</v>
      </c>
      <c r="R43" s="705" t="s">
        <v>14</v>
      </c>
      <c r="S43" s="706">
        <f t="shared" si="12"/>
        <v>100</v>
      </c>
      <c r="T43" s="705" t="s">
        <v>14</v>
      </c>
      <c r="U43" s="706">
        <f t="shared" si="13"/>
        <v>100</v>
      </c>
      <c r="V43" s="705" t="s">
        <v>14</v>
      </c>
      <c r="W43" s="706">
        <f t="shared" si="14"/>
        <v>100</v>
      </c>
      <c r="X43" s="1355"/>
      <c r="Y43" s="374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4"/>
      <c r="Q44" s="1352" t="str">
        <f t="shared" si="11"/>
        <v>内部装修维护情况</v>
      </c>
      <c r="R44" s="705" t="s">
        <v>14</v>
      </c>
      <c r="S44" s="706">
        <f t="shared" si="12"/>
        <v>100</v>
      </c>
      <c r="T44" s="705" t="s">
        <v>14</v>
      </c>
      <c r="U44" s="706">
        <f t="shared" si="13"/>
        <v>100</v>
      </c>
      <c r="V44" s="705" t="s">
        <v>14</v>
      </c>
      <c r="W44" s="706">
        <f t="shared" si="14"/>
        <v>100</v>
      </c>
      <c r="X44" s="1355"/>
      <c r="Y44" s="374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4"/>
      <c r="Q45" s="1343">
        <f t="shared" si="11"/>
        <v>111</v>
      </c>
      <c r="R45" s="701" t="s">
        <v>14</v>
      </c>
      <c r="S45" s="702">
        <f t="shared" si="12"/>
        <v>100</v>
      </c>
      <c r="T45" s="701" t="s">
        <v>14</v>
      </c>
      <c r="U45" s="702">
        <f t="shared" si="13"/>
        <v>100</v>
      </c>
      <c r="V45" s="701" t="s">
        <v>14</v>
      </c>
      <c r="W45" s="702">
        <f t="shared" si="14"/>
        <v>100</v>
      </c>
      <c r="X45" s="703"/>
      <c r="Y45" s="374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5"/>
      <c r="Q47" s="1352">
        <f t="shared" si="11"/>
        <v>111</v>
      </c>
      <c r="R47" s="705" t="s">
        <v>14</v>
      </c>
      <c r="S47" s="706">
        <f t="shared" si="12"/>
        <v>100</v>
      </c>
      <c r="T47" s="705" t="s">
        <v>14</v>
      </c>
      <c r="U47" s="706">
        <f t="shared" si="13"/>
        <v>100</v>
      </c>
      <c r="V47" s="705" t="s">
        <v>14</v>
      </c>
      <c r="W47" s="706">
        <f t="shared" si="14"/>
        <v>100</v>
      </c>
      <c r="X47" s="1355"/>
      <c r="Y47" s="374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1" t="str">
        <f>A48</f>
        <v>成交单价（元/平方米）</v>
      </c>
      <c r="Q48" s="3739"/>
      <c r="R48" s="3740">
        <f>E48</f>
        <v>0</v>
      </c>
      <c r="S48" s="3740"/>
      <c r="T48" s="3740">
        <f>G48</f>
        <v>0</v>
      </c>
      <c r="U48" s="3740"/>
      <c r="V48" s="3740">
        <f>I48</f>
        <v>0</v>
      </c>
      <c r="W48" s="374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35.380000000000003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913"/>
      <c r="M5" s="914"/>
      <c r="N5" s="914"/>
      <c r="O5" s="914"/>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913"/>
      <c r="M6" s="914"/>
      <c r="N6" s="914"/>
      <c r="O6" s="914"/>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9"/>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2"/>
      <c r="Q16" s="1352"/>
      <c r="R16" s="705"/>
      <c r="S16" s="706"/>
      <c r="T16" s="705"/>
      <c r="U16" s="706"/>
      <c r="V16" s="705"/>
      <c r="W16" s="706"/>
      <c r="X16" s="1355"/>
      <c r="Y16" s="374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2"/>
      <c r="Q18" s="1352"/>
      <c r="R18" s="705"/>
      <c r="S18" s="706"/>
      <c r="T18" s="705"/>
      <c r="U18" s="706"/>
      <c r="V18" s="705"/>
      <c r="W18" s="706"/>
      <c r="X18" s="1355"/>
      <c r="Y18" s="374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2"/>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2"/>
      <c r="Q20" s="1352"/>
      <c r="R20" s="705"/>
      <c r="S20" s="706"/>
      <c r="T20" s="705"/>
      <c r="U20" s="706"/>
      <c r="V20" s="705"/>
      <c r="W20" s="706"/>
      <c r="X20" s="1355"/>
      <c r="Y20" s="374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2"/>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2"/>
      <c r="Q22" s="1352"/>
      <c r="R22" s="705"/>
      <c r="S22" s="706"/>
      <c r="T22" s="705"/>
      <c r="U22" s="706"/>
      <c r="V22" s="705"/>
      <c r="W22" s="706"/>
      <c r="X22" s="1355"/>
      <c r="Y22" s="374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2"/>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2"/>
      <c r="Q24" s="1352"/>
      <c r="R24" s="705"/>
      <c r="S24" s="706"/>
      <c r="T24" s="705"/>
      <c r="U24" s="706"/>
      <c r="V24" s="705"/>
      <c r="W24" s="706"/>
      <c r="X24" s="1355"/>
      <c r="Y24" s="374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2">
        <f>B25</f>
        <v>111</v>
      </c>
      <c r="R25" s="705" t="s">
        <v>14</v>
      </c>
      <c r="S25" s="706">
        <f>F25</f>
        <v>100</v>
      </c>
      <c r="T25" s="705" t="s">
        <v>14</v>
      </c>
      <c r="U25" s="706">
        <f>H25</f>
        <v>100</v>
      </c>
      <c r="V25" s="705" t="s">
        <v>14</v>
      </c>
      <c r="W25" s="706">
        <f>J25</f>
        <v>100</v>
      </c>
      <c r="X25" s="1355"/>
      <c r="Y25" s="374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2">
        <f t="shared" ref="Q26:Q40" si="11">B26</f>
        <v>111</v>
      </c>
      <c r="R26" s="705" t="s">
        <v>14</v>
      </c>
      <c r="S26" s="706">
        <f>F26</f>
        <v>100</v>
      </c>
      <c r="T26" s="705" t="s">
        <v>14</v>
      </c>
      <c r="U26" s="706">
        <f>H26</f>
        <v>100</v>
      </c>
      <c r="V26" s="705" t="s">
        <v>14</v>
      </c>
      <c r="W26" s="706">
        <f>J26</f>
        <v>100</v>
      </c>
      <c r="X26" s="1355"/>
      <c r="Y26" s="374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3">
        <f t="shared" si="11"/>
        <v>111</v>
      </c>
      <c r="R27" s="701" t="s">
        <v>14</v>
      </c>
      <c r="S27" s="702">
        <f>F27</f>
        <v>100</v>
      </c>
      <c r="T27" s="701" t="s">
        <v>14</v>
      </c>
      <c r="U27" s="702">
        <f>H27</f>
        <v>100</v>
      </c>
      <c r="V27" s="701" t="s">
        <v>14</v>
      </c>
      <c r="W27" s="702">
        <f>J27</f>
        <v>100</v>
      </c>
      <c r="X27" s="703"/>
      <c r="Y27" s="374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2">
        <f t="shared" si="11"/>
        <v>111</v>
      </c>
      <c r="R28" s="705" t="s">
        <v>14</v>
      </c>
      <c r="S28" s="706">
        <f t="shared" ref="S28:S40" si="12">F28</f>
        <v>100</v>
      </c>
      <c r="T28" s="705" t="s">
        <v>14</v>
      </c>
      <c r="U28" s="706">
        <f t="shared" ref="U28:U40" si="13">H28</f>
        <v>100</v>
      </c>
      <c r="V28" s="705" t="s">
        <v>14</v>
      </c>
      <c r="W28" s="706">
        <f t="shared" ref="W28:W40" si="14">J28</f>
        <v>100</v>
      </c>
      <c r="X28" s="1355"/>
      <c r="Y28" s="374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4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6"/>
      <c r="Q30" s="707" t="str">
        <f t="shared" si="11"/>
        <v>项目建筑规模</v>
      </c>
      <c r="R30" s="708" t="s">
        <v>14</v>
      </c>
      <c r="S30" s="709" t="e">
        <f t="shared" si="12"/>
        <v>#N/A</v>
      </c>
      <c r="T30" s="708" t="s">
        <v>14</v>
      </c>
      <c r="U30" s="709" t="e">
        <f t="shared" si="13"/>
        <v>#N/A</v>
      </c>
      <c r="V30" s="708" t="s">
        <v>14</v>
      </c>
      <c r="W30" s="709" t="e">
        <f t="shared" si="14"/>
        <v>#N/A</v>
      </c>
      <c r="X30" s="710"/>
      <c r="Y30" s="374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6"/>
      <c r="Q31" s="1352" t="str">
        <f t="shared" si="11"/>
        <v>建筑结构</v>
      </c>
      <c r="R31" s="705" t="s">
        <v>14</v>
      </c>
      <c r="S31" s="706">
        <f t="shared" si="12"/>
        <v>100</v>
      </c>
      <c r="T31" s="705" t="s">
        <v>14</v>
      </c>
      <c r="U31" s="706">
        <f t="shared" si="13"/>
        <v>100</v>
      </c>
      <c r="V31" s="705" t="s">
        <v>14</v>
      </c>
      <c r="W31" s="706">
        <f t="shared" si="14"/>
        <v>100</v>
      </c>
      <c r="X31" s="1355"/>
      <c r="Y31" s="374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6"/>
      <c r="Q32" s="1352" t="str">
        <f t="shared" si="11"/>
        <v>公共部分装修</v>
      </c>
      <c r="R32" s="705" t="s">
        <v>14</v>
      </c>
      <c r="S32" s="706">
        <f t="shared" si="12"/>
        <v>100</v>
      </c>
      <c r="T32" s="705" t="s">
        <v>14</v>
      </c>
      <c r="U32" s="706">
        <f t="shared" si="13"/>
        <v>100</v>
      </c>
      <c r="V32" s="705" t="s">
        <v>14</v>
      </c>
      <c r="W32" s="706">
        <f t="shared" si="14"/>
        <v>100</v>
      </c>
      <c r="X32" s="1355"/>
      <c r="Y32" s="374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6"/>
      <c r="Q33" s="1352" t="str">
        <f t="shared" si="11"/>
        <v>成新度</v>
      </c>
      <c r="R33" s="705" t="s">
        <v>14</v>
      </c>
      <c r="S33" s="706" t="e">
        <f t="shared" si="12"/>
        <v>#N/A</v>
      </c>
      <c r="T33" s="705" t="s">
        <v>14</v>
      </c>
      <c r="U33" s="706" t="e">
        <f t="shared" si="13"/>
        <v>#N/A</v>
      </c>
      <c r="V33" s="705" t="s">
        <v>14</v>
      </c>
      <c r="W33" s="706" t="e">
        <f t="shared" si="14"/>
        <v>#N/A</v>
      </c>
      <c r="X33" s="1355"/>
      <c r="Y33" s="374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6"/>
      <c r="Q34" s="1343" t="str">
        <f t="shared" si="11"/>
        <v>物业管理</v>
      </c>
      <c r="R34" s="701" t="s">
        <v>14</v>
      </c>
      <c r="S34" s="702">
        <f t="shared" si="12"/>
        <v>100</v>
      </c>
      <c r="T34" s="701" t="s">
        <v>14</v>
      </c>
      <c r="U34" s="702">
        <f t="shared" si="13"/>
        <v>100</v>
      </c>
      <c r="V34" s="701" t="s">
        <v>14</v>
      </c>
      <c r="W34" s="702">
        <f t="shared" si="14"/>
        <v>100</v>
      </c>
      <c r="X34" s="703"/>
      <c r="Y34" s="374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6" t="s">
        <v>1696</v>
      </c>
      <c r="Q35" s="1352" t="str">
        <f t="shared" si="11"/>
        <v>市政基础设施</v>
      </c>
      <c r="R35" s="705" t="s">
        <v>14</v>
      </c>
      <c r="S35" s="706">
        <f t="shared" si="12"/>
        <v>100</v>
      </c>
      <c r="T35" s="705" t="s">
        <v>14</v>
      </c>
      <c r="U35" s="706">
        <f t="shared" si="13"/>
        <v>100</v>
      </c>
      <c r="V35" s="705" t="s">
        <v>14</v>
      </c>
      <c r="W35" s="706">
        <f t="shared" si="14"/>
        <v>100</v>
      </c>
      <c r="X35" s="1355"/>
      <c r="Y35" s="374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6"/>
      <c r="Q36" s="1352" t="str">
        <f t="shared" si="11"/>
        <v>内部装修</v>
      </c>
      <c r="R36" s="705" t="s">
        <v>14</v>
      </c>
      <c r="S36" s="706">
        <f t="shared" si="12"/>
        <v>100</v>
      </c>
      <c r="T36" s="705" t="s">
        <v>14</v>
      </c>
      <c r="U36" s="706">
        <f t="shared" si="13"/>
        <v>100</v>
      </c>
      <c r="V36" s="705" t="s">
        <v>14</v>
      </c>
      <c r="W36" s="706">
        <f t="shared" si="14"/>
        <v>100</v>
      </c>
      <c r="X36" s="1355"/>
      <c r="Y36" s="374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6"/>
      <c r="Q37" s="1352" t="str">
        <f t="shared" si="11"/>
        <v>内部装修状况</v>
      </c>
      <c r="R37" s="705" t="s">
        <v>14</v>
      </c>
      <c r="S37" s="706">
        <f t="shared" si="12"/>
        <v>100</v>
      </c>
      <c r="T37" s="705" t="s">
        <v>14</v>
      </c>
      <c r="U37" s="706">
        <f t="shared" si="13"/>
        <v>100</v>
      </c>
      <c r="V37" s="705" t="s">
        <v>14</v>
      </c>
      <c r="W37" s="706">
        <f t="shared" si="14"/>
        <v>100</v>
      </c>
      <c r="X37" s="1355"/>
      <c r="Y37" s="374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6"/>
      <c r="Q38" s="707">
        <f t="shared" si="11"/>
        <v>111</v>
      </c>
      <c r="R38" s="708" t="s">
        <v>14</v>
      </c>
      <c r="S38" s="709">
        <f t="shared" si="12"/>
        <v>100</v>
      </c>
      <c r="T38" s="708" t="s">
        <v>14</v>
      </c>
      <c r="U38" s="709">
        <f t="shared" si="13"/>
        <v>100</v>
      </c>
      <c r="V38" s="708" t="s">
        <v>14</v>
      </c>
      <c r="W38" s="709">
        <f t="shared" si="14"/>
        <v>100</v>
      </c>
      <c r="X38" s="710"/>
      <c r="Y38" s="374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6"/>
      <c r="Q39" s="1352">
        <f t="shared" si="11"/>
        <v>111</v>
      </c>
      <c r="R39" s="705" t="s">
        <v>14</v>
      </c>
      <c r="S39" s="706">
        <f t="shared" si="12"/>
        <v>100</v>
      </c>
      <c r="T39" s="705" t="s">
        <v>14</v>
      </c>
      <c r="U39" s="706">
        <f t="shared" si="13"/>
        <v>100</v>
      </c>
      <c r="V39" s="705" t="s">
        <v>14</v>
      </c>
      <c r="W39" s="706">
        <f t="shared" si="14"/>
        <v>100</v>
      </c>
      <c r="X39" s="1355"/>
      <c r="Y39" s="374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2">
        <f t="shared" si="11"/>
        <v>111</v>
      </c>
      <c r="R40" s="705" t="s">
        <v>14</v>
      </c>
      <c r="S40" s="706">
        <f t="shared" si="12"/>
        <v>100</v>
      </c>
      <c r="T40" s="705" t="s">
        <v>14</v>
      </c>
      <c r="U40" s="706">
        <f t="shared" si="13"/>
        <v>100</v>
      </c>
      <c r="V40" s="705" t="s">
        <v>14</v>
      </c>
      <c r="W40" s="706">
        <f t="shared" si="14"/>
        <v>100</v>
      </c>
      <c r="X40" s="1355"/>
      <c r="Y40" s="374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9" t="str">
        <f>A41</f>
        <v>成交单价（元/平方米）</v>
      </c>
      <c r="Q41" s="3739"/>
      <c r="R41" s="3740">
        <f>E41</f>
        <v>0</v>
      </c>
      <c r="S41" s="3740"/>
      <c r="T41" s="3740">
        <f>G41</f>
        <v>0</v>
      </c>
      <c r="U41" s="3740"/>
      <c r="V41" s="3740">
        <f>I41</f>
        <v>0</v>
      </c>
      <c r="W41" s="374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9"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9"/>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2"/>
      <c r="Q15" s="1352"/>
      <c r="R15" s="705"/>
      <c r="S15" s="706"/>
      <c r="T15" s="705"/>
      <c r="U15" s="706"/>
      <c r="V15" s="705"/>
      <c r="W15" s="706"/>
      <c r="X15" s="1355"/>
      <c r="Y15" s="374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2"/>
      <c r="Q17" s="1352"/>
      <c r="R17" s="705"/>
      <c r="S17" s="706"/>
      <c r="T17" s="705"/>
      <c r="U17" s="706"/>
      <c r="V17" s="705"/>
      <c r="W17" s="706"/>
      <c r="X17" s="1355"/>
      <c r="Y17" s="374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2"/>
      <c r="Q19" s="1352"/>
      <c r="R19" s="705"/>
      <c r="S19" s="706"/>
      <c r="T19" s="705"/>
      <c r="U19" s="706"/>
      <c r="V19" s="705"/>
      <c r="W19" s="706"/>
      <c r="X19" s="1355"/>
      <c r="Y19" s="374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2"/>
      <c r="Q21" s="1352"/>
      <c r="R21" s="705"/>
      <c r="S21" s="706"/>
      <c r="T21" s="705"/>
      <c r="U21" s="706"/>
      <c r="V21" s="705"/>
      <c r="W21" s="706"/>
      <c r="X21" s="1355"/>
      <c r="Y21" s="374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2"/>
      <c r="Q24" s="1352">
        <f t="shared" ref="Q24:Q36"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6"/>
      <c r="Q27" s="707" t="str">
        <f t="shared" si="11"/>
        <v>项目停车位配比</v>
      </c>
      <c r="R27" s="708" t="s">
        <v>14</v>
      </c>
      <c r="S27" s="709">
        <f t="shared" si="12"/>
        <v>100</v>
      </c>
      <c r="T27" s="708" t="s">
        <v>14</v>
      </c>
      <c r="U27" s="709">
        <f t="shared" si="13"/>
        <v>100</v>
      </c>
      <c r="V27" s="708" t="s">
        <v>14</v>
      </c>
      <c r="W27" s="709">
        <f t="shared" si="14"/>
        <v>100</v>
      </c>
      <c r="X27" s="710"/>
      <c r="Y27" s="374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6"/>
      <c r="Q28" s="1352" t="str">
        <f t="shared" si="11"/>
        <v>公共部分装修</v>
      </c>
      <c r="R28" s="705" t="s">
        <v>14</v>
      </c>
      <c r="S28" s="706">
        <f t="shared" si="12"/>
        <v>100</v>
      </c>
      <c r="T28" s="705" t="s">
        <v>14</v>
      </c>
      <c r="U28" s="706">
        <f t="shared" si="13"/>
        <v>100</v>
      </c>
      <c r="V28" s="705" t="s">
        <v>14</v>
      </c>
      <c r="W28" s="706">
        <f t="shared" si="14"/>
        <v>100</v>
      </c>
      <c r="X28" s="1355"/>
      <c r="Y28" s="374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6"/>
      <c r="Q29" s="1352" t="str">
        <f t="shared" si="11"/>
        <v>成新率</v>
      </c>
      <c r="R29" s="705" t="s">
        <v>14</v>
      </c>
      <c r="S29" s="706" t="e">
        <f t="shared" si="12"/>
        <v>#N/A</v>
      </c>
      <c r="T29" s="705" t="s">
        <v>14</v>
      </c>
      <c r="U29" s="706" t="e">
        <f t="shared" si="13"/>
        <v>#N/A</v>
      </c>
      <c r="V29" s="705" t="s">
        <v>14</v>
      </c>
      <c r="W29" s="706" t="e">
        <f t="shared" si="14"/>
        <v>#N/A</v>
      </c>
      <c r="X29" s="1355"/>
      <c r="Y29" s="374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6"/>
      <c r="Q30" s="1352" t="str">
        <f t="shared" si="11"/>
        <v>物业等级</v>
      </c>
      <c r="R30" s="705" t="s">
        <v>14</v>
      </c>
      <c r="S30" s="706">
        <f t="shared" si="12"/>
        <v>100</v>
      </c>
      <c r="T30" s="705" t="s">
        <v>14</v>
      </c>
      <c r="U30" s="706">
        <f t="shared" si="13"/>
        <v>100</v>
      </c>
      <c r="V30" s="705" t="s">
        <v>14</v>
      </c>
      <c r="W30" s="706">
        <f t="shared" si="14"/>
        <v>100</v>
      </c>
      <c r="X30" s="1355"/>
      <c r="Y30" s="374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6"/>
      <c r="Q31" s="1343" t="str">
        <f t="shared" si="11"/>
        <v>停车位面积</v>
      </c>
      <c r="R31" s="701" t="s">
        <v>14</v>
      </c>
      <c r="S31" s="702" t="e">
        <f t="shared" si="12"/>
        <v>#N/A</v>
      </c>
      <c r="T31" s="701" t="s">
        <v>14</v>
      </c>
      <c r="U31" s="702" t="e">
        <f t="shared" si="13"/>
        <v>#N/A</v>
      </c>
      <c r="V31" s="701" t="s">
        <v>14</v>
      </c>
      <c r="W31" s="702" t="e">
        <f t="shared" si="14"/>
        <v>#N/A</v>
      </c>
      <c r="X31" s="703"/>
      <c r="Y31" s="374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6" t="s">
        <v>1696</v>
      </c>
      <c r="Q32" s="1352" t="str">
        <f t="shared" si="11"/>
        <v>车位类型</v>
      </c>
      <c r="R32" s="705" t="s">
        <v>14</v>
      </c>
      <c r="S32" s="706">
        <f t="shared" si="12"/>
        <v>100</v>
      </c>
      <c r="T32" s="705" t="s">
        <v>14</v>
      </c>
      <c r="U32" s="706">
        <f t="shared" si="13"/>
        <v>100</v>
      </c>
      <c r="V32" s="705" t="s">
        <v>14</v>
      </c>
      <c r="W32" s="706">
        <f t="shared" si="14"/>
        <v>100</v>
      </c>
      <c r="X32" s="1355"/>
      <c r="Y32" s="374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6"/>
      <c r="Q33" s="1352" t="str">
        <f t="shared" si="11"/>
        <v>是否直接入户</v>
      </c>
      <c r="R33" s="705" t="s">
        <v>14</v>
      </c>
      <c r="S33" s="706">
        <f t="shared" si="12"/>
        <v>100</v>
      </c>
      <c r="T33" s="705" t="s">
        <v>14</v>
      </c>
      <c r="U33" s="706">
        <f t="shared" si="13"/>
        <v>100</v>
      </c>
      <c r="V33" s="705" t="s">
        <v>14</v>
      </c>
      <c r="W33" s="706">
        <f t="shared" si="14"/>
        <v>100</v>
      </c>
      <c r="X33" s="1355"/>
      <c r="Y33" s="374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6"/>
      <c r="Q35" s="707">
        <f t="shared" si="11"/>
        <v>111</v>
      </c>
      <c r="R35" s="708" t="s">
        <v>14</v>
      </c>
      <c r="S35" s="709">
        <f t="shared" si="12"/>
        <v>100</v>
      </c>
      <c r="T35" s="708" t="s">
        <v>14</v>
      </c>
      <c r="U35" s="709">
        <f t="shared" si="13"/>
        <v>100</v>
      </c>
      <c r="V35" s="708" t="s">
        <v>14</v>
      </c>
      <c r="W35" s="709">
        <f t="shared" si="14"/>
        <v>100</v>
      </c>
      <c r="X35" s="710"/>
      <c r="Y35" s="374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6"/>
      <c r="Q36" s="1352">
        <f t="shared" si="11"/>
        <v>111</v>
      </c>
      <c r="R36" s="705" t="s">
        <v>14</v>
      </c>
      <c r="S36" s="706">
        <f t="shared" si="12"/>
        <v>100</v>
      </c>
      <c r="T36" s="705" t="s">
        <v>14</v>
      </c>
      <c r="U36" s="706">
        <f t="shared" si="13"/>
        <v>100</v>
      </c>
      <c r="V36" s="705" t="s">
        <v>14</v>
      </c>
      <c r="W36" s="706">
        <f t="shared" si="14"/>
        <v>100</v>
      </c>
      <c r="X36" s="1355"/>
      <c r="Y36" s="374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39" t="str">
        <f>A37</f>
        <v>成交单价</v>
      </c>
      <c r="Q37" s="3739"/>
      <c r="R37" s="3740">
        <f>E37</f>
        <v>0</v>
      </c>
      <c r="S37" s="3740"/>
      <c r="T37" s="3740">
        <f>G37</f>
        <v>0</v>
      </c>
      <c r="U37" s="3740"/>
      <c r="V37" s="3740">
        <f>I37</f>
        <v>0</v>
      </c>
      <c r="W37" s="374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9"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9"/>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2"/>
      <c r="Q15" s="1352"/>
      <c r="R15" s="705"/>
      <c r="S15" s="706"/>
      <c r="T15" s="705"/>
      <c r="U15" s="706"/>
      <c r="V15" s="705"/>
      <c r="W15" s="706"/>
      <c r="X15" s="1355"/>
      <c r="Y15" s="374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2"/>
      <c r="Q17" s="1352"/>
      <c r="R17" s="705"/>
      <c r="S17" s="706"/>
      <c r="T17" s="705"/>
      <c r="U17" s="706"/>
      <c r="V17" s="705"/>
      <c r="W17" s="706"/>
      <c r="X17" s="1355"/>
      <c r="Y17" s="374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2"/>
      <c r="Q19" s="1352"/>
      <c r="R19" s="705"/>
      <c r="S19" s="706"/>
      <c r="T19" s="705"/>
      <c r="U19" s="706"/>
      <c r="V19" s="705"/>
      <c r="W19" s="706"/>
      <c r="X19" s="1355"/>
      <c r="Y19" s="374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2"/>
      <c r="Q21" s="1352"/>
      <c r="R21" s="705"/>
      <c r="S21" s="706"/>
      <c r="T21" s="705"/>
      <c r="U21" s="706"/>
      <c r="V21" s="705"/>
      <c r="W21" s="706"/>
      <c r="X21" s="1355"/>
      <c r="Y21" s="374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2"/>
      <c r="Q24" s="1352">
        <f t="shared" ref="Q24:Q34"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6"/>
      <c r="Q27" s="707" t="str">
        <f t="shared" si="11"/>
        <v>成新率</v>
      </c>
      <c r="R27" s="708" t="s">
        <v>14</v>
      </c>
      <c r="S27" s="709" t="e">
        <f t="shared" si="12"/>
        <v>#N/A</v>
      </c>
      <c r="T27" s="708" t="s">
        <v>14</v>
      </c>
      <c r="U27" s="709" t="e">
        <f t="shared" si="13"/>
        <v>#N/A</v>
      </c>
      <c r="V27" s="708" t="s">
        <v>14</v>
      </c>
      <c r="W27" s="709" t="e">
        <f t="shared" si="14"/>
        <v>#N/A</v>
      </c>
      <c r="X27" s="710"/>
      <c r="Y27" s="374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6"/>
      <c r="Q28" s="1352" t="str">
        <f t="shared" si="11"/>
        <v>物业等级</v>
      </c>
      <c r="R28" s="705" t="s">
        <v>14</v>
      </c>
      <c r="S28" s="706">
        <f t="shared" si="12"/>
        <v>100</v>
      </c>
      <c r="T28" s="705" t="s">
        <v>14</v>
      </c>
      <c r="U28" s="706">
        <f t="shared" si="13"/>
        <v>100</v>
      </c>
      <c r="V28" s="705" t="s">
        <v>14</v>
      </c>
      <c r="W28" s="706">
        <f t="shared" si="14"/>
        <v>100</v>
      </c>
      <c r="X28" s="1355"/>
      <c r="Y28" s="374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6"/>
      <c r="Q29" s="1352" t="str">
        <f t="shared" si="11"/>
        <v>有无电梯</v>
      </c>
      <c r="R29" s="705" t="s">
        <v>14</v>
      </c>
      <c r="S29" s="706">
        <f t="shared" si="12"/>
        <v>100</v>
      </c>
      <c r="T29" s="705" t="s">
        <v>14</v>
      </c>
      <c r="U29" s="706">
        <f t="shared" si="13"/>
        <v>100</v>
      </c>
      <c r="V29" s="705" t="s">
        <v>14</v>
      </c>
      <c r="W29" s="706">
        <f t="shared" si="14"/>
        <v>100</v>
      </c>
      <c r="X29" s="1355"/>
      <c r="Y29" s="374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6"/>
      <c r="Q30" s="1352" t="str">
        <f t="shared" si="11"/>
        <v>建筑面积</v>
      </c>
      <c r="R30" s="705" t="s">
        <v>14</v>
      </c>
      <c r="S30" s="706" t="e">
        <f t="shared" si="12"/>
        <v>#N/A</v>
      </c>
      <c r="T30" s="705" t="s">
        <v>14</v>
      </c>
      <c r="U30" s="706" t="e">
        <f t="shared" si="13"/>
        <v>#N/A</v>
      </c>
      <c r="V30" s="705" t="s">
        <v>14</v>
      </c>
      <c r="W30" s="706" t="e">
        <f t="shared" si="14"/>
        <v>#N/A</v>
      </c>
      <c r="X30" s="1355"/>
      <c r="Y30" s="374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6"/>
      <c r="Q31" s="1343" t="str">
        <f t="shared" si="11"/>
        <v>是否封闭</v>
      </c>
      <c r="R31" s="701" t="s">
        <v>14</v>
      </c>
      <c r="S31" s="702">
        <f t="shared" si="12"/>
        <v>100</v>
      </c>
      <c r="T31" s="701" t="s">
        <v>14</v>
      </c>
      <c r="U31" s="702">
        <f t="shared" si="13"/>
        <v>100</v>
      </c>
      <c r="V31" s="701" t="s">
        <v>14</v>
      </c>
      <c r="W31" s="702">
        <f t="shared" si="14"/>
        <v>100</v>
      </c>
      <c r="X31" s="703"/>
      <c r="Y31" s="374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6" t="s">
        <v>1696</v>
      </c>
      <c r="Q32" s="1352">
        <f t="shared" si="11"/>
        <v>111</v>
      </c>
      <c r="R32" s="705" t="s">
        <v>14</v>
      </c>
      <c r="S32" s="706">
        <f t="shared" si="12"/>
        <v>100</v>
      </c>
      <c r="T32" s="705" t="s">
        <v>14</v>
      </c>
      <c r="U32" s="706">
        <f t="shared" si="13"/>
        <v>100</v>
      </c>
      <c r="V32" s="705" t="s">
        <v>14</v>
      </c>
      <c r="W32" s="706">
        <f t="shared" si="14"/>
        <v>100</v>
      </c>
      <c r="X32" s="1355"/>
      <c r="Y32" s="374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6"/>
      <c r="Q33" s="1352">
        <f t="shared" si="11"/>
        <v>111</v>
      </c>
      <c r="R33" s="705" t="s">
        <v>14</v>
      </c>
      <c r="S33" s="706">
        <f t="shared" si="12"/>
        <v>100</v>
      </c>
      <c r="T33" s="705" t="s">
        <v>14</v>
      </c>
      <c r="U33" s="706">
        <f t="shared" si="13"/>
        <v>100</v>
      </c>
      <c r="V33" s="705" t="s">
        <v>14</v>
      </c>
      <c r="W33" s="706">
        <f t="shared" si="14"/>
        <v>100</v>
      </c>
      <c r="X33" s="1355"/>
      <c r="Y33" s="374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9" t="str">
        <f>A35</f>
        <v>成交单价（元/平方米）</v>
      </c>
      <c r="Q35" s="3739"/>
      <c r="R35" s="3740">
        <f>E35</f>
        <v>0</v>
      </c>
      <c r="S35" s="3740"/>
      <c r="T35" s="3740">
        <f>G35</f>
        <v>0</v>
      </c>
      <c r="U35" s="3740"/>
      <c r="V35" s="3740">
        <f>I35</f>
        <v>0</v>
      </c>
      <c r="W35" s="374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30">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30"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30" s="108" customFormat="1" ht="15" thickBot="1">
      <c r="A7" s="362" t="s">
        <v>1679</v>
      </c>
      <c r="B7" s="363"/>
      <c r="C7" s="364">
        <f>'数据-取费表'!B2</f>
        <v>45814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739"/>
      <c r="Q10" s="1343" t="str">
        <f t="shared" si="6"/>
        <v>土地使用年限（年）</v>
      </c>
      <c r="R10" s="701" t="s">
        <v>14</v>
      </c>
      <c r="S10" s="702">
        <f t="shared" si="0"/>
        <v>126</v>
      </c>
      <c r="T10" s="701" t="s">
        <v>14</v>
      </c>
      <c r="U10" s="702">
        <f t="shared" si="1"/>
        <v>126</v>
      </c>
      <c r="V10" s="701" t="s">
        <v>14</v>
      </c>
      <c r="W10" s="702">
        <f t="shared" si="2"/>
        <v>126</v>
      </c>
      <c r="X10" s="703"/>
      <c r="Y10" s="3632"/>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9"/>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1" t="s">
        <v>1691</v>
      </c>
      <c r="Q15" s="1352" t="str">
        <f t="shared" si="6"/>
        <v>居住社区成熟度</v>
      </c>
      <c r="R15" s="705" t="s">
        <v>14</v>
      </c>
      <c r="S15" s="706">
        <f t="shared" si="0"/>
        <v>100</v>
      </c>
      <c r="T15" s="705" t="s">
        <v>14</v>
      </c>
      <c r="U15" s="706">
        <f t="shared" si="1"/>
        <v>100</v>
      </c>
      <c r="V15" s="705" t="s">
        <v>14</v>
      </c>
      <c r="W15" s="706">
        <f t="shared" si="2"/>
        <v>100</v>
      </c>
      <c r="X15" s="1355"/>
      <c r="Y15" s="374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2"/>
      <c r="Q17" s="1352" t="str">
        <f>B17</f>
        <v>商业繁华度</v>
      </c>
      <c r="R17" s="705" t="s">
        <v>14</v>
      </c>
      <c r="S17" s="706">
        <f>F17</f>
        <v>100</v>
      </c>
      <c r="T17" s="705" t="s">
        <v>14</v>
      </c>
      <c r="U17" s="706">
        <f>H17</f>
        <v>100</v>
      </c>
      <c r="V17" s="705" t="s">
        <v>14</v>
      </c>
      <c r="W17" s="706">
        <f>J17</f>
        <v>100</v>
      </c>
      <c r="X17" s="1355"/>
      <c r="Y17" s="374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2"/>
      <c r="Q19" s="1352" t="str">
        <f>B19</f>
        <v>办公集聚程度</v>
      </c>
      <c r="R19" s="705" t="s">
        <v>14</v>
      </c>
      <c r="S19" s="706">
        <f>F19</f>
        <v>100</v>
      </c>
      <c r="T19" s="705" t="s">
        <v>14</v>
      </c>
      <c r="U19" s="706">
        <f>H19</f>
        <v>100</v>
      </c>
      <c r="V19" s="705" t="s">
        <v>14</v>
      </c>
      <c r="W19" s="706">
        <f>J19</f>
        <v>100</v>
      </c>
      <c r="X19" s="1355"/>
      <c r="Y19" s="374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2"/>
      <c r="Q20" s="1352"/>
      <c r="R20" s="705"/>
      <c r="S20" s="706"/>
      <c r="T20" s="705"/>
      <c r="U20" s="706"/>
      <c r="V20" s="705"/>
      <c r="W20" s="706"/>
      <c r="X20" s="1355"/>
      <c r="Y20" s="374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2"/>
      <c r="Q21" s="1352" t="str">
        <f>B21</f>
        <v>交通便捷度</v>
      </c>
      <c r="R21" s="705" t="s">
        <v>14</v>
      </c>
      <c r="S21" s="706">
        <f>F21</f>
        <v>100</v>
      </c>
      <c r="T21" s="705" t="s">
        <v>14</v>
      </c>
      <c r="U21" s="706">
        <f>H21</f>
        <v>100</v>
      </c>
      <c r="V21" s="705" t="s">
        <v>14</v>
      </c>
      <c r="W21" s="706">
        <f>J21</f>
        <v>100</v>
      </c>
      <c r="X21" s="1355"/>
      <c r="Y21" s="374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2"/>
      <c r="Q23" s="1352" t="str">
        <f t="shared" ref="Q23:Q37" si="8">B23</f>
        <v>区域土地利用方向</v>
      </c>
      <c r="R23" s="705" t="s">
        <v>14</v>
      </c>
      <c r="S23" s="706">
        <f>F23</f>
        <v>100</v>
      </c>
      <c r="T23" s="705" t="s">
        <v>14</v>
      </c>
      <c r="U23" s="706">
        <f>H23</f>
        <v>100</v>
      </c>
      <c r="V23" s="705" t="s">
        <v>14</v>
      </c>
      <c r="W23" s="706">
        <f>J23</f>
        <v>100</v>
      </c>
      <c r="X23" s="1355"/>
      <c r="Y23" s="374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2"/>
      <c r="Q24" s="1352"/>
      <c r="R24" s="705"/>
      <c r="S24" s="706"/>
      <c r="T24" s="705"/>
      <c r="U24" s="706"/>
      <c r="V24" s="705"/>
      <c r="W24" s="706"/>
      <c r="X24" s="1355"/>
      <c r="Y24" s="374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2"/>
      <c r="Q25" s="1352" t="str">
        <f t="shared" si="8"/>
        <v>自然及人文环境状况</v>
      </c>
      <c r="R25" s="705" t="s">
        <v>14</v>
      </c>
      <c r="S25" s="706">
        <f>F25</f>
        <v>100</v>
      </c>
      <c r="T25" s="705" t="s">
        <v>14</v>
      </c>
      <c r="U25" s="706">
        <f>H25</f>
        <v>100</v>
      </c>
      <c r="V25" s="705" t="s">
        <v>14</v>
      </c>
      <c r="W25" s="706">
        <f>J25</f>
        <v>100</v>
      </c>
      <c r="X25" s="1355"/>
      <c r="Y25" s="374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2"/>
      <c r="Q26" s="1352"/>
      <c r="R26" s="705"/>
      <c r="S26" s="706"/>
      <c r="T26" s="705"/>
      <c r="U26" s="706"/>
      <c r="V26" s="705"/>
      <c r="W26" s="706"/>
      <c r="X26" s="1355"/>
      <c r="Y26" s="374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2"/>
      <c r="Q27" s="1343" t="str">
        <f t="shared" si="8"/>
        <v>公共配套设施</v>
      </c>
      <c r="R27" s="701" t="s">
        <v>14</v>
      </c>
      <c r="S27" s="702">
        <f>F27</f>
        <v>100</v>
      </c>
      <c r="T27" s="701" t="s">
        <v>14</v>
      </c>
      <c r="U27" s="702">
        <f>H27</f>
        <v>100</v>
      </c>
      <c r="V27" s="701" t="s">
        <v>14</v>
      </c>
      <c r="W27" s="702">
        <f>J27</f>
        <v>100</v>
      </c>
      <c r="X27" s="703"/>
      <c r="Y27" s="374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2"/>
      <c r="Q28" s="1343"/>
      <c r="R28" s="701"/>
      <c r="S28" s="702"/>
      <c r="T28" s="701"/>
      <c r="U28" s="702"/>
      <c r="V28" s="701"/>
      <c r="W28" s="702"/>
      <c r="X28" s="703"/>
      <c r="Y28" s="374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2"/>
      <c r="Q29" s="1343"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2"/>
      <c r="Q30" s="1343"/>
      <c r="R30" s="701"/>
      <c r="S30" s="702"/>
      <c r="T30" s="701"/>
      <c r="U30" s="702"/>
      <c r="V30" s="701"/>
      <c r="W30" s="702"/>
      <c r="X30" s="703"/>
      <c r="Y30" s="374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2"/>
      <c r="Q32" s="1352" t="str">
        <f t="shared" si="8"/>
        <v>毗邻道路的类型与等级</v>
      </c>
      <c r="R32" s="705" t="s">
        <v>14</v>
      </c>
      <c r="S32" s="706">
        <f t="shared" si="10"/>
        <v>100</v>
      </c>
      <c r="T32" s="705" t="s">
        <v>14</v>
      </c>
      <c r="U32" s="706">
        <f t="shared" si="11"/>
        <v>100</v>
      </c>
      <c r="V32" s="705" t="s">
        <v>14</v>
      </c>
      <c r="W32" s="706">
        <f t="shared" si="12"/>
        <v>100</v>
      </c>
      <c r="X32" s="1355"/>
      <c r="Y32" s="374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2"/>
      <c r="Q33" s="1352"/>
      <c r="R33" s="705"/>
      <c r="S33" s="706"/>
      <c r="T33" s="705"/>
      <c r="U33" s="706"/>
      <c r="V33" s="705"/>
      <c r="W33" s="706"/>
      <c r="X33" s="1355"/>
      <c r="Y33" s="374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2"/>
      <c r="Q34" s="1352" t="str">
        <f t="shared" si="8"/>
        <v>土地级别</v>
      </c>
      <c r="R34" s="705" t="s">
        <v>14</v>
      </c>
      <c r="S34" s="706">
        <f t="shared" si="10"/>
        <v>100</v>
      </c>
      <c r="T34" s="705" t="s">
        <v>14</v>
      </c>
      <c r="U34" s="706">
        <f t="shared" si="11"/>
        <v>100</v>
      </c>
      <c r="V34" s="705" t="s">
        <v>14</v>
      </c>
      <c r="W34" s="706">
        <f t="shared" si="12"/>
        <v>100</v>
      </c>
      <c r="X34" s="1355"/>
      <c r="Y34" s="374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2"/>
      <c r="Q35" s="1352">
        <f t="shared" si="8"/>
        <v>111</v>
      </c>
      <c r="R35" s="705" t="s">
        <v>14</v>
      </c>
      <c r="S35" s="706">
        <f t="shared" si="10"/>
        <v>100</v>
      </c>
      <c r="T35" s="705" t="s">
        <v>14</v>
      </c>
      <c r="U35" s="706">
        <f t="shared" si="11"/>
        <v>100</v>
      </c>
      <c r="V35" s="705" t="s">
        <v>14</v>
      </c>
      <c r="W35" s="706">
        <f t="shared" si="12"/>
        <v>100</v>
      </c>
      <c r="X35" s="1355"/>
      <c r="Y35" s="374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4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6"/>
      <c r="Q37" s="1352">
        <f t="shared" si="8"/>
        <v>111</v>
      </c>
      <c r="R37" s="708" t="s">
        <v>14</v>
      </c>
      <c r="S37" s="709">
        <f t="shared" si="10"/>
        <v>100</v>
      </c>
      <c r="T37" s="708" t="s">
        <v>14</v>
      </c>
      <c r="U37" s="709">
        <f t="shared" si="11"/>
        <v>100</v>
      </c>
      <c r="V37" s="708" t="s">
        <v>14</v>
      </c>
      <c r="W37" s="709">
        <f t="shared" si="12"/>
        <v>100</v>
      </c>
      <c r="X37" s="710"/>
      <c r="Y37" s="374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6"/>
      <c r="Q38" s="1352" t="str">
        <f>B38</f>
        <v>宗地面积</v>
      </c>
      <c r="R38" s="705" t="s">
        <v>14</v>
      </c>
      <c r="S38" s="706" t="e">
        <f t="shared" si="10"/>
        <v>#N/A</v>
      </c>
      <c r="T38" s="705" t="s">
        <v>14</v>
      </c>
      <c r="U38" s="706" t="e">
        <f t="shared" si="11"/>
        <v>#N/A</v>
      </c>
      <c r="V38" s="705" t="s">
        <v>14</v>
      </c>
      <c r="W38" s="706" t="e">
        <f t="shared" si="12"/>
        <v>#N/A</v>
      </c>
      <c r="X38" s="1355"/>
      <c r="Y38" s="374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6"/>
      <c r="Q39" s="1352" t="str">
        <f t="shared" ref="Q39:Q45" si="14">B39</f>
        <v>宗地形状</v>
      </c>
      <c r="R39" s="705" t="s">
        <v>14</v>
      </c>
      <c r="S39" s="706">
        <f t="shared" si="10"/>
        <v>100</v>
      </c>
      <c r="T39" s="705" t="s">
        <v>14</v>
      </c>
      <c r="U39" s="706">
        <f t="shared" si="11"/>
        <v>100</v>
      </c>
      <c r="V39" s="705" t="s">
        <v>14</v>
      </c>
      <c r="W39" s="706">
        <f t="shared" si="12"/>
        <v>100</v>
      </c>
      <c r="X39" s="1355"/>
      <c r="Y39" s="374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6"/>
      <c r="Q40" s="1352" t="str">
        <f t="shared" si="14"/>
        <v>临街宽度及深度</v>
      </c>
      <c r="R40" s="705" t="s">
        <v>14</v>
      </c>
      <c r="S40" s="706">
        <f t="shared" si="10"/>
        <v>100</v>
      </c>
      <c r="T40" s="705" t="s">
        <v>14</v>
      </c>
      <c r="U40" s="706">
        <f t="shared" si="11"/>
        <v>100</v>
      </c>
      <c r="V40" s="705" t="s">
        <v>14</v>
      </c>
      <c r="W40" s="706">
        <f t="shared" si="12"/>
        <v>100</v>
      </c>
      <c r="X40" s="1355"/>
      <c r="Y40" s="374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6"/>
      <c r="Q41" s="1352" t="str">
        <f t="shared" si="14"/>
        <v>宗地开发程度</v>
      </c>
      <c r="R41" s="701" t="s">
        <v>14</v>
      </c>
      <c r="S41" s="702">
        <f t="shared" si="10"/>
        <v>100</v>
      </c>
      <c r="T41" s="701" t="s">
        <v>14</v>
      </c>
      <c r="U41" s="702">
        <f t="shared" si="11"/>
        <v>100</v>
      </c>
      <c r="V41" s="701" t="s">
        <v>14</v>
      </c>
      <c r="W41" s="702">
        <f t="shared" si="12"/>
        <v>100</v>
      </c>
      <c r="X41" s="703"/>
      <c r="Y41" s="374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6" t="s">
        <v>1696</v>
      </c>
      <c r="Q42" s="1352" t="str">
        <f t="shared" si="14"/>
        <v>工程地质条件</v>
      </c>
      <c r="R42" s="705" t="s">
        <v>14</v>
      </c>
      <c r="S42" s="706">
        <f t="shared" si="10"/>
        <v>100</v>
      </c>
      <c r="T42" s="705" t="s">
        <v>14</v>
      </c>
      <c r="U42" s="706">
        <f t="shared" si="11"/>
        <v>100</v>
      </c>
      <c r="V42" s="705" t="s">
        <v>14</v>
      </c>
      <c r="W42" s="706">
        <f t="shared" si="12"/>
        <v>100</v>
      </c>
      <c r="X42" s="1355"/>
      <c r="Y42" s="374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6"/>
      <c r="Q43" s="1352">
        <f t="shared" si="14"/>
        <v>111</v>
      </c>
      <c r="R43" s="705" t="s">
        <v>14</v>
      </c>
      <c r="S43" s="706">
        <f t="shared" si="10"/>
        <v>100</v>
      </c>
      <c r="T43" s="705" t="s">
        <v>14</v>
      </c>
      <c r="U43" s="706">
        <f t="shared" si="11"/>
        <v>100</v>
      </c>
      <c r="V43" s="705" t="s">
        <v>14</v>
      </c>
      <c r="W43" s="706">
        <f t="shared" si="12"/>
        <v>100</v>
      </c>
      <c r="X43" s="1355"/>
      <c r="Y43" s="374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6"/>
      <c r="Q44" s="1352">
        <f t="shared" si="14"/>
        <v>111</v>
      </c>
      <c r="R44" s="705" t="s">
        <v>14</v>
      </c>
      <c r="S44" s="706">
        <f t="shared" si="10"/>
        <v>100</v>
      </c>
      <c r="T44" s="705" t="s">
        <v>14</v>
      </c>
      <c r="U44" s="706">
        <f t="shared" si="11"/>
        <v>100</v>
      </c>
      <c r="V44" s="705" t="s">
        <v>14</v>
      </c>
      <c r="W44" s="706">
        <f t="shared" si="12"/>
        <v>100</v>
      </c>
      <c r="X44" s="1355"/>
      <c r="Y44" s="374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6"/>
      <c r="Q45" s="1352">
        <f t="shared" si="14"/>
        <v>111</v>
      </c>
      <c r="R45" s="708" t="s">
        <v>14</v>
      </c>
      <c r="S45" s="709">
        <f t="shared" si="10"/>
        <v>100</v>
      </c>
      <c r="T45" s="708" t="s">
        <v>14</v>
      </c>
      <c r="U45" s="709">
        <f t="shared" si="11"/>
        <v>100</v>
      </c>
      <c r="V45" s="708" t="s">
        <v>14</v>
      </c>
      <c r="W45" s="709">
        <f t="shared" si="12"/>
        <v>100</v>
      </c>
      <c r="X45" s="710"/>
      <c r="Y45" s="374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9" t="str">
        <f>A46</f>
        <v>成交单价</v>
      </c>
      <c r="Q46" s="3739"/>
      <c r="R46" s="3734">
        <f>E46</f>
        <v>0</v>
      </c>
      <c r="S46" s="3734"/>
      <c r="T46" s="3734">
        <f>G46</f>
        <v>0</v>
      </c>
      <c r="U46" s="3734"/>
      <c r="V46" s="3734">
        <f>I46</f>
        <v>0</v>
      </c>
      <c r="W46" s="373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9" t="str">
        <f>A47</f>
        <v>比较价值（元/平方米）</v>
      </c>
      <c r="Q47" s="3739"/>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2"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21"/>
      <c r="H56" s="373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35.380000000000003</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35.380000000000003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70" t="s">
        <v>1919</v>
      </c>
      <c r="D6" s="3771"/>
      <c r="E6" s="3772" t="s">
        <v>1919</v>
      </c>
      <c r="F6" s="3773"/>
      <c r="G6" s="3770" t="s">
        <v>1919</v>
      </c>
      <c r="H6" s="3771"/>
      <c r="I6" s="3770" t="s">
        <v>1919</v>
      </c>
      <c r="J6" s="3771"/>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739"/>
      <c r="Q10" s="1343" t="str">
        <f t="shared" si="6"/>
        <v>土地使用年限（年）</v>
      </c>
      <c r="R10" s="701" t="s">
        <v>14</v>
      </c>
      <c r="S10" s="702">
        <f t="shared" si="0"/>
        <v>126</v>
      </c>
      <c r="T10" s="701" t="s">
        <v>14</v>
      </c>
      <c r="U10" s="702">
        <f t="shared" si="1"/>
        <v>126</v>
      </c>
      <c r="V10" s="701" t="s">
        <v>14</v>
      </c>
      <c r="W10" s="702">
        <f t="shared" si="2"/>
        <v>126</v>
      </c>
      <c r="X10" s="703"/>
      <c r="Y10" s="3632"/>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2"/>
      <c r="Q19" s="1352" t="str">
        <f t="shared" ref="Q19:Q33" si="8">B19</f>
        <v>区域土地利用方向</v>
      </c>
      <c r="R19" s="705" t="s">
        <v>14</v>
      </c>
      <c r="S19" s="706">
        <f>F19</f>
        <v>100</v>
      </c>
      <c r="T19" s="705" t="s">
        <v>14</v>
      </c>
      <c r="U19" s="706">
        <f>H19</f>
        <v>100</v>
      </c>
      <c r="V19" s="705" t="s">
        <v>14</v>
      </c>
      <c r="W19" s="706">
        <f>J19</f>
        <v>100</v>
      </c>
      <c r="X19" s="1355"/>
      <c r="Y19" s="374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2"/>
      <c r="Q20" s="1352"/>
      <c r="R20" s="705"/>
      <c r="S20" s="706"/>
      <c r="T20" s="705"/>
      <c r="U20" s="706"/>
      <c r="V20" s="705"/>
      <c r="W20" s="706"/>
      <c r="X20" s="1355"/>
      <c r="Y20" s="374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2"/>
      <c r="Q21" s="1352" t="str">
        <f t="shared" si="8"/>
        <v>环境状况</v>
      </c>
      <c r="R21" s="705" t="s">
        <v>14</v>
      </c>
      <c r="S21" s="706">
        <f>F21</f>
        <v>100</v>
      </c>
      <c r="T21" s="705" t="s">
        <v>14</v>
      </c>
      <c r="U21" s="706">
        <f>H21</f>
        <v>100</v>
      </c>
      <c r="V21" s="705" t="s">
        <v>14</v>
      </c>
      <c r="W21" s="706">
        <f>J21</f>
        <v>100</v>
      </c>
      <c r="X21" s="1355"/>
      <c r="Y21" s="374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2"/>
      <c r="Q23" s="1343" t="str">
        <f t="shared" si="8"/>
        <v>公共配套设施</v>
      </c>
      <c r="R23" s="701" t="s">
        <v>14</v>
      </c>
      <c r="S23" s="702">
        <f>F23</f>
        <v>100</v>
      </c>
      <c r="T23" s="701" t="s">
        <v>14</v>
      </c>
      <c r="U23" s="702">
        <f>H23</f>
        <v>100</v>
      </c>
      <c r="V23" s="701" t="s">
        <v>14</v>
      </c>
      <c r="W23" s="702">
        <f>J23</f>
        <v>100</v>
      </c>
      <c r="X23" s="703"/>
      <c r="Y23" s="374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2"/>
      <c r="Q24" s="1343"/>
      <c r="R24" s="701"/>
      <c r="S24" s="702"/>
      <c r="T24" s="701"/>
      <c r="U24" s="702"/>
      <c r="V24" s="701"/>
      <c r="W24" s="702"/>
      <c r="X24" s="703"/>
      <c r="Y24" s="374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2"/>
      <c r="Q25" s="1343"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2"/>
      <c r="Q26" s="1343"/>
      <c r="R26" s="701"/>
      <c r="S26" s="702"/>
      <c r="T26" s="701"/>
      <c r="U26" s="702"/>
      <c r="V26" s="701"/>
      <c r="W26" s="702"/>
      <c r="X26" s="703"/>
      <c r="Y26" s="374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2"/>
      <c r="Q28" s="1352" t="str">
        <f t="shared" si="8"/>
        <v>毗邻道路的类型与等级</v>
      </c>
      <c r="R28" s="705" t="s">
        <v>14</v>
      </c>
      <c r="S28" s="706">
        <f t="shared" si="10"/>
        <v>100</v>
      </c>
      <c r="T28" s="705" t="s">
        <v>14</v>
      </c>
      <c r="U28" s="706">
        <f t="shared" si="11"/>
        <v>100</v>
      </c>
      <c r="V28" s="705" t="s">
        <v>14</v>
      </c>
      <c r="W28" s="706">
        <f t="shared" si="12"/>
        <v>100</v>
      </c>
      <c r="X28" s="1355"/>
      <c r="Y28" s="374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2"/>
      <c r="Q29" s="1352"/>
      <c r="R29" s="705"/>
      <c r="S29" s="706"/>
      <c r="T29" s="705"/>
      <c r="U29" s="706"/>
      <c r="V29" s="705"/>
      <c r="W29" s="706"/>
      <c r="X29" s="1355"/>
      <c r="Y29" s="374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2"/>
      <c r="Q30" s="1352" t="str">
        <f t="shared" si="8"/>
        <v>土地级别</v>
      </c>
      <c r="R30" s="705" t="s">
        <v>14</v>
      </c>
      <c r="S30" s="706">
        <f t="shared" si="10"/>
        <v>100</v>
      </c>
      <c r="T30" s="705" t="s">
        <v>14</v>
      </c>
      <c r="U30" s="706">
        <f t="shared" si="11"/>
        <v>100</v>
      </c>
      <c r="V30" s="705" t="s">
        <v>14</v>
      </c>
      <c r="W30" s="706">
        <f t="shared" si="12"/>
        <v>100</v>
      </c>
      <c r="X30" s="1355"/>
      <c r="Y30" s="374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2"/>
      <c r="Q31" s="1352">
        <f t="shared" si="8"/>
        <v>111</v>
      </c>
      <c r="R31" s="705" t="s">
        <v>14</v>
      </c>
      <c r="S31" s="706">
        <f t="shared" si="10"/>
        <v>100</v>
      </c>
      <c r="T31" s="705" t="s">
        <v>14</v>
      </c>
      <c r="U31" s="706">
        <f t="shared" si="11"/>
        <v>100</v>
      </c>
      <c r="V31" s="705" t="s">
        <v>14</v>
      </c>
      <c r="W31" s="706">
        <f t="shared" si="12"/>
        <v>100</v>
      </c>
      <c r="X31" s="1355"/>
      <c r="Y31" s="374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4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6"/>
      <c r="Q33" s="1352">
        <f t="shared" si="8"/>
        <v>111</v>
      </c>
      <c r="R33" s="708" t="s">
        <v>14</v>
      </c>
      <c r="S33" s="709">
        <f t="shared" si="10"/>
        <v>100</v>
      </c>
      <c r="T33" s="708" t="s">
        <v>14</v>
      </c>
      <c r="U33" s="709">
        <f t="shared" si="11"/>
        <v>100</v>
      </c>
      <c r="V33" s="708" t="s">
        <v>14</v>
      </c>
      <c r="W33" s="709">
        <f t="shared" si="12"/>
        <v>100</v>
      </c>
      <c r="X33" s="710"/>
      <c r="Y33" s="374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6"/>
      <c r="Q34" s="1352" t="str">
        <f>B34</f>
        <v>宗地面积</v>
      </c>
      <c r="R34" s="705" t="s">
        <v>14</v>
      </c>
      <c r="S34" s="706" t="e">
        <f t="shared" si="10"/>
        <v>#N/A</v>
      </c>
      <c r="T34" s="705" t="s">
        <v>14</v>
      </c>
      <c r="U34" s="706" t="e">
        <f t="shared" si="11"/>
        <v>#N/A</v>
      </c>
      <c r="V34" s="705" t="s">
        <v>14</v>
      </c>
      <c r="W34" s="706" t="e">
        <f t="shared" si="12"/>
        <v>#N/A</v>
      </c>
      <c r="X34" s="1355"/>
      <c r="Y34" s="374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6"/>
      <c r="Q35" s="1352" t="str">
        <f t="shared" ref="Q35:Q40" si="14">B35</f>
        <v>宗地形状</v>
      </c>
      <c r="R35" s="705" t="s">
        <v>14</v>
      </c>
      <c r="S35" s="706">
        <f t="shared" si="10"/>
        <v>100</v>
      </c>
      <c r="T35" s="705" t="s">
        <v>14</v>
      </c>
      <c r="U35" s="706">
        <f t="shared" si="11"/>
        <v>100</v>
      </c>
      <c r="V35" s="705" t="s">
        <v>14</v>
      </c>
      <c r="W35" s="706">
        <f t="shared" si="12"/>
        <v>100</v>
      </c>
      <c r="X35" s="1355"/>
      <c r="Y35" s="374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6"/>
      <c r="Q36" s="1352" t="str">
        <f t="shared" si="14"/>
        <v>宗地开发程度</v>
      </c>
      <c r="R36" s="701" t="s">
        <v>14</v>
      </c>
      <c r="S36" s="702">
        <f t="shared" si="10"/>
        <v>100</v>
      </c>
      <c r="T36" s="701" t="s">
        <v>14</v>
      </c>
      <c r="U36" s="702">
        <f t="shared" si="11"/>
        <v>100</v>
      </c>
      <c r="V36" s="701" t="s">
        <v>14</v>
      </c>
      <c r="W36" s="702">
        <f t="shared" si="12"/>
        <v>100</v>
      </c>
      <c r="X36" s="703"/>
      <c r="Y36" s="374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6" t="s">
        <v>1696</v>
      </c>
      <c r="Q37" s="1352" t="str">
        <f t="shared" si="14"/>
        <v>工程地质条件</v>
      </c>
      <c r="R37" s="705" t="s">
        <v>14</v>
      </c>
      <c r="S37" s="706">
        <f t="shared" si="10"/>
        <v>100</v>
      </c>
      <c r="T37" s="705" t="s">
        <v>14</v>
      </c>
      <c r="U37" s="706">
        <f t="shared" si="11"/>
        <v>100</v>
      </c>
      <c r="V37" s="705" t="s">
        <v>14</v>
      </c>
      <c r="W37" s="706">
        <f t="shared" si="12"/>
        <v>100</v>
      </c>
      <c r="X37" s="1355"/>
      <c r="Y37" s="374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6"/>
      <c r="Q38" s="1352">
        <f t="shared" si="14"/>
        <v>111</v>
      </c>
      <c r="R38" s="705" t="s">
        <v>14</v>
      </c>
      <c r="S38" s="706">
        <f t="shared" si="10"/>
        <v>100</v>
      </c>
      <c r="T38" s="705" t="s">
        <v>14</v>
      </c>
      <c r="U38" s="706">
        <f t="shared" si="11"/>
        <v>100</v>
      </c>
      <c r="V38" s="705" t="s">
        <v>14</v>
      </c>
      <c r="W38" s="706">
        <f t="shared" si="12"/>
        <v>100</v>
      </c>
      <c r="X38" s="1355"/>
      <c r="Y38" s="374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6"/>
      <c r="Q39" s="1352">
        <f t="shared" si="14"/>
        <v>111</v>
      </c>
      <c r="R39" s="705" t="s">
        <v>14</v>
      </c>
      <c r="S39" s="706">
        <f t="shared" si="10"/>
        <v>100</v>
      </c>
      <c r="T39" s="705" t="s">
        <v>14</v>
      </c>
      <c r="U39" s="706">
        <f t="shared" si="11"/>
        <v>100</v>
      </c>
      <c r="V39" s="705" t="s">
        <v>14</v>
      </c>
      <c r="W39" s="706">
        <f t="shared" si="12"/>
        <v>100</v>
      </c>
      <c r="X39" s="1355"/>
      <c r="Y39" s="374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6"/>
      <c r="Q40" s="1352">
        <f t="shared" si="14"/>
        <v>111</v>
      </c>
      <c r="R40" s="708" t="s">
        <v>14</v>
      </c>
      <c r="S40" s="709">
        <f t="shared" si="10"/>
        <v>100</v>
      </c>
      <c r="T40" s="708" t="s">
        <v>14</v>
      </c>
      <c r="U40" s="709">
        <f t="shared" si="11"/>
        <v>100</v>
      </c>
      <c r="V40" s="708" t="s">
        <v>14</v>
      </c>
      <c r="W40" s="709">
        <f t="shared" si="12"/>
        <v>100</v>
      </c>
      <c r="X40" s="710"/>
      <c r="Y40" s="374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9" t="str">
        <f>A41</f>
        <v>成交单价</v>
      </c>
      <c r="Q41" s="3739"/>
      <c r="R41" s="3734">
        <f>E41</f>
        <v>0</v>
      </c>
      <c r="S41" s="3734"/>
      <c r="T41" s="3734">
        <f>G41</f>
        <v>0</v>
      </c>
      <c r="U41" s="3734"/>
      <c r="V41" s="3734">
        <f>I41</f>
        <v>0</v>
      </c>
      <c r="W41" s="373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9" t="str">
        <f>A42</f>
        <v>比较价值（元/平方米）</v>
      </c>
      <c r="Q42" s="3739"/>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2"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21"/>
      <c r="H51" s="373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35.380000000000003</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70.760000000000005</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70.760000000000005</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7" t="s">
        <v>2607</v>
      </c>
      <c r="B20" s="3780" t="s">
        <v>2628</v>
      </c>
      <c r="C20" s="3103" t="s">
        <v>2439</v>
      </c>
      <c r="D20" s="3104"/>
      <c r="E20" s="3105">
        <v>1</v>
      </c>
      <c r="F20" s="3106" t="s">
        <v>2440</v>
      </c>
      <c r="G20" s="3106"/>
    </row>
    <row r="21" spans="1:13" ht="19.5" customHeight="1">
      <c r="A21" s="3788"/>
      <c r="B21" s="3781"/>
      <c r="C21" s="3107" t="s">
        <v>2441</v>
      </c>
      <c r="D21" s="3108"/>
      <c r="E21" s="3109">
        <v>1</v>
      </c>
      <c r="F21" s="3106" t="s">
        <v>2442</v>
      </c>
      <c r="G21" s="3106"/>
    </row>
    <row r="22" spans="1:13" ht="19.5" customHeight="1">
      <c r="A22" s="3788"/>
      <c r="B22" s="3781"/>
      <c r="C22" s="3107" t="s">
        <v>2443</v>
      </c>
      <c r="D22" s="3108"/>
      <c r="E22" s="3109">
        <v>0.9</v>
      </c>
      <c r="F22" s="3106" t="s">
        <v>2444</v>
      </c>
      <c r="G22" s="3106"/>
    </row>
    <row r="23" spans="1:13" ht="19.5" customHeight="1">
      <c r="A23" s="3788"/>
      <c r="B23" s="3781"/>
      <c r="C23" s="3107" t="s">
        <v>2445</v>
      </c>
      <c r="D23" s="3108"/>
      <c r="E23" s="3109">
        <v>0.9</v>
      </c>
      <c r="F23" s="3106" t="s">
        <v>2446</v>
      </c>
      <c r="G23" s="3106"/>
    </row>
    <row r="24" spans="1:13" ht="19.5" customHeight="1">
      <c r="A24" s="3788"/>
      <c r="B24" s="3781"/>
      <c r="C24" s="3107" t="s">
        <v>2447</v>
      </c>
      <c r="D24" s="3108"/>
      <c r="E24" s="3109">
        <v>0.8</v>
      </c>
      <c r="F24" s="3106" t="s">
        <v>2448</v>
      </c>
      <c r="G24" s="3106"/>
    </row>
    <row r="25" spans="1:13" ht="19.5" customHeight="1" thickBot="1">
      <c r="A25" s="3789"/>
      <c r="B25" s="3782"/>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3" t="s">
        <v>2631</v>
      </c>
      <c r="B27" s="3780" t="s">
        <v>2612</v>
      </c>
      <c r="C27" s="3103" t="s">
        <v>2452</v>
      </c>
      <c r="D27" s="3104"/>
      <c r="E27" s="3105">
        <v>1</v>
      </c>
      <c r="F27" s="3106" t="s">
        <v>2453</v>
      </c>
      <c r="G27" s="3106"/>
    </row>
    <row r="28" spans="1:13" ht="19.5" customHeight="1">
      <c r="A28" s="3784"/>
      <c r="B28" s="3781"/>
      <c r="C28" s="3107" t="s">
        <v>2454</v>
      </c>
      <c r="D28" s="3108"/>
      <c r="E28" s="3109">
        <v>1</v>
      </c>
      <c r="F28" s="3106" t="s">
        <v>2455</v>
      </c>
      <c r="G28" s="3106"/>
    </row>
    <row r="29" spans="1:13" ht="19.5" customHeight="1">
      <c r="A29" s="3784"/>
      <c r="B29" s="3781"/>
      <c r="C29" s="3107" t="s">
        <v>2456</v>
      </c>
      <c r="D29" s="3108"/>
      <c r="E29" s="3109">
        <v>0.8</v>
      </c>
      <c r="F29" s="3106" t="s">
        <v>2457</v>
      </c>
      <c r="G29" s="3106"/>
    </row>
    <row r="30" spans="1:13" ht="19.5" customHeight="1">
      <c r="A30" s="3784"/>
      <c r="B30" s="3781"/>
      <c r="C30" s="3107" t="s">
        <v>2458</v>
      </c>
      <c r="D30" s="3108"/>
      <c r="E30" s="3109">
        <v>0.8</v>
      </c>
      <c r="F30" s="3106" t="s">
        <v>2459</v>
      </c>
      <c r="G30" s="3106"/>
    </row>
    <row r="31" spans="1:13" ht="19.5" customHeight="1">
      <c r="A31" s="3784"/>
      <c r="B31" s="3781"/>
      <c r="C31" s="3107" t="s">
        <v>2460</v>
      </c>
      <c r="D31" s="3108"/>
      <c r="E31" s="3109">
        <v>0.8</v>
      </c>
      <c r="F31" s="3106" t="s">
        <v>2461</v>
      </c>
      <c r="G31" s="3106"/>
    </row>
    <row r="32" spans="1:13" ht="19.5" customHeight="1">
      <c r="A32" s="3784"/>
      <c r="B32" s="3781"/>
      <c r="C32" s="3107" t="s">
        <v>2462</v>
      </c>
      <c r="D32" s="3108"/>
      <c r="E32" s="3109">
        <v>0.7</v>
      </c>
      <c r="F32" s="3106" t="s">
        <v>2463</v>
      </c>
      <c r="G32" s="3106"/>
    </row>
    <row r="33" spans="1:7" ht="19.5" customHeight="1">
      <c r="A33" s="3784"/>
      <c r="B33" s="3781"/>
      <c r="C33" s="3107" t="s">
        <v>2464</v>
      </c>
      <c r="D33" s="3108"/>
      <c r="E33" s="3109">
        <v>0.8</v>
      </c>
      <c r="F33" s="3106" t="s">
        <v>2465</v>
      </c>
      <c r="G33" s="3106"/>
    </row>
    <row r="34" spans="1:7" ht="19.5" customHeight="1">
      <c r="A34" s="3784"/>
      <c r="B34" s="3781"/>
      <c r="C34" s="3107" t="s">
        <v>2466</v>
      </c>
      <c r="D34" s="3108"/>
      <c r="E34" s="3109">
        <v>0.6</v>
      </c>
      <c r="F34" s="3106" t="s">
        <v>2467</v>
      </c>
      <c r="G34" s="3106"/>
    </row>
    <row r="35" spans="1:7" ht="19.5" customHeight="1">
      <c r="A35" s="3784"/>
      <c r="B35" s="3781"/>
      <c r="C35" s="3107" t="s">
        <v>2468</v>
      </c>
      <c r="D35" s="3108"/>
      <c r="E35" s="3109">
        <v>0.2</v>
      </c>
      <c r="F35" s="3106" t="s">
        <v>2469</v>
      </c>
      <c r="G35" s="3106"/>
    </row>
    <row r="36" spans="1:7" ht="19.5" customHeight="1">
      <c r="A36" s="3784"/>
      <c r="B36" s="3781"/>
      <c r="C36" s="3107" t="s">
        <v>2470</v>
      </c>
      <c r="D36" s="3108"/>
      <c r="E36" s="3109">
        <v>0.2</v>
      </c>
      <c r="F36" s="3106" t="s">
        <v>2471</v>
      </c>
      <c r="G36" s="3106"/>
    </row>
    <row r="37" spans="1:7" ht="19.5" customHeight="1">
      <c r="A37" s="3784"/>
      <c r="B37" s="3786" t="s">
        <v>2632</v>
      </c>
      <c r="C37" s="3107" t="s">
        <v>2472</v>
      </c>
      <c r="D37" s="3108"/>
      <c r="E37" s="3109">
        <v>0.6</v>
      </c>
      <c r="F37" s="3106" t="s">
        <v>2473</v>
      </c>
      <c r="G37" s="3106"/>
    </row>
    <row r="38" spans="1:7" ht="19.5" customHeight="1">
      <c r="A38" s="3784"/>
      <c r="B38" s="3781"/>
      <c r="C38" s="3107" t="s">
        <v>2474</v>
      </c>
      <c r="D38" s="3108"/>
      <c r="E38" s="3109">
        <v>0.6</v>
      </c>
      <c r="F38" s="3106" t="s">
        <v>2475</v>
      </c>
      <c r="G38" s="3106"/>
    </row>
    <row r="39" spans="1:7" ht="19.5" customHeight="1" thickBot="1">
      <c r="A39" s="3785"/>
      <c r="B39" s="3782"/>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7" t="s">
        <v>2610</v>
      </c>
      <c r="B41" s="3780" t="s">
        <v>2634</v>
      </c>
      <c r="C41" s="3103" t="s">
        <v>2479</v>
      </c>
      <c r="D41" s="3104"/>
      <c r="E41" s="3105">
        <v>1</v>
      </c>
      <c r="F41" s="3106" t="s">
        <v>2480</v>
      </c>
      <c r="G41" s="3106"/>
    </row>
    <row r="42" spans="1:7" ht="19.5" customHeight="1">
      <c r="A42" s="3788"/>
      <c r="B42" s="3781"/>
      <c r="C42" s="3107" t="s">
        <v>2481</v>
      </c>
      <c r="D42" s="3108"/>
      <c r="E42" s="3109">
        <v>1</v>
      </c>
      <c r="F42" s="3106" t="s">
        <v>2482</v>
      </c>
      <c r="G42" s="3106"/>
    </row>
    <row r="43" spans="1:7" ht="19.5" customHeight="1">
      <c r="A43" s="3788"/>
      <c r="B43" s="3790"/>
      <c r="C43" s="3107" t="s">
        <v>2483</v>
      </c>
      <c r="D43" s="3108"/>
      <c r="E43" s="3109">
        <v>1.5</v>
      </c>
      <c r="F43" s="3106" t="s">
        <v>2484</v>
      </c>
      <c r="G43" s="3106"/>
    </row>
    <row r="44" spans="1:7" ht="19.5" customHeight="1">
      <c r="A44" s="3788"/>
      <c r="B44" s="3118" t="s">
        <v>2635</v>
      </c>
      <c r="C44" s="3107" t="s">
        <v>2636</v>
      </c>
      <c r="D44" s="3108"/>
      <c r="E44" s="3109">
        <v>2</v>
      </c>
      <c r="F44" s="3106" t="s">
        <v>2485</v>
      </c>
      <c r="G44" s="3106"/>
    </row>
    <row r="45" spans="1:7" ht="19.5" customHeight="1">
      <c r="A45" s="3788"/>
      <c r="B45" s="3786" t="s">
        <v>2637</v>
      </c>
      <c r="C45" s="3107" t="s">
        <v>2486</v>
      </c>
      <c r="D45" s="3108"/>
      <c r="E45" s="3109">
        <v>1</v>
      </c>
      <c r="F45" s="3106" t="s">
        <v>2487</v>
      </c>
      <c r="G45" s="3106"/>
    </row>
    <row r="46" spans="1:7" ht="19.5" customHeight="1">
      <c r="A46" s="3788"/>
      <c r="B46" s="3781"/>
      <c r="C46" s="3107" t="s">
        <v>2488</v>
      </c>
      <c r="D46" s="3108"/>
      <c r="E46" s="3109">
        <v>1</v>
      </c>
      <c r="F46" s="3106" t="s">
        <v>2489</v>
      </c>
      <c r="G46" s="3106"/>
    </row>
    <row r="47" spans="1:7" ht="19.5" customHeight="1">
      <c r="A47" s="3788"/>
      <c r="B47" s="3781"/>
      <c r="C47" s="3107" t="s">
        <v>2490</v>
      </c>
      <c r="D47" s="3108"/>
      <c r="E47" s="3109">
        <v>1</v>
      </c>
      <c r="F47" s="3106" t="s">
        <v>2491</v>
      </c>
      <c r="G47" s="3106"/>
    </row>
    <row r="48" spans="1:7" ht="19.5" customHeight="1">
      <c r="A48" s="3788"/>
      <c r="B48" s="3781"/>
      <c r="C48" s="3107" t="s">
        <v>2492</v>
      </c>
      <c r="D48" s="3108"/>
      <c r="E48" s="3109">
        <v>1</v>
      </c>
      <c r="F48" s="3106" t="s">
        <v>2493</v>
      </c>
      <c r="G48" s="3106"/>
    </row>
    <row r="49" spans="1:7" ht="19.5" customHeight="1">
      <c r="A49" s="3788"/>
      <c r="B49" s="3781"/>
      <c r="C49" s="3107" t="s">
        <v>2494</v>
      </c>
      <c r="D49" s="3108"/>
      <c r="E49" s="3109">
        <v>1</v>
      </c>
      <c r="F49" s="3106" t="s">
        <v>2495</v>
      </c>
      <c r="G49" s="3106"/>
    </row>
    <row r="50" spans="1:7" ht="19.5" customHeight="1">
      <c r="A50" s="3788"/>
      <c r="B50" s="3781"/>
      <c r="C50" s="3107" t="s">
        <v>2496</v>
      </c>
      <c r="D50" s="3108"/>
      <c r="E50" s="3109">
        <v>1</v>
      </c>
      <c r="F50" s="3106" t="s">
        <v>2497</v>
      </c>
      <c r="G50" s="3106"/>
    </row>
    <row r="51" spans="1:7" ht="19.5" customHeight="1" thickBot="1">
      <c r="A51" s="3789"/>
      <c r="B51" s="3782"/>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6" t="s">
        <v>2651</v>
      </c>
      <c r="C73" s="3092" t="s">
        <v>2652</v>
      </c>
      <c r="D73" s="3092" t="s">
        <v>2653</v>
      </c>
      <c r="E73" s="3118">
        <v>0.2</v>
      </c>
      <c r="F73" s="3118">
        <v>25</v>
      </c>
    </row>
    <row r="74" spans="1:7" ht="24">
      <c r="A74" s="3118">
        <v>2</v>
      </c>
      <c r="B74" s="3781"/>
      <c r="C74" s="3092" t="s">
        <v>2654</v>
      </c>
      <c r="D74" s="3092" t="s">
        <v>2655</v>
      </c>
      <c r="E74" s="3118">
        <v>0.2</v>
      </c>
      <c r="F74" s="3118">
        <v>25</v>
      </c>
    </row>
    <row r="75" spans="1:7" ht="24">
      <c r="A75" s="3118">
        <v>3</v>
      </c>
      <c r="B75" s="3781"/>
      <c r="C75" s="3092" t="s">
        <v>2656</v>
      </c>
      <c r="D75" s="3092" t="s">
        <v>2657</v>
      </c>
      <c r="E75" s="3118">
        <v>0.2</v>
      </c>
      <c r="F75" s="3118">
        <v>25</v>
      </c>
    </row>
    <row r="76" spans="1:7" ht="14.4">
      <c r="A76" s="3118">
        <v>4</v>
      </c>
      <c r="B76" s="3781"/>
      <c r="C76" s="3092" t="s">
        <v>2658</v>
      </c>
      <c r="D76" s="3092" t="s">
        <v>2659</v>
      </c>
      <c r="E76" s="3118">
        <v>0.15</v>
      </c>
      <c r="F76" s="3118">
        <v>20</v>
      </c>
    </row>
    <row r="77" spans="1:7" ht="24">
      <c r="A77" s="3118">
        <v>5</v>
      </c>
      <c r="B77" s="3781"/>
      <c r="C77" s="3092" t="s">
        <v>2660</v>
      </c>
      <c r="D77" s="3092" t="s">
        <v>2661</v>
      </c>
      <c r="E77" s="3118">
        <v>0.15</v>
      </c>
      <c r="F77" s="3118">
        <v>20</v>
      </c>
    </row>
    <row r="78" spans="1:7" ht="24">
      <c r="A78" s="3118">
        <v>6</v>
      </c>
      <c r="B78" s="3781"/>
      <c r="C78" s="3092" t="s">
        <v>2662</v>
      </c>
      <c r="D78" s="3092" t="s">
        <v>2663</v>
      </c>
      <c r="E78" s="3118">
        <v>0.15</v>
      </c>
      <c r="F78" s="3118">
        <v>20</v>
      </c>
    </row>
    <row r="79" spans="1:7" ht="24">
      <c r="A79" s="3118">
        <v>7</v>
      </c>
      <c r="B79" s="3781"/>
      <c r="C79" s="3092" t="s">
        <v>2664</v>
      </c>
      <c r="D79" s="3092" t="s">
        <v>2665</v>
      </c>
      <c r="E79" s="3118">
        <v>0.15</v>
      </c>
      <c r="F79" s="3118">
        <v>20</v>
      </c>
    </row>
    <row r="80" spans="1:7" ht="24">
      <c r="A80" s="3118">
        <v>8</v>
      </c>
      <c r="B80" s="3781"/>
      <c r="C80" s="3092" t="s">
        <v>2666</v>
      </c>
      <c r="D80" s="3092" t="s">
        <v>2667</v>
      </c>
      <c r="E80" s="3118">
        <v>0.1</v>
      </c>
      <c r="F80" s="3118">
        <v>15</v>
      </c>
    </row>
    <row r="81" spans="1:6" ht="24">
      <c r="A81" s="3118">
        <v>9</v>
      </c>
      <c r="B81" s="3781"/>
      <c r="C81" s="3092" t="s">
        <v>2668</v>
      </c>
      <c r="D81" s="3092" t="s">
        <v>2669</v>
      </c>
      <c r="E81" s="3118">
        <v>0.1</v>
      </c>
      <c r="F81" s="3118">
        <v>15</v>
      </c>
    </row>
    <row r="82" spans="1:6" ht="24">
      <c r="A82" s="3118">
        <v>10</v>
      </c>
      <c r="B82" s="3781"/>
      <c r="C82" s="3092" t="s">
        <v>2670</v>
      </c>
      <c r="D82" s="3092" t="s">
        <v>2671</v>
      </c>
      <c r="E82" s="3118">
        <v>0.1</v>
      </c>
      <c r="F82" s="3118">
        <v>15</v>
      </c>
    </row>
    <row r="83" spans="1:6" ht="24">
      <c r="A83" s="3118">
        <v>11</v>
      </c>
      <c r="B83" s="3781"/>
      <c r="C83" s="3092" t="s">
        <v>2672</v>
      </c>
      <c r="D83" s="3092" t="s">
        <v>2673</v>
      </c>
      <c r="E83" s="3118">
        <v>0.1</v>
      </c>
      <c r="F83" s="3118">
        <v>15</v>
      </c>
    </row>
    <row r="84" spans="1:6" ht="24">
      <c r="A84" s="3118">
        <v>12</v>
      </c>
      <c r="B84" s="3781"/>
      <c r="C84" s="3092" t="s">
        <v>2674</v>
      </c>
      <c r="D84" s="3092" t="s">
        <v>2675</v>
      </c>
      <c r="E84" s="3118">
        <v>0.1</v>
      </c>
      <c r="F84" s="3118">
        <v>15</v>
      </c>
    </row>
    <row r="85" spans="1:6" ht="24">
      <c r="A85" s="3118">
        <v>13</v>
      </c>
      <c r="B85" s="3781"/>
      <c r="C85" s="3092" t="s">
        <v>2676</v>
      </c>
      <c r="D85" s="3092" t="s">
        <v>2677</v>
      </c>
      <c r="E85" s="3118">
        <v>0.1</v>
      </c>
      <c r="F85" s="3118">
        <v>15</v>
      </c>
    </row>
    <row r="86" spans="1:6" ht="24">
      <c r="A86" s="3118">
        <v>14</v>
      </c>
      <c r="B86" s="3781"/>
      <c r="C86" s="3092" t="s">
        <v>2678</v>
      </c>
      <c r="D86" s="3092" t="s">
        <v>2679</v>
      </c>
      <c r="E86" s="3118">
        <v>0.1</v>
      </c>
      <c r="F86" s="3118">
        <v>15</v>
      </c>
    </row>
    <row r="87" spans="1:6" ht="24">
      <c r="A87" s="3118">
        <v>15</v>
      </c>
      <c r="B87" s="3781"/>
      <c r="C87" s="3092" t="s">
        <v>2680</v>
      </c>
      <c r="D87" s="3092" t="s">
        <v>2681</v>
      </c>
      <c r="E87" s="3118">
        <v>0.1</v>
      </c>
      <c r="F87" s="3118">
        <v>15</v>
      </c>
    </row>
    <row r="88" spans="1:6" ht="24">
      <c r="A88" s="3118">
        <v>16</v>
      </c>
      <c r="B88" s="3781"/>
      <c r="C88" s="3092" t="s">
        <v>2682</v>
      </c>
      <c r="D88" s="3092" t="s">
        <v>2683</v>
      </c>
      <c r="E88" s="3118">
        <v>0.1</v>
      </c>
      <c r="F88" s="3118">
        <v>15</v>
      </c>
    </row>
    <row r="89" spans="1:6" ht="24">
      <c r="A89" s="3118">
        <v>17</v>
      </c>
      <c r="B89" s="3790"/>
      <c r="C89" s="3092" t="s">
        <v>2684</v>
      </c>
      <c r="D89" s="3092" t="s">
        <v>2685</v>
      </c>
      <c r="E89" s="3118">
        <v>0.1</v>
      </c>
      <c r="F89" s="3118">
        <v>15</v>
      </c>
    </row>
    <row r="90" spans="1:6" ht="14.4">
      <c r="A90" s="3118">
        <v>18</v>
      </c>
      <c r="B90" s="3786" t="s">
        <v>2686</v>
      </c>
      <c r="C90" s="3092" t="s">
        <v>2687</v>
      </c>
      <c r="D90" s="3092" t="s">
        <v>2688</v>
      </c>
      <c r="E90" s="3118">
        <v>0.2</v>
      </c>
      <c r="F90" s="3118">
        <v>25</v>
      </c>
    </row>
    <row r="91" spans="1:6" ht="24">
      <c r="A91" s="3118">
        <v>19</v>
      </c>
      <c r="B91" s="3781"/>
      <c r="C91" s="3092" t="s">
        <v>2689</v>
      </c>
      <c r="D91" s="3092" t="s">
        <v>2690</v>
      </c>
      <c r="E91" s="3118">
        <v>0.2</v>
      </c>
      <c r="F91" s="3118">
        <v>25</v>
      </c>
    </row>
    <row r="92" spans="1:6" ht="14.4">
      <c r="A92" s="3118">
        <v>20</v>
      </c>
      <c r="B92" s="3781"/>
      <c r="C92" s="3092" t="s">
        <v>2691</v>
      </c>
      <c r="D92" s="3092" t="s">
        <v>2692</v>
      </c>
      <c r="E92" s="3118">
        <v>0.15</v>
      </c>
      <c r="F92" s="3118">
        <v>20</v>
      </c>
    </row>
    <row r="93" spans="1:6" ht="24">
      <c r="A93" s="3118">
        <v>21</v>
      </c>
      <c r="B93" s="3781"/>
      <c r="C93" s="3092" t="s">
        <v>2693</v>
      </c>
      <c r="D93" s="3092" t="s">
        <v>2694</v>
      </c>
      <c r="E93" s="3118">
        <v>0.15</v>
      </c>
      <c r="F93" s="3118">
        <v>20</v>
      </c>
    </row>
    <row r="94" spans="1:6" ht="24">
      <c r="A94" s="3118">
        <v>22</v>
      </c>
      <c r="B94" s="3781"/>
      <c r="C94" s="3092" t="s">
        <v>2695</v>
      </c>
      <c r="D94" s="3092" t="s">
        <v>2696</v>
      </c>
      <c r="E94" s="3118">
        <v>0.15</v>
      </c>
      <c r="F94" s="3118">
        <v>20</v>
      </c>
    </row>
    <row r="95" spans="1:6" ht="36">
      <c r="A95" s="3118">
        <v>23</v>
      </c>
      <c r="B95" s="3781"/>
      <c r="C95" s="3092" t="s">
        <v>2697</v>
      </c>
      <c r="D95" s="3092" t="s">
        <v>2698</v>
      </c>
      <c r="E95" s="3118">
        <v>0.15</v>
      </c>
      <c r="F95" s="3118">
        <v>20</v>
      </c>
    </row>
    <row r="96" spans="1:6" ht="24">
      <c r="A96" s="3118">
        <v>24</v>
      </c>
      <c r="B96" s="3781"/>
      <c r="C96" s="3092" t="s">
        <v>2699</v>
      </c>
      <c r="D96" s="3092" t="s">
        <v>2700</v>
      </c>
      <c r="E96" s="3118">
        <v>0.1</v>
      </c>
      <c r="F96" s="3118">
        <v>15</v>
      </c>
    </row>
    <row r="97" spans="1:6" ht="24">
      <c r="A97" s="3118">
        <v>25</v>
      </c>
      <c r="B97" s="3781"/>
      <c r="C97" s="3092" t="s">
        <v>2701</v>
      </c>
      <c r="D97" s="3092" t="s">
        <v>2702</v>
      </c>
      <c r="E97" s="3118">
        <v>0.1</v>
      </c>
      <c r="F97" s="3118">
        <v>15</v>
      </c>
    </row>
    <row r="98" spans="1:6" ht="24">
      <c r="A98" s="3118">
        <v>26</v>
      </c>
      <c r="B98" s="3781"/>
      <c r="C98" s="3092" t="s">
        <v>2703</v>
      </c>
      <c r="D98" s="3092" t="s">
        <v>2704</v>
      </c>
      <c r="E98" s="3118">
        <v>0.1</v>
      </c>
      <c r="F98" s="3118">
        <v>15</v>
      </c>
    </row>
    <row r="99" spans="1:6" ht="24">
      <c r="A99" s="3118">
        <v>27</v>
      </c>
      <c r="B99" s="3781"/>
      <c r="C99" s="3092" t="s">
        <v>2705</v>
      </c>
      <c r="D99" s="3092" t="s">
        <v>2706</v>
      </c>
      <c r="E99" s="3118">
        <v>0.1</v>
      </c>
      <c r="F99" s="3118">
        <v>15</v>
      </c>
    </row>
    <row r="100" spans="1:6" ht="24">
      <c r="A100" s="3118">
        <v>28</v>
      </c>
      <c r="B100" s="3781"/>
      <c r="C100" s="3092" t="s">
        <v>2707</v>
      </c>
      <c r="D100" s="3092" t="s">
        <v>2708</v>
      </c>
      <c r="E100" s="3118">
        <v>0.1</v>
      </c>
      <c r="F100" s="3118">
        <v>15</v>
      </c>
    </row>
    <row r="101" spans="1:6" ht="24">
      <c r="A101" s="3118">
        <v>29</v>
      </c>
      <c r="B101" s="3781"/>
      <c r="C101" s="3092" t="s">
        <v>2709</v>
      </c>
      <c r="D101" s="3092" t="s">
        <v>2710</v>
      </c>
      <c r="E101" s="3118">
        <v>0.1</v>
      </c>
      <c r="F101" s="3118">
        <v>15</v>
      </c>
    </row>
    <row r="102" spans="1:6" ht="24">
      <c r="A102" s="3118">
        <v>30</v>
      </c>
      <c r="B102" s="3781"/>
      <c r="C102" s="3092" t="s">
        <v>2711</v>
      </c>
      <c r="D102" s="3092" t="s">
        <v>2712</v>
      </c>
      <c r="E102" s="3118">
        <v>0.1</v>
      </c>
      <c r="F102" s="3118">
        <v>15</v>
      </c>
    </row>
    <row r="103" spans="1:6" ht="24">
      <c r="A103" s="3118">
        <v>31</v>
      </c>
      <c r="B103" s="3781"/>
      <c r="C103" s="3092" t="s">
        <v>2713</v>
      </c>
      <c r="D103" s="3092" t="s">
        <v>2714</v>
      </c>
      <c r="E103" s="3118">
        <v>0.1</v>
      </c>
      <c r="F103" s="3118">
        <v>15</v>
      </c>
    </row>
    <row r="104" spans="1:6" ht="24">
      <c r="A104" s="3118">
        <v>32</v>
      </c>
      <c r="B104" s="3781"/>
      <c r="C104" s="3092" t="s">
        <v>2715</v>
      </c>
      <c r="D104" s="3092" t="s">
        <v>2716</v>
      </c>
      <c r="E104" s="3118">
        <v>0.1</v>
      </c>
      <c r="F104" s="3118">
        <v>15</v>
      </c>
    </row>
    <row r="105" spans="1:6" ht="24">
      <c r="A105" s="3118">
        <v>33</v>
      </c>
      <c r="B105" s="3781"/>
      <c r="C105" s="3092" t="s">
        <v>2717</v>
      </c>
      <c r="D105" s="3092" t="s">
        <v>2718</v>
      </c>
      <c r="E105" s="3118">
        <v>0.1</v>
      </c>
      <c r="F105" s="3118">
        <v>15</v>
      </c>
    </row>
    <row r="106" spans="1:6" ht="24">
      <c r="A106" s="3118">
        <v>34</v>
      </c>
      <c r="B106" s="3790"/>
      <c r="C106" s="3092" t="s">
        <v>2719</v>
      </c>
      <c r="D106" s="3092" t="s">
        <v>2720</v>
      </c>
      <c r="E106" s="3118">
        <v>0.1</v>
      </c>
      <c r="F106" s="3118">
        <v>15</v>
      </c>
    </row>
    <row r="107" spans="1:6" ht="36">
      <c r="A107" s="3118">
        <v>35</v>
      </c>
      <c r="B107" s="3786" t="s">
        <v>2721</v>
      </c>
      <c r="C107" s="3118" t="s">
        <v>2722</v>
      </c>
      <c r="D107" s="3092" t="s">
        <v>2723</v>
      </c>
      <c r="E107" s="3118">
        <v>0.15</v>
      </c>
      <c r="F107" s="3118">
        <v>20</v>
      </c>
    </row>
    <row r="108" spans="1:6" ht="24">
      <c r="A108" s="3118">
        <v>36</v>
      </c>
      <c r="B108" s="3781"/>
      <c r="C108" s="3118" t="s">
        <v>2724</v>
      </c>
      <c r="D108" s="3092" t="s">
        <v>2725</v>
      </c>
      <c r="E108" s="3118">
        <v>0.15</v>
      </c>
      <c r="F108" s="3118">
        <v>20</v>
      </c>
    </row>
    <row r="109" spans="1:6" ht="24">
      <c r="A109" s="3118">
        <v>37</v>
      </c>
      <c r="B109" s="3781"/>
      <c r="C109" s="3118" t="s">
        <v>2726</v>
      </c>
      <c r="D109" s="3092" t="s">
        <v>2727</v>
      </c>
      <c r="E109" s="3118">
        <v>0.15</v>
      </c>
      <c r="F109" s="3118">
        <v>20</v>
      </c>
    </row>
    <row r="110" spans="1:6" ht="24">
      <c r="A110" s="3118">
        <v>38</v>
      </c>
      <c r="B110" s="3781"/>
      <c r="C110" s="3118" t="s">
        <v>2728</v>
      </c>
      <c r="D110" s="3092" t="s">
        <v>2729</v>
      </c>
      <c r="E110" s="3118">
        <v>0.1</v>
      </c>
      <c r="F110" s="3118">
        <v>15</v>
      </c>
    </row>
    <row r="111" spans="1:6" ht="24">
      <c r="A111" s="3118">
        <v>39</v>
      </c>
      <c r="B111" s="3781"/>
      <c r="C111" s="3118" t="s">
        <v>2730</v>
      </c>
      <c r="D111" s="3092" t="s">
        <v>2731</v>
      </c>
      <c r="E111" s="3118">
        <v>0.1</v>
      </c>
      <c r="F111" s="3118">
        <v>15</v>
      </c>
    </row>
    <row r="112" spans="1:6" ht="24">
      <c r="A112" s="3118">
        <v>40</v>
      </c>
      <c r="B112" s="3790"/>
      <c r="C112" s="3118" t="s">
        <v>2732</v>
      </c>
      <c r="D112" s="3092" t="s">
        <v>2733</v>
      </c>
      <c r="E112" s="3118">
        <v>0.1</v>
      </c>
      <c r="F112" s="3118">
        <v>15</v>
      </c>
    </row>
    <row r="113" spans="1:6" ht="24">
      <c r="A113" s="3118">
        <v>41</v>
      </c>
      <c r="B113" s="3791" t="s">
        <v>2734</v>
      </c>
      <c r="C113" s="3118" t="s">
        <v>2735</v>
      </c>
      <c r="D113" s="3092" t="s">
        <v>2736</v>
      </c>
      <c r="E113" s="3118">
        <v>0.1</v>
      </c>
      <c r="F113" s="3118">
        <v>15</v>
      </c>
    </row>
    <row r="114" spans="1:6" ht="24">
      <c r="A114" s="3118">
        <v>42</v>
      </c>
      <c r="B114" s="3791"/>
      <c r="C114" s="3118" t="s">
        <v>2737</v>
      </c>
      <c r="D114" s="3092" t="s">
        <v>2738</v>
      </c>
      <c r="E114" s="3118">
        <v>0.1</v>
      </c>
      <c r="F114" s="3118">
        <v>15</v>
      </c>
    </row>
    <row r="115" spans="1:6" ht="24">
      <c r="A115" s="3118">
        <v>43</v>
      </c>
      <c r="B115" s="3791"/>
      <c r="C115" s="3118" t="s">
        <v>2739</v>
      </c>
      <c r="D115" s="3092" t="s">
        <v>2740</v>
      </c>
      <c r="E115" s="3118">
        <v>0.1</v>
      </c>
      <c r="F115" s="3118">
        <v>15</v>
      </c>
    </row>
    <row r="116" spans="1:6" ht="24">
      <c r="A116" s="3118">
        <v>44</v>
      </c>
      <c r="B116" s="3786" t="s">
        <v>2741</v>
      </c>
      <c r="C116" s="3118" t="s">
        <v>2742</v>
      </c>
      <c r="D116" s="3092" t="s">
        <v>2743</v>
      </c>
      <c r="E116" s="3118">
        <v>0.1</v>
      </c>
      <c r="F116" s="3118">
        <v>15</v>
      </c>
    </row>
    <row r="117" spans="1:6" ht="24">
      <c r="A117" s="3118">
        <v>45</v>
      </c>
      <c r="B117" s="3790"/>
      <c r="C117" s="3092" t="s">
        <v>2744</v>
      </c>
      <c r="D117" s="3092" t="s">
        <v>2745</v>
      </c>
      <c r="E117" s="3118">
        <v>0.1</v>
      </c>
      <c r="F117" s="3118">
        <v>15</v>
      </c>
    </row>
    <row r="118" spans="1:6" ht="24">
      <c r="A118" s="3118">
        <v>46</v>
      </c>
      <c r="B118" s="3786" t="s">
        <v>2746</v>
      </c>
      <c r="C118" s="3118" t="s">
        <v>2747</v>
      </c>
      <c r="D118" s="3092" t="s">
        <v>2748</v>
      </c>
      <c r="E118" s="3118">
        <v>0.1</v>
      </c>
      <c r="F118" s="3118">
        <v>15</v>
      </c>
    </row>
    <row r="119" spans="1:6" ht="24">
      <c r="A119" s="3118">
        <v>47</v>
      </c>
      <c r="B119" s="3790"/>
      <c r="C119" s="3118" t="s">
        <v>2749</v>
      </c>
      <c r="D119" s="3092" t="s">
        <v>2750</v>
      </c>
      <c r="E119" s="3118">
        <v>0.1</v>
      </c>
      <c r="F119" s="3118">
        <v>15</v>
      </c>
    </row>
    <row r="120" spans="1:6" ht="24">
      <c r="A120" s="3118">
        <v>48</v>
      </c>
      <c r="B120" s="3786" t="s">
        <v>2751</v>
      </c>
      <c r="C120" s="3118" t="s">
        <v>2752</v>
      </c>
      <c r="D120" s="3092" t="s">
        <v>2753</v>
      </c>
      <c r="E120" s="3118">
        <v>0.1</v>
      </c>
      <c r="F120" s="3118">
        <v>15</v>
      </c>
    </row>
    <row r="121" spans="1:6" ht="24">
      <c r="A121" s="3118">
        <v>49</v>
      </c>
      <c r="B121" s="3790"/>
      <c r="C121" s="3118" t="s">
        <v>2754</v>
      </c>
      <c r="D121" s="3092" t="s">
        <v>2755</v>
      </c>
      <c r="E121" s="3118">
        <v>0.1</v>
      </c>
      <c r="F121" s="3118">
        <v>15</v>
      </c>
    </row>
    <row r="122" spans="1:6" ht="24">
      <c r="A122" s="3118">
        <v>50</v>
      </c>
      <c r="B122" s="3791" t="s">
        <v>2756</v>
      </c>
      <c r="C122" s="3118" t="s">
        <v>2757</v>
      </c>
      <c r="D122" s="3092" t="s">
        <v>2758</v>
      </c>
      <c r="E122" s="3118">
        <v>0.1</v>
      </c>
      <c r="F122" s="3118">
        <v>15</v>
      </c>
    </row>
    <row r="123" spans="1:6" ht="24">
      <c r="A123" s="3118">
        <v>51</v>
      </c>
      <c r="B123" s="3791"/>
      <c r="C123" s="3118" t="s">
        <v>2759</v>
      </c>
      <c r="D123" s="3092" t="s">
        <v>2760</v>
      </c>
      <c r="E123" s="3118">
        <v>0.1</v>
      </c>
      <c r="F123" s="3118">
        <v>15</v>
      </c>
    </row>
    <row r="124" spans="1:6" ht="24">
      <c r="A124" s="3118">
        <v>52</v>
      </c>
      <c r="B124" s="3791" t="s">
        <v>2761</v>
      </c>
      <c r="C124" s="3118" t="s">
        <v>2762</v>
      </c>
      <c r="D124" s="3092" t="s">
        <v>2763</v>
      </c>
      <c r="E124" s="3118">
        <v>0.1</v>
      </c>
      <c r="F124" s="3118">
        <v>15</v>
      </c>
    </row>
    <row r="125" spans="1:6" ht="24">
      <c r="A125" s="3118">
        <v>53</v>
      </c>
      <c r="B125" s="3791"/>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1" t="s">
        <v>2769</v>
      </c>
      <c r="C127" s="3118" t="s">
        <v>2770</v>
      </c>
      <c r="D127" s="3092" t="s">
        <v>2771</v>
      </c>
      <c r="E127" s="3118">
        <v>0.1</v>
      </c>
      <c r="F127" s="3118">
        <v>15</v>
      </c>
    </row>
    <row r="128" spans="1:6" ht="24">
      <c r="A128" s="3118">
        <v>56</v>
      </c>
      <c r="B128" s="3791"/>
      <c r="C128" s="3118" t="s">
        <v>2772</v>
      </c>
      <c r="D128" s="3092" t="s">
        <v>2773</v>
      </c>
      <c r="E128" s="3118">
        <v>0.1</v>
      </c>
      <c r="F128" s="3118">
        <v>15</v>
      </c>
    </row>
    <row r="129" spans="1:6" ht="24">
      <c r="A129" s="3118">
        <v>57</v>
      </c>
      <c r="B129" s="3791"/>
      <c r="C129" s="3118" t="s">
        <v>2774</v>
      </c>
      <c r="D129" s="3092" t="s">
        <v>2775</v>
      </c>
      <c r="E129" s="3118">
        <v>0.1</v>
      </c>
      <c r="F129" s="3118">
        <v>15</v>
      </c>
    </row>
    <row r="130" spans="1:6" ht="24">
      <c r="A130" s="3118">
        <v>58</v>
      </c>
      <c r="B130" s="3791" t="s">
        <v>2776</v>
      </c>
      <c r="C130" s="3118" t="s">
        <v>2777</v>
      </c>
      <c r="D130" s="3092" t="s">
        <v>2778</v>
      </c>
      <c r="E130" s="3118">
        <v>0.1</v>
      </c>
      <c r="F130" s="3118">
        <v>15</v>
      </c>
    </row>
    <row r="131" spans="1:6" ht="24">
      <c r="A131" s="3118">
        <v>59</v>
      </c>
      <c r="B131" s="3791"/>
      <c r="C131" s="3118" t="s">
        <v>2779</v>
      </c>
      <c r="D131" s="3092" t="s">
        <v>2780</v>
      </c>
      <c r="E131" s="3118">
        <v>0.1</v>
      </c>
      <c r="F131" s="3118">
        <v>15</v>
      </c>
    </row>
    <row r="132" spans="1:6" ht="24">
      <c r="A132" s="3118">
        <v>60</v>
      </c>
      <c r="B132" s="3786" t="s">
        <v>2781</v>
      </c>
      <c r="C132" s="3118" t="s">
        <v>2782</v>
      </c>
      <c r="D132" s="3092" t="s">
        <v>2783</v>
      </c>
      <c r="E132" s="3118">
        <v>0.1</v>
      </c>
      <c r="F132" s="3118">
        <v>15</v>
      </c>
    </row>
    <row r="133" spans="1:6" ht="24">
      <c r="A133" s="3118">
        <v>61</v>
      </c>
      <c r="B133" s="3790"/>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1" t="s">
        <v>2789</v>
      </c>
      <c r="C135" s="3118" t="s">
        <v>2790</v>
      </c>
      <c r="D135" s="3092" t="s">
        <v>2791</v>
      </c>
      <c r="E135" s="3118">
        <v>0.1</v>
      </c>
      <c r="F135" s="3118">
        <v>15</v>
      </c>
    </row>
    <row r="136" spans="1:6" ht="24">
      <c r="A136" s="3118">
        <v>64</v>
      </c>
      <c r="B136" s="3791"/>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26011</v>
      </c>
      <c r="C2" s="2" t="s">
        <v>106</v>
      </c>
      <c r="D2" s="199"/>
      <c r="E2" s="199"/>
      <c r="F2" s="199"/>
      <c r="G2" s="199"/>
    </row>
    <row r="3" spans="1:7" s="200" customFormat="1" ht="18" customHeight="1" thickBot="1">
      <c r="A3" s="203" t="s">
        <v>58</v>
      </c>
      <c r="B3" s="204">
        <f ca="1">ROUND(B2*10000/'数据-汇总表'!E3,0)</f>
        <v>7351894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35.380000000000003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35.380000000000003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1261</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1665</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25995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35.380000000000003</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8.9999999999999998E-4</v>
      </c>
      <c r="D44" s="238"/>
      <c r="E44" s="238"/>
      <c r="F44" s="239"/>
      <c r="G44" s="3658"/>
    </row>
    <row r="45" spans="1:7" s="214" customFormat="1" ht="13.5" customHeight="1">
      <c r="A45" s="777" t="s">
        <v>341</v>
      </c>
      <c r="B45" s="244" t="s">
        <v>85</v>
      </c>
      <c r="C45" s="245">
        <f>C46</f>
        <v>1</v>
      </c>
      <c r="D45" s="235">
        <f>C47</f>
        <v>2.3999999999999998E-3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16</v>
      </c>
      <c r="D51" s="232"/>
      <c r="E51" s="232"/>
      <c r="F51" s="264"/>
      <c r="G51" s="234" t="s">
        <v>37</v>
      </c>
    </row>
    <row r="52" spans="1:7" s="208" customFormat="1" ht="16.8" thickBot="1">
      <c r="A52" s="265" t="s">
        <v>38</v>
      </c>
      <c r="B52" s="266"/>
      <c r="C52" s="267">
        <f ca="1">C31+C51</f>
        <v>26011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49" workbookViewId="0">
      <selection activeCell="J71" sqref="J71"/>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2" t="s">
        <v>3181</v>
      </c>
      <c r="B1" s="379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3" t="s">
        <v>3232</v>
      </c>
      <c r="B1" s="3793"/>
      <c r="C1" s="3793"/>
      <c r="D1" s="3793"/>
      <c r="E1" s="3793"/>
      <c r="F1" s="379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topLeftCell="A28" workbookViewId="0">
      <selection activeCell="O60" sqref="O60"/>
    </sheetView>
  </sheetViews>
  <sheetFormatPr defaultRowHeight="14.4"/>
  <cols>
    <col min="1" max="1" width="12.33203125" style="3471" customWidth="1"/>
    <col min="2" max="7" width="8.88671875" style="3471"/>
    <col min="8" max="8" width="14.21875" style="3471" customWidth="1"/>
    <col min="9" max="16384" width="8.88671875" style="3471"/>
  </cols>
  <sheetData>
    <row r="1" spans="1:14" s="3467" customFormat="1">
      <c r="A1" s="3467" t="s">
        <v>3427</v>
      </c>
      <c r="B1" s="3467" t="s">
        <v>3428</v>
      </c>
      <c r="C1" s="3467" t="s">
        <v>3429</v>
      </c>
      <c r="D1" s="3467" t="s">
        <v>3430</v>
      </c>
      <c r="E1" s="3467" t="s">
        <v>3431</v>
      </c>
      <c r="F1" s="3467" t="s">
        <v>3432</v>
      </c>
      <c r="G1" s="3467" t="s">
        <v>3433</v>
      </c>
      <c r="H1" s="3467" t="s">
        <v>3434</v>
      </c>
      <c r="I1" s="3467" t="s">
        <v>3435</v>
      </c>
      <c r="J1" s="3467" t="s">
        <v>3436</v>
      </c>
      <c r="K1" s="3467" t="s">
        <v>3437</v>
      </c>
      <c r="L1" s="3467" t="s">
        <v>3438</v>
      </c>
      <c r="M1" s="3467" t="s">
        <v>3439</v>
      </c>
      <c r="N1" s="3467" t="s">
        <v>3440</v>
      </c>
    </row>
    <row r="2" spans="1:14" s="3467" customFormat="1">
      <c r="A2" s="3468">
        <v>45799.333831018521</v>
      </c>
      <c r="B2" s="3467" t="s">
        <v>3441</v>
      </c>
      <c r="C2" s="3467" t="s">
        <v>3441</v>
      </c>
      <c r="D2" s="3467" t="s">
        <v>3442</v>
      </c>
      <c r="E2" s="3467">
        <v>1</v>
      </c>
      <c r="F2" s="3467" t="s">
        <v>3441</v>
      </c>
      <c r="G2" s="3467">
        <v>-3</v>
      </c>
      <c r="H2" s="3469" t="s">
        <v>3443</v>
      </c>
      <c r="I2" s="3467" t="s">
        <v>3444</v>
      </c>
      <c r="J2" s="3467" t="s">
        <v>3445</v>
      </c>
      <c r="K2" s="3467" t="s">
        <v>3446</v>
      </c>
      <c r="L2" s="3467">
        <v>40.72</v>
      </c>
      <c r="M2" s="3467">
        <v>16.059999999999999</v>
      </c>
      <c r="N2" s="3467">
        <v>3943</v>
      </c>
    </row>
    <row r="3" spans="1:14" s="3467" customFormat="1">
      <c r="A3" s="3468">
        <v>45799.333831018521</v>
      </c>
      <c r="B3" s="3467" t="s">
        <v>3441</v>
      </c>
      <c r="C3" s="3467" t="s">
        <v>3441</v>
      </c>
      <c r="D3" s="3467" t="s">
        <v>3442</v>
      </c>
      <c r="E3" s="3467">
        <v>1</v>
      </c>
      <c r="F3" s="3467" t="s">
        <v>3441</v>
      </c>
      <c r="G3" s="3467">
        <v>-2</v>
      </c>
      <c r="H3" s="3469" t="s">
        <v>3447</v>
      </c>
      <c r="I3" s="3467" t="s">
        <v>3444</v>
      </c>
      <c r="J3" s="3467" t="s">
        <v>3445</v>
      </c>
      <c r="K3" s="3467" t="s">
        <v>3446</v>
      </c>
      <c r="L3" s="3467">
        <v>36.71</v>
      </c>
      <c r="M3" s="3467">
        <v>14.47</v>
      </c>
      <c r="N3" s="3467">
        <v>3943</v>
      </c>
    </row>
    <row r="4" spans="1:14" s="3467" customFormat="1">
      <c r="A4" s="3468">
        <v>45799.333831018521</v>
      </c>
      <c r="B4" s="3467" t="s">
        <v>3441</v>
      </c>
      <c r="C4" s="3467" t="s">
        <v>3441</v>
      </c>
      <c r="D4" s="3467" t="s">
        <v>3442</v>
      </c>
      <c r="E4" s="3467">
        <v>1</v>
      </c>
      <c r="F4" s="3467" t="s">
        <v>3441</v>
      </c>
      <c r="G4" s="3467">
        <v>-3</v>
      </c>
      <c r="H4" s="3469" t="s">
        <v>3448</v>
      </c>
      <c r="I4" s="3467" t="s">
        <v>3444</v>
      </c>
      <c r="J4" s="3467" t="s">
        <v>3445</v>
      </c>
      <c r="K4" s="3467" t="s">
        <v>3446</v>
      </c>
      <c r="L4" s="3467">
        <v>36.71</v>
      </c>
      <c r="M4" s="3467">
        <v>14.47</v>
      </c>
      <c r="N4" s="3467">
        <v>3943</v>
      </c>
    </row>
    <row r="5" spans="1:14" s="3467" customFormat="1">
      <c r="A5" s="3468">
        <v>45792.333831018521</v>
      </c>
      <c r="B5" s="3467" t="s">
        <v>3441</v>
      </c>
      <c r="C5" s="3467" t="s">
        <v>3441</v>
      </c>
      <c r="D5" s="3467" t="s">
        <v>3442</v>
      </c>
      <c r="E5" s="3467">
        <v>1</v>
      </c>
      <c r="F5" s="3467" t="s">
        <v>3441</v>
      </c>
      <c r="G5" s="3467">
        <v>-3</v>
      </c>
      <c r="H5" s="3469" t="s">
        <v>3449</v>
      </c>
      <c r="I5" s="3467" t="s">
        <v>3444</v>
      </c>
      <c r="J5" s="3467" t="s">
        <v>3445</v>
      </c>
      <c r="K5" s="3467" t="s">
        <v>3446</v>
      </c>
      <c r="L5" s="3467">
        <v>36.71</v>
      </c>
      <c r="M5" s="3467">
        <v>15</v>
      </c>
      <c r="N5" s="3467">
        <v>4086</v>
      </c>
    </row>
    <row r="6" spans="1:14" s="3467" customFormat="1">
      <c r="A6" s="3468">
        <v>45769.333831018521</v>
      </c>
      <c r="B6" s="3467" t="s">
        <v>3441</v>
      </c>
      <c r="C6" s="3467" t="s">
        <v>3441</v>
      </c>
      <c r="D6" s="3467" t="s">
        <v>3442</v>
      </c>
      <c r="E6" s="3467">
        <v>1</v>
      </c>
      <c r="F6" s="3467" t="s">
        <v>3441</v>
      </c>
      <c r="G6" s="3467">
        <v>-3</v>
      </c>
      <c r="H6" s="3469" t="s">
        <v>3450</v>
      </c>
      <c r="I6" s="3467" t="s">
        <v>3444</v>
      </c>
      <c r="J6" s="3467" t="s">
        <v>3445</v>
      </c>
      <c r="K6" s="3467" t="s">
        <v>3446</v>
      </c>
      <c r="L6" s="3467">
        <v>35.96</v>
      </c>
      <c r="M6" s="3467">
        <v>14.23</v>
      </c>
      <c r="N6" s="3467">
        <v>3956</v>
      </c>
    </row>
    <row r="7" spans="1:14" s="3467" customFormat="1">
      <c r="A7" s="3468">
        <v>45769.333831018521</v>
      </c>
      <c r="B7" s="3467" t="s">
        <v>3441</v>
      </c>
      <c r="C7" s="3467" t="s">
        <v>3441</v>
      </c>
      <c r="D7" s="3467" t="s">
        <v>3442</v>
      </c>
      <c r="E7" s="3467">
        <v>1</v>
      </c>
      <c r="F7" s="3467" t="s">
        <v>3441</v>
      </c>
      <c r="G7" s="3467">
        <v>-3</v>
      </c>
      <c r="H7" s="3469" t="s">
        <v>3451</v>
      </c>
      <c r="I7" s="3467" t="s">
        <v>3444</v>
      </c>
      <c r="J7" s="3467" t="s">
        <v>3445</v>
      </c>
      <c r="K7" s="3467" t="s">
        <v>3446</v>
      </c>
      <c r="L7" s="3467">
        <v>36.799999999999997</v>
      </c>
      <c r="M7" s="3467">
        <v>14.56</v>
      </c>
      <c r="N7" s="3467">
        <v>3956</v>
      </c>
    </row>
    <row r="8" spans="1:14" s="3467" customFormat="1">
      <c r="A8" s="3468">
        <v>45769.333831018521</v>
      </c>
      <c r="B8" s="3467" t="s">
        <v>3441</v>
      </c>
      <c r="C8" s="3467" t="s">
        <v>3441</v>
      </c>
      <c r="D8" s="3467" t="s">
        <v>3442</v>
      </c>
      <c r="E8" s="3467">
        <v>1</v>
      </c>
      <c r="F8" s="3467" t="s">
        <v>3441</v>
      </c>
      <c r="G8" s="3467">
        <v>-2</v>
      </c>
      <c r="H8" s="3470" t="s">
        <v>3452</v>
      </c>
      <c r="I8" s="3467" t="s">
        <v>3444</v>
      </c>
      <c r="J8" s="3467" t="s">
        <v>3445</v>
      </c>
      <c r="K8" s="3467" t="s">
        <v>3446</v>
      </c>
      <c r="L8" s="3467">
        <v>40.72</v>
      </c>
      <c r="M8" s="3467">
        <v>16.11</v>
      </c>
      <c r="N8" s="3467">
        <v>3956</v>
      </c>
    </row>
    <row r="9" spans="1:14" s="3467" customFormat="1">
      <c r="A9" s="3468">
        <v>45769.333831018521</v>
      </c>
      <c r="B9" s="3467" t="s">
        <v>3441</v>
      </c>
      <c r="C9" s="3467" t="s">
        <v>3441</v>
      </c>
      <c r="D9" s="3467" t="s">
        <v>3442</v>
      </c>
      <c r="E9" s="3467">
        <v>1</v>
      </c>
      <c r="F9" s="3467" t="s">
        <v>3441</v>
      </c>
      <c r="G9" s="3467">
        <v>-3</v>
      </c>
      <c r="H9" s="3469" t="s">
        <v>3453</v>
      </c>
      <c r="I9" s="3467" t="s">
        <v>3444</v>
      </c>
      <c r="J9" s="3467" t="s">
        <v>3445</v>
      </c>
      <c r="K9" s="3467" t="s">
        <v>3446</v>
      </c>
      <c r="L9" s="3467">
        <v>35.380000000000003</v>
      </c>
      <c r="M9" s="3467">
        <v>14</v>
      </c>
      <c r="N9" s="3467">
        <v>3956</v>
      </c>
    </row>
    <row r="10" spans="1:14" s="3467" customFormat="1">
      <c r="A10" s="3468">
        <v>45769.333831018521</v>
      </c>
      <c r="B10" s="3467" t="s">
        <v>3441</v>
      </c>
      <c r="C10" s="3467" t="s">
        <v>3441</v>
      </c>
      <c r="D10" s="3467" t="s">
        <v>3442</v>
      </c>
      <c r="E10" s="3467">
        <v>1</v>
      </c>
      <c r="F10" s="3467" t="s">
        <v>3441</v>
      </c>
      <c r="G10" s="3467">
        <v>-3</v>
      </c>
      <c r="H10" s="3470" t="s">
        <v>3454</v>
      </c>
      <c r="I10" s="3467" t="s">
        <v>3444</v>
      </c>
      <c r="J10" s="3467" t="s">
        <v>3445</v>
      </c>
      <c r="K10" s="3467" t="s">
        <v>3446</v>
      </c>
      <c r="L10" s="3467">
        <v>40.72</v>
      </c>
      <c r="M10" s="3467">
        <v>16.11</v>
      </c>
      <c r="N10" s="3467">
        <v>3956</v>
      </c>
    </row>
    <row r="11" spans="1:14" s="3467" customFormat="1">
      <c r="A11" s="3468">
        <v>45714.333831018521</v>
      </c>
      <c r="B11" s="3467" t="s">
        <v>3441</v>
      </c>
      <c r="C11" s="3467" t="s">
        <v>3441</v>
      </c>
      <c r="D11" s="3467" t="s">
        <v>3442</v>
      </c>
      <c r="E11" s="3467">
        <v>1</v>
      </c>
      <c r="F11" s="3467" t="s">
        <v>3441</v>
      </c>
      <c r="G11" s="3467">
        <v>-2</v>
      </c>
      <c r="H11" s="3470" t="s">
        <v>3455</v>
      </c>
      <c r="I11" s="3467" t="s">
        <v>3444</v>
      </c>
      <c r="J11" s="3467" t="s">
        <v>3445</v>
      </c>
      <c r="K11" s="3467" t="s">
        <v>3446</v>
      </c>
      <c r="L11" s="3467">
        <v>40.72</v>
      </c>
      <c r="M11" s="3467">
        <v>8.14</v>
      </c>
      <c r="N11" s="3467">
        <v>2000</v>
      </c>
    </row>
    <row r="12" spans="1:14" s="3467" customFormat="1">
      <c r="A12" s="3468">
        <v>45602.333831018521</v>
      </c>
      <c r="B12" s="3467" t="s">
        <v>3441</v>
      </c>
      <c r="C12" s="3467" t="s">
        <v>3441</v>
      </c>
      <c r="D12" s="3467" t="s">
        <v>3456</v>
      </c>
      <c r="E12" s="3467" t="s">
        <v>3441</v>
      </c>
      <c r="F12" s="3467" t="s">
        <v>3441</v>
      </c>
      <c r="G12" s="3467">
        <v>-3</v>
      </c>
      <c r="H12" s="3469" t="s">
        <v>3457</v>
      </c>
      <c r="I12" s="3467" t="s">
        <v>3458</v>
      </c>
      <c r="J12" s="3467" t="s">
        <v>3445</v>
      </c>
      <c r="K12" s="3467" t="s">
        <v>3446</v>
      </c>
      <c r="L12" s="3467">
        <v>36.71</v>
      </c>
      <c r="M12" s="3467">
        <v>15</v>
      </c>
      <c r="N12" s="3467">
        <v>4086</v>
      </c>
    </row>
    <row r="13" spans="1:14" s="3467" customFormat="1">
      <c r="A13" s="3468">
        <v>45602.333831018521</v>
      </c>
      <c r="B13" s="3467" t="s">
        <v>3441</v>
      </c>
      <c r="C13" s="3467" t="s">
        <v>3441</v>
      </c>
      <c r="D13" s="3467" t="s">
        <v>3456</v>
      </c>
      <c r="E13" s="3467" t="s">
        <v>3441</v>
      </c>
      <c r="F13" s="3467" t="s">
        <v>3441</v>
      </c>
      <c r="G13" s="3467">
        <v>-3</v>
      </c>
      <c r="H13" s="3469" t="s">
        <v>3459</v>
      </c>
      <c r="I13" s="3467" t="s">
        <v>3458</v>
      </c>
      <c r="J13" s="3467" t="s">
        <v>3445</v>
      </c>
      <c r="K13" s="3467" t="s">
        <v>3446</v>
      </c>
      <c r="L13" s="3467">
        <v>36.71</v>
      </c>
      <c r="M13" s="3467">
        <v>25</v>
      </c>
      <c r="N13" s="3467">
        <v>6810</v>
      </c>
    </row>
    <row r="14" spans="1:14" s="3467" customFormat="1">
      <c r="A14" s="3468">
        <v>45553.333831018521</v>
      </c>
      <c r="B14" s="3467" t="s">
        <v>3441</v>
      </c>
      <c r="C14" s="3467" t="s">
        <v>3441</v>
      </c>
      <c r="D14" s="3467" t="s">
        <v>3456</v>
      </c>
      <c r="E14" s="3467" t="s">
        <v>3441</v>
      </c>
      <c r="F14" s="3467" t="s">
        <v>3441</v>
      </c>
      <c r="G14" s="3467">
        <v>-2</v>
      </c>
      <c r="H14" s="3470" t="s">
        <v>3460</v>
      </c>
      <c r="I14" s="3467" t="s">
        <v>3458</v>
      </c>
      <c r="J14" s="3467" t="s">
        <v>3445</v>
      </c>
      <c r="K14" s="3467" t="s">
        <v>3446</v>
      </c>
      <c r="L14" s="3467">
        <v>37.1</v>
      </c>
      <c r="M14" s="3467">
        <v>25.5</v>
      </c>
      <c r="N14" s="3467">
        <v>6873</v>
      </c>
    </row>
    <row r="15" spans="1:14" s="3467" customFormat="1">
      <c r="A15" s="3468">
        <v>45475.333831018521</v>
      </c>
      <c r="B15" s="3467" t="s">
        <v>3441</v>
      </c>
      <c r="C15" s="3467" t="s">
        <v>3441</v>
      </c>
      <c r="D15" s="3467" t="s">
        <v>3456</v>
      </c>
      <c r="E15" s="3467" t="s">
        <v>3441</v>
      </c>
      <c r="F15" s="3467" t="s">
        <v>3441</v>
      </c>
      <c r="G15" s="3467">
        <v>-3</v>
      </c>
      <c r="H15" s="3469" t="s">
        <v>3461</v>
      </c>
      <c r="I15" s="3467" t="s">
        <v>3458</v>
      </c>
      <c r="J15" s="3467" t="s">
        <v>3445</v>
      </c>
      <c r="K15" s="3467" t="s">
        <v>3446</v>
      </c>
      <c r="L15" s="3467">
        <v>37.49</v>
      </c>
      <c r="M15" s="3467">
        <v>15</v>
      </c>
      <c r="N15" s="3467">
        <v>4001</v>
      </c>
    </row>
    <row r="28" spans="8:8">
      <c r="H28" s="3472" t="s">
        <v>3466</v>
      </c>
    </row>
  </sheetData>
  <phoneticPr fontId="134" type="noConversion"/>
  <hyperlinks>
    <hyperlink ref="H28"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G16" sqref="G16"/>
    </sheetView>
  </sheetViews>
  <sheetFormatPr defaultRowHeight="14.4"/>
  <cols>
    <col min="1" max="1" width="13.88671875" customWidth="1"/>
    <col min="11" max="17" width="0" hidden="1" customWidth="1"/>
    <col min="25" max="30" width="0" hidden="1" customWidth="1"/>
  </cols>
  <sheetData>
    <row r="1" spans="1:44">
      <c r="A1" s="3221">
        <f>基准地价修正!G23</f>
        <v>45814</v>
      </c>
      <c r="B1" s="3210" t="s">
        <v>3378</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795" t="s">
        <v>2827</v>
      </c>
      <c r="S29" s="3796"/>
      <c r="T29" s="3796"/>
      <c r="U29" s="3796"/>
      <c r="V29" s="3796"/>
      <c r="W29" s="3796"/>
      <c r="X29" s="3165"/>
      <c r="Y29" s="3795" t="s">
        <v>2828</v>
      </c>
      <c r="Z29" s="3796"/>
      <c r="AA29" s="3796"/>
      <c r="AB29" s="3796"/>
      <c r="AC29" s="3796"/>
      <c r="AD29" s="3796"/>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0"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45814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6">
      <c r="A3" s="3486"/>
      <c r="B3" s="3486"/>
      <c r="C3" s="3486"/>
      <c r="D3" s="854" t="s">
        <v>925</v>
      </c>
      <c r="E3" s="854" t="s">
        <v>931</v>
      </c>
      <c r="F3" s="854" t="s">
        <v>925</v>
      </c>
      <c r="G3" s="854" t="s">
        <v>926</v>
      </c>
      <c r="H3" s="854" t="s">
        <v>925</v>
      </c>
      <c r="I3" s="854" t="s">
        <v>926</v>
      </c>
    </row>
    <row r="4" spans="1:9" ht="15">
      <c r="A4" s="1505" t="str">
        <f>项目基本情况!S2</f>
        <v>北京市房地产</v>
      </c>
      <c r="B4" s="854">
        <f>项目基本情况!C17</f>
        <v>35.380000000000003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6">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6">
      <c r="A8" s="3487" t="str">
        <f>结果表!A122</f>
        <v>房地产抵押价值</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927</v>
      </c>
      <c r="B13" s="3491"/>
      <c r="C13" s="3491"/>
      <c r="D13" s="3491" t="e">
        <f>结果表!D127</f>
        <v>#VALUE!</v>
      </c>
      <c r="E13" s="3491"/>
      <c r="F13" s="3491"/>
      <c r="G13" s="3491"/>
      <c r="H13" s="3491"/>
      <c r="I13" s="3491"/>
    </row>
    <row r="14" spans="1:9" ht="14.4" thickTop="1">
      <c r="A14" s="3492" t="s">
        <v>932</v>
      </c>
      <c r="B14" s="3492"/>
      <c r="C14" s="3492"/>
      <c r="D14" s="3492"/>
      <c r="E14" s="3492"/>
      <c r="F14" s="3492"/>
      <c r="G14" s="3492"/>
      <c r="H14" s="3492"/>
      <c r="I14" s="349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3" t="s">
        <v>949</v>
      </c>
      <c r="B1" s="3493"/>
      <c r="C1" s="3493"/>
      <c r="D1" s="3493"/>
    </row>
    <row r="2" spans="1:4" ht="17.399999999999999">
      <c r="A2" s="3494" t="s">
        <v>933</v>
      </c>
      <c r="B2" s="3494"/>
      <c r="C2" s="3494"/>
      <c r="D2" s="349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4" t="s">
        <v>939</v>
      </c>
      <c r="B6" s="3494"/>
      <c r="C6" s="3494"/>
      <c r="D6" s="349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5"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45845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2025-07-07T10:55:08Z</dcterms:modified>
</cp:coreProperties>
</file>