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地下车库" sheetId="83" r:id="rId23"/>
    <sheet name="收益法-商业" sheetId="82" r:id="rId24"/>
    <sheet name="收益法-办公"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面积" sheetId="80" r:id="rId48"/>
    <sheet name="建安" sheetId="81" r:id="rId49"/>
    <sheet name="收入" sheetId="84" r:id="rId50"/>
    <sheet name="案例" sheetId="85" r:id="rId51"/>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Toc255208377" localSheetId="49">收入!$A$1</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22">'收益法-地下车库'!$A$1:$F$43,'收益法-地下车库'!$H$3:$M$29,'收益法-地下车库'!$A$46:$F$71,'收益法-地下车库'!$I$46:$N$65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68" l="1"/>
  <c r="K16" i="78"/>
  <c r="K15" i="78"/>
  <c r="J16" i="78"/>
  <c r="J15" i="78"/>
  <c r="I16" i="78"/>
  <c r="I15" i="78"/>
  <c r="B14" i="78"/>
  <c r="D12" i="78"/>
  <c r="D11" i="78"/>
  <c r="AH8" i="1"/>
  <c r="D26" i="80"/>
  <c r="D25" i="80"/>
  <c r="C25" i="80"/>
  <c r="AT13" i="3"/>
  <c r="M15" i="3"/>
  <c r="O16" i="3"/>
  <c r="AP13" i="3"/>
  <c r="E22" i="80"/>
  <c r="F6" i="83"/>
  <c r="F8" i="83"/>
  <c r="F7" i="83"/>
  <c r="F9" i="83"/>
  <c r="C6" i="83"/>
  <c r="F4" i="73"/>
  <c r="I1" i="73"/>
  <c r="B39" i="1"/>
  <c r="F11" i="83"/>
  <c r="C10" i="83"/>
  <c r="C5" i="83"/>
  <c r="F6" i="82"/>
  <c r="F8" i="82"/>
  <c r="F20" i="6"/>
  <c r="E20" i="6"/>
  <c r="K7" i="1"/>
  <c r="F7" i="82"/>
  <c r="F9" i="82"/>
  <c r="C6" i="82"/>
  <c r="F11" i="82"/>
  <c r="C10" i="82"/>
  <c r="C5" i="82"/>
  <c r="F6" i="15"/>
  <c r="F8" i="15"/>
  <c r="I13" i="3"/>
  <c r="F19" i="6"/>
  <c r="E19" i="6"/>
  <c r="K6" i="1"/>
  <c r="F7" i="15"/>
  <c r="F9" i="15"/>
  <c r="C6" i="15"/>
  <c r="F11" i="15"/>
  <c r="C10" i="15"/>
  <c r="C5" i="15"/>
  <c r="U19" i="1"/>
  <c r="BB13" i="3"/>
  <c r="BA13" i="3"/>
  <c r="BE16" i="3"/>
  <c r="BA16" i="3"/>
  <c r="BD15" i="3"/>
  <c r="BA15" i="3"/>
  <c r="BA5" i="3"/>
  <c r="G21" i="6"/>
  <c r="E21" i="6"/>
  <c r="E27" i="6"/>
  <c r="U20" i="1"/>
  <c r="L14" i="1"/>
  <c r="BS13" i="3"/>
  <c r="BL13" i="3"/>
  <c r="AZ13" i="3"/>
  <c r="AZ16" i="3"/>
  <c r="AZ15" i="3"/>
  <c r="AZ5" i="3"/>
  <c r="E3" i="6"/>
  <c r="E19" i="43"/>
  <c r="M6" i="1"/>
  <c r="M7" i="1"/>
  <c r="K8" i="1"/>
  <c r="M8" i="1"/>
  <c r="BS5" i="3"/>
  <c r="F28" i="6"/>
  <c r="E28" i="6"/>
  <c r="K14" i="1"/>
  <c r="M14" i="1"/>
  <c r="K9" i="1"/>
  <c r="M9" i="1"/>
  <c r="K10" i="1"/>
  <c r="M10" i="1"/>
  <c r="K11" i="1"/>
  <c r="M11" i="1"/>
  <c r="K12" i="1"/>
  <c r="M12" i="1"/>
  <c r="K13" i="1"/>
  <c r="M13" i="1"/>
  <c r="M16" i="1"/>
  <c r="N16" i="1"/>
  <c r="B21" i="1"/>
  <c r="E5" i="6"/>
  <c r="E6" i="6"/>
  <c r="D10" i="68"/>
  <c r="C10" i="68"/>
  <c r="B29" i="1"/>
  <c r="C8" i="68"/>
  <c r="AP5" i="3"/>
  <c r="I5" i="3"/>
  <c r="O5" i="3"/>
  <c r="I4" i="6"/>
  <c r="G3" i="43"/>
  <c r="E26" i="43"/>
  <c r="G26" i="43"/>
  <c r="G2" i="43"/>
  <c r="F26" i="43"/>
  <c r="D26" i="43"/>
  <c r="C25" i="43"/>
  <c r="I2" i="43"/>
  <c r="M5" i="43"/>
  <c r="C6" i="43"/>
  <c r="J24" i="43"/>
  <c r="C17" i="43"/>
  <c r="H21" i="43"/>
  <c r="I21" i="43"/>
  <c r="J21" i="43"/>
  <c r="K21" i="43"/>
  <c r="L21" i="43"/>
  <c r="M21" i="43"/>
  <c r="N21" i="43"/>
  <c r="O21" i="43"/>
  <c r="G21" i="43"/>
  <c r="E21" i="43"/>
  <c r="C21" i="43"/>
  <c r="C20" i="43"/>
  <c r="C5" i="43"/>
  <c r="C23" i="43"/>
  <c r="G24" i="43"/>
  <c r="I24" i="43"/>
  <c r="C24" i="43"/>
  <c r="D93" i="43"/>
  <c r="D94" i="43"/>
  <c r="N5" i="43"/>
  <c r="F93" i="43"/>
  <c r="H95" i="43"/>
  <c r="G95" i="43"/>
  <c r="K95" i="43"/>
  <c r="D95" i="43"/>
  <c r="D96" i="43"/>
  <c r="D97" i="43"/>
  <c r="H98" i="43"/>
  <c r="G98" i="43"/>
  <c r="K98" i="43"/>
  <c r="D98" i="43"/>
  <c r="D99" i="43"/>
  <c r="H100" i="43"/>
  <c r="G100" i="43"/>
  <c r="K100" i="43"/>
  <c r="D100" i="43"/>
  <c r="D101" i="43"/>
  <c r="E93" i="43"/>
  <c r="B91" i="43"/>
  <c r="C28" i="43"/>
  <c r="C33" i="43"/>
  <c r="D33" i="43"/>
  <c r="E33" i="43"/>
  <c r="D5" i="43"/>
  <c r="F37" i="43"/>
  <c r="C37" i="43"/>
  <c r="E37" i="43"/>
  <c r="F38" i="43"/>
  <c r="C38" i="43"/>
  <c r="E38" i="43"/>
  <c r="F39" i="43"/>
  <c r="C39" i="43"/>
  <c r="E39" i="43"/>
  <c r="F40" i="43"/>
  <c r="C40" i="43"/>
  <c r="E40" i="43"/>
  <c r="E44" i="43"/>
  <c r="C44" i="43"/>
  <c r="F41" i="43"/>
  <c r="C41" i="43"/>
  <c r="E41" i="43"/>
  <c r="F42" i="43"/>
  <c r="C42" i="43"/>
  <c r="D42" i="43"/>
  <c r="E42" i="43"/>
  <c r="C30" i="43"/>
  <c r="B2" i="43"/>
  <c r="C7" i="68"/>
  <c r="C5" i="68"/>
  <c r="C20" i="68"/>
  <c r="D5" i="73"/>
  <c r="G1" i="73"/>
  <c r="B40" i="1"/>
  <c r="F22" i="68"/>
  <c r="B23" i="1"/>
  <c r="C23" i="68"/>
  <c r="C24" i="68"/>
  <c r="C25" i="68"/>
  <c r="C22" i="68"/>
  <c r="Q16" i="1"/>
  <c r="F27" i="68"/>
  <c r="C28" i="68"/>
  <c r="C27" i="68"/>
  <c r="C26" i="68"/>
  <c r="D22" i="68"/>
  <c r="C29" i="68"/>
  <c r="D27" i="68"/>
  <c r="C31" i="68"/>
  <c r="B24" i="1"/>
  <c r="F34" i="68"/>
  <c r="O6" i="1"/>
  <c r="O7" i="1"/>
  <c r="O8" i="1"/>
  <c r="O14" i="1"/>
  <c r="O9" i="1"/>
  <c r="O10" i="1"/>
  <c r="O11" i="1"/>
  <c r="O12" i="1"/>
  <c r="O13" i="1"/>
  <c r="O16" i="1"/>
  <c r="C34" i="68"/>
  <c r="C35" i="68"/>
  <c r="C36" i="68"/>
  <c r="D9" i="68"/>
  <c r="D19" i="68"/>
  <c r="D37" i="68"/>
  <c r="C37" i="68"/>
  <c r="C38" i="68"/>
  <c r="C33" i="68"/>
  <c r="C39" i="68"/>
  <c r="C42" i="68"/>
  <c r="C43" i="68"/>
  <c r="C41" i="68"/>
  <c r="C46" i="68"/>
  <c r="C45" i="68"/>
  <c r="C44" i="68"/>
  <c r="D41" i="68"/>
  <c r="C47" i="68"/>
  <c r="D45" i="68"/>
  <c r="C49" i="68"/>
  <c r="F50" i="68"/>
  <c r="C51" i="68"/>
  <c r="C52" i="68"/>
  <c r="B2" i="68"/>
  <c r="C19" i="9"/>
  <c r="C32" i="15"/>
  <c r="C33" i="15"/>
  <c r="AC13" i="3"/>
  <c r="H13" i="3"/>
  <c r="G13" i="3"/>
  <c r="H16" i="3"/>
  <c r="G16" i="3"/>
  <c r="H15" i="3"/>
  <c r="G15" i="3"/>
  <c r="G5" i="3"/>
  <c r="B3" i="3"/>
  <c r="AY6" i="3"/>
  <c r="D3" i="6"/>
  <c r="D19" i="6"/>
  <c r="K19" i="6"/>
  <c r="L19" i="6"/>
  <c r="M19" i="6"/>
  <c r="I19" i="6"/>
  <c r="H19" i="6"/>
  <c r="R19" i="6"/>
  <c r="R6" i="1"/>
  <c r="F35" i="15"/>
  <c r="C34" i="15"/>
  <c r="C31" i="15"/>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C8" i="12"/>
  <c r="C32" i="82"/>
  <c r="C33" i="82"/>
  <c r="D20" i="6"/>
  <c r="K20" i="6"/>
  <c r="L20" i="6"/>
  <c r="M20" i="6"/>
  <c r="I20" i="6"/>
  <c r="H20" i="6"/>
  <c r="R20" i="6"/>
  <c r="R7" i="1"/>
  <c r="F35" i="82"/>
  <c r="C34" i="82"/>
  <c r="C31" i="82"/>
  <c r="S7" i="1"/>
  <c r="T7" i="1"/>
  <c r="C14" i="82"/>
  <c r="C15" i="82"/>
  <c r="F16" i="82"/>
  <c r="C16" i="82"/>
  <c r="F43" i="82"/>
  <c r="C17" i="82"/>
  <c r="C18" i="82"/>
  <c r="C19" i="82"/>
  <c r="C20" i="82"/>
  <c r="F24" i="82"/>
  <c r="C23" i="82"/>
  <c r="F26" i="82"/>
  <c r="C26" i="82"/>
  <c r="C24" i="82"/>
  <c r="C27" i="82"/>
  <c r="C29" i="82"/>
  <c r="F36" i="82"/>
  <c r="C36" i="82"/>
  <c r="F13" i="82"/>
  <c r="C13" i="82"/>
  <c r="F37" i="82"/>
  <c r="C37" i="82"/>
  <c r="F38" i="82"/>
  <c r="C38" i="82"/>
  <c r="C30" i="82"/>
  <c r="C39" i="82"/>
  <c r="F42" i="82"/>
  <c r="F40" i="82"/>
  <c r="L48" i="82"/>
  <c r="J53" i="82"/>
  <c r="F1" i="82"/>
  <c r="AE7" i="1"/>
  <c r="F41" i="82"/>
  <c r="C40" i="82"/>
  <c r="M6" i="82"/>
  <c r="M8" i="82"/>
  <c r="M7" i="82"/>
  <c r="M9" i="82"/>
  <c r="J6" i="82"/>
  <c r="M11" i="82"/>
  <c r="J10" i="82"/>
  <c r="J5" i="82"/>
  <c r="J26" i="82"/>
  <c r="J29" i="82"/>
  <c r="J57" i="82"/>
  <c r="J55" i="82"/>
  <c r="J58" i="82"/>
  <c r="J59" i="82"/>
  <c r="J60" i="82"/>
  <c r="L46" i="82"/>
  <c r="B2" i="82"/>
  <c r="D8" i="12"/>
  <c r="C32" i="83"/>
  <c r="C33" i="83"/>
  <c r="D21" i="6"/>
  <c r="K21" i="6"/>
  <c r="L21" i="6"/>
  <c r="M21" i="6"/>
  <c r="I21" i="6"/>
  <c r="H21" i="6"/>
  <c r="R21" i="6"/>
  <c r="R8" i="1"/>
  <c r="F35" i="83"/>
  <c r="C34" i="83"/>
  <c r="C31" i="83"/>
  <c r="S8" i="1"/>
  <c r="T8" i="1"/>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8" i="1"/>
  <c r="F41" i="83"/>
  <c r="C40" i="83"/>
  <c r="M6" i="83"/>
  <c r="M8" i="83"/>
  <c r="M7" i="83"/>
  <c r="M9" i="83"/>
  <c r="J6" i="83"/>
  <c r="M11" i="83"/>
  <c r="J10" i="83"/>
  <c r="J5" i="83"/>
  <c r="J26" i="83"/>
  <c r="J29" i="83"/>
  <c r="J57" i="83"/>
  <c r="J55" i="83"/>
  <c r="J58" i="83"/>
  <c r="J59" i="83"/>
  <c r="J60" i="83"/>
  <c r="L46" i="83"/>
  <c r="B2" i="83"/>
  <c r="E8" i="12"/>
  <c r="C4" i="12"/>
  <c r="P6" i="1"/>
  <c r="P7" i="1"/>
  <c r="P8" i="1"/>
  <c r="P14" i="1"/>
  <c r="P9" i="1"/>
  <c r="P10" i="1"/>
  <c r="P11" i="1"/>
  <c r="P12" i="1"/>
  <c r="P13"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D14" i="74"/>
  <c r="G14" i="74"/>
  <c r="C14" i="74"/>
  <c r="B14" i="74"/>
  <c r="AR13" i="3"/>
  <c r="A7" i="1"/>
  <c r="G1" i="83"/>
  <c r="A9" i="1"/>
  <c r="G1" i="82"/>
  <c r="G1" i="15"/>
  <c r="BB16" i="3"/>
  <c r="BC16" i="3"/>
  <c r="BD16" i="3"/>
  <c r="BF16" i="3"/>
  <c r="BG16" i="3"/>
  <c r="BH16" i="3"/>
  <c r="BI16" i="3"/>
  <c r="BJ16" i="3"/>
  <c r="BK16" i="3"/>
  <c r="BB5" i="3"/>
  <c r="BE10" i="3"/>
  <c r="BE5" i="3"/>
  <c r="E8" i="6"/>
  <c r="F27" i="6"/>
  <c r="E22" i="6"/>
  <c r="H94" i="43"/>
  <c r="G94" i="43"/>
  <c r="H96" i="43"/>
  <c r="G96" i="43"/>
  <c r="H97" i="43"/>
  <c r="G97" i="43"/>
  <c r="H99" i="43"/>
  <c r="G99" i="43"/>
  <c r="H101" i="43"/>
  <c r="G101" i="43"/>
  <c r="H93" i="43"/>
  <c r="G93" i="43"/>
  <c r="G44" i="43"/>
  <c r="BM16" i="3"/>
  <c r="BN16" i="3"/>
  <c r="BO16" i="3"/>
  <c r="BP16" i="3"/>
  <c r="BQ16" i="3"/>
  <c r="BR16" i="3"/>
  <c r="BS16" i="3"/>
  <c r="BT16" i="3"/>
  <c r="BL16" i="3"/>
  <c r="BT13" i="3"/>
  <c r="G19" i="43"/>
  <c r="Q72" i="83"/>
  <c r="Q59" i="83"/>
  <c r="K59" i="83"/>
  <c r="P74" i="83"/>
  <c r="F59" i="83"/>
  <c r="Q58" i="83"/>
  <c r="Q51" i="83"/>
  <c r="J50" i="83"/>
  <c r="M47" i="83"/>
  <c r="D46" i="83"/>
  <c r="F34" i="83"/>
  <c r="F62" i="83"/>
  <c r="F33" i="83"/>
  <c r="F61" i="83"/>
  <c r="F32" i="83"/>
  <c r="F60" i="83"/>
  <c r="F31" i="83"/>
  <c r="F28" i="83"/>
  <c r="C28" i="83"/>
  <c r="F23" i="83"/>
  <c r="D23" i="83"/>
  <c r="F21" i="83"/>
  <c r="M20" i="83"/>
  <c r="F20" i="83"/>
  <c r="M19" i="83"/>
  <c r="M18" i="83"/>
  <c r="F18" i="83"/>
  <c r="M17" i="83"/>
  <c r="F17" i="83"/>
  <c r="F15" i="83"/>
  <c r="Q72" i="82"/>
  <c r="Q59" i="82"/>
  <c r="K59" i="82"/>
  <c r="P74" i="82"/>
  <c r="F59" i="82"/>
  <c r="Q58" i="82"/>
  <c r="Q51" i="82"/>
  <c r="J50" i="82"/>
  <c r="M47" i="82"/>
  <c r="D46" i="82"/>
  <c r="F34" i="82"/>
  <c r="F62" i="82"/>
  <c r="F33" i="82"/>
  <c r="F61" i="82"/>
  <c r="F32" i="82"/>
  <c r="F60" i="82"/>
  <c r="F31" i="82"/>
  <c r="F28" i="82"/>
  <c r="C28" i="82"/>
  <c r="F23" i="82"/>
  <c r="D23" i="82"/>
  <c r="F21" i="82"/>
  <c r="M20" i="82"/>
  <c r="F20" i="82"/>
  <c r="M19" i="82"/>
  <c r="M18" i="82"/>
  <c r="F18" i="82"/>
  <c r="M17" i="82"/>
  <c r="F17" i="82"/>
  <c r="F15" i="82"/>
  <c r="G20" i="6"/>
  <c r="AN13" i="3"/>
  <c r="K14" i="3"/>
  <c r="D24" i="83"/>
  <c r="P61" i="83"/>
  <c r="D22" i="83"/>
  <c r="J51" i="83"/>
  <c r="D24" i="82"/>
  <c r="P61" i="82"/>
  <c r="D22" i="82"/>
  <c r="J51" i="82"/>
  <c r="C19" i="80"/>
  <c r="C7" i="80"/>
  <c r="C8" i="80"/>
  <c r="C9" i="80"/>
  <c r="C10" i="80"/>
  <c r="C11" i="80"/>
  <c r="C12" i="80"/>
  <c r="C13" i="80"/>
  <c r="C14" i="80"/>
  <c r="C15" i="80"/>
  <c r="C16" i="80"/>
  <c r="C17" i="80"/>
  <c r="C18" i="80"/>
  <c r="C6" i="80"/>
  <c r="E19" i="80"/>
  <c r="D19" i="80"/>
  <c r="C76" i="83"/>
  <c r="M28" i="83"/>
  <c r="M22" i="83"/>
  <c r="J15" i="83"/>
  <c r="M29" i="83"/>
  <c r="M26" i="83"/>
  <c r="M23" i="83"/>
  <c r="M24" i="83"/>
  <c r="M27" i="83"/>
  <c r="C76" i="82"/>
  <c r="M28" i="82"/>
  <c r="M22" i="82"/>
  <c r="M27" i="82"/>
  <c r="J15" i="82"/>
  <c r="M24" i="82"/>
  <c r="M29" i="82"/>
  <c r="M26" i="82"/>
  <c r="M23" i="82"/>
  <c r="F65" i="83"/>
  <c r="F51" i="83"/>
  <c r="F68" i="83"/>
  <c r="F71" i="83"/>
  <c r="F64" i="83"/>
  <c r="F66" i="83"/>
  <c r="F50" i="83"/>
  <c r="Q71" i="83"/>
  <c r="F64" i="82"/>
  <c r="F66" i="82"/>
  <c r="F51" i="82"/>
  <c r="F68" i="82"/>
  <c r="F71" i="82"/>
  <c r="F65" i="82"/>
  <c r="F50" i="82"/>
  <c r="Q71" i="82"/>
  <c r="BT5" i="3"/>
  <c r="BR5" i="3"/>
  <c r="G28" i="6"/>
  <c r="BQ5" i="3"/>
  <c r="J19" i="83"/>
  <c r="J18" i="83"/>
  <c r="C49" i="83"/>
  <c r="J19" i="82"/>
  <c r="J18" i="82"/>
  <c r="C49" i="82"/>
  <c r="C61" i="83"/>
  <c r="C61" i="82"/>
  <c r="D3" i="4"/>
  <c r="B9" i="1"/>
  <c r="E9" i="1"/>
  <c r="E10" i="1"/>
  <c r="E11" i="1"/>
  <c r="E12" i="1"/>
  <c r="E13" i="1"/>
  <c r="P26" i="79"/>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6" i="78"/>
  <c r="C7" i="78"/>
  <c r="C5" i="78"/>
  <c r="F13" i="1"/>
  <c r="D13" i="1"/>
  <c r="D12" i="1"/>
  <c r="D11" i="1"/>
  <c r="D10" i="1"/>
  <c r="D9" i="1"/>
  <c r="D8" i="1"/>
  <c r="D7" i="1"/>
  <c r="D6" i="1"/>
  <c r="L47" i="82"/>
  <c r="L47" i="83"/>
  <c r="M59" i="83"/>
  <c r="L59" i="83"/>
  <c r="N59" i="83"/>
  <c r="M59" i="82"/>
  <c r="L59" i="82"/>
  <c r="N59" i="82"/>
  <c r="M1" i="43"/>
  <c r="Q61" i="82"/>
  <c r="Q74" i="82"/>
  <c r="Q61" i="83"/>
  <c r="Q74" i="8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J100" i="43"/>
  <c r="M99" i="43"/>
  <c r="N99" i="43"/>
  <c r="K99" i="43"/>
  <c r="J99" i="43"/>
  <c r="M98" i="43"/>
  <c r="N98" i="43"/>
  <c r="J98" i="43"/>
  <c r="M97" i="43"/>
  <c r="N97" i="43"/>
  <c r="K97" i="43"/>
  <c r="J97" i="43"/>
  <c r="M96" i="43"/>
  <c r="N96" i="43"/>
  <c r="K96" i="43"/>
  <c r="J96" i="43"/>
  <c r="M95" i="43"/>
  <c r="N95" i="43"/>
  <c r="J95" i="43"/>
  <c r="M94" i="43"/>
  <c r="N94" i="43"/>
  <c r="K94" i="43"/>
  <c r="J94" i="43"/>
  <c r="M93" i="43"/>
  <c r="N93" i="43"/>
  <c r="K93" i="43"/>
  <c r="J93" i="43"/>
  <c r="B101" i="43"/>
  <c r="B100" i="43"/>
  <c r="B99" i="43"/>
  <c r="B97" i="43"/>
  <c r="B95" i="43"/>
  <c r="B94"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P5" i="79"/>
  <c r="O5" i="79"/>
  <c r="N5" i="79"/>
  <c r="M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S3" i="43"/>
  <c r="H116" i="43"/>
  <c r="N1" i="43"/>
  <c r="M2" i="43"/>
  <c r="N2" i="43"/>
  <c r="M3" i="43"/>
  <c r="N3" i="43"/>
  <c r="M4" i="43"/>
  <c r="N4" i="43"/>
  <c r="N10" i="43"/>
  <c r="N11" i="43"/>
  <c r="M6" i="43"/>
  <c r="N6" i="43"/>
  <c r="M7" i="43"/>
  <c r="N7" i="43"/>
  <c r="M8" i="43"/>
  <c r="N8" i="43"/>
  <c r="M9" i="43"/>
  <c r="N9" i="43"/>
  <c r="M10" i="43"/>
  <c r="M11" i="43"/>
  <c r="M12" i="43"/>
  <c r="D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B7" i="1"/>
  <c r="E7" i="1"/>
  <c r="A8" i="1"/>
  <c r="B8" i="1"/>
  <c r="E8" i="1"/>
  <c r="A10" i="1"/>
  <c r="A11" i="1"/>
  <c r="B11" i="1"/>
  <c r="A12" i="1"/>
  <c r="A13" i="1"/>
  <c r="A6" i="1"/>
  <c r="F3" i="35"/>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F15" i="4"/>
  <c r="F11" i="1"/>
  <c r="G11" i="1"/>
  <c r="D15" i="4"/>
  <c r="F7" i="1"/>
  <c r="C15" i="4"/>
  <c r="F6" i="1"/>
  <c r="L21" i="4"/>
  <c r="F19" i="4"/>
  <c r="F2" i="52"/>
  <c r="B50" i="72"/>
  <c r="D2" i="52"/>
  <c r="B46" i="72"/>
  <c r="B8" i="53"/>
  <c r="B23" i="72"/>
  <c r="L4" i="9"/>
  <c r="B17" i="72"/>
  <c r="A3" i="51"/>
  <c r="C8" i="11"/>
  <c r="B40" i="48"/>
  <c r="B3" i="72"/>
  <c r="F35" i="4"/>
  <c r="J55" i="39"/>
  <c r="H38" i="43"/>
  <c r="H39" i="43"/>
  <c r="H40" i="43"/>
  <c r="H41" i="43"/>
  <c r="H42" i="43"/>
  <c r="H37" i="43"/>
  <c r="C22" i="43"/>
  <c r="C10" i="43"/>
  <c r="C11" i="43"/>
  <c r="C9" i="43"/>
  <c r="F33" i="15"/>
  <c r="F61" i="15"/>
  <c r="M19" i="15"/>
  <c r="BR13" i="3"/>
  <c r="B22" i="1"/>
  <c r="G41" i="69"/>
  <c r="B43" i="1"/>
  <c r="D78" i="9"/>
  <c r="BQ13" i="3"/>
  <c r="BQ14" i="3"/>
  <c r="BQ15" i="3"/>
  <c r="BQ17" i="3"/>
  <c r="BS14" i="3"/>
  <c r="BS15" i="3"/>
  <c r="BS17" i="3"/>
  <c r="BR14" i="3"/>
  <c r="BR15" i="3"/>
  <c r="BR17" i="3"/>
  <c r="BT14" i="3"/>
  <c r="BT15" i="3"/>
  <c r="BT17" i="3"/>
  <c r="BM14" i="3"/>
  <c r="BM15" i="3"/>
  <c r="BM17" i="3"/>
  <c r="BO13" i="3"/>
  <c r="BO14" i="3"/>
  <c r="BO15" i="3"/>
  <c r="BO17" i="3"/>
  <c r="BN13" i="3"/>
  <c r="BN14" i="3"/>
  <c r="BN15" i="3"/>
  <c r="BL15" i="3"/>
  <c r="BN17" i="3"/>
  <c r="BP13" i="3"/>
  <c r="BP14" i="3"/>
  <c r="BP15" i="3"/>
  <c r="BP17" i="3"/>
  <c r="F23" i="15"/>
  <c r="D24" i="15"/>
  <c r="E23" i="6"/>
  <c r="E24" i="6"/>
  <c r="E25" i="6"/>
  <c r="E26" i="6"/>
  <c r="BC13" i="3"/>
  <c r="BD13" i="3"/>
  <c r="BE13" i="3"/>
  <c r="BF13" i="3"/>
  <c r="BG13" i="3"/>
  <c r="BH13" i="3"/>
  <c r="BI13" i="3"/>
  <c r="BJ13" i="3"/>
  <c r="BK13" i="3"/>
  <c r="BB14" i="3"/>
  <c r="BC14" i="3"/>
  <c r="BD14" i="3"/>
  <c r="BE14" i="3"/>
  <c r="BF14" i="3"/>
  <c r="BG14" i="3"/>
  <c r="BH14" i="3"/>
  <c r="BI14" i="3"/>
  <c r="BJ14" i="3"/>
  <c r="BK14" i="3"/>
  <c r="BB15" i="3"/>
  <c r="BC15" i="3"/>
  <c r="BE15" i="3"/>
  <c r="BF15" i="3"/>
  <c r="BG15" i="3"/>
  <c r="BH15" i="3"/>
  <c r="BI15" i="3"/>
  <c r="BJ15" i="3"/>
  <c r="BK15" i="3"/>
  <c r="BB17" i="3"/>
  <c r="BC17" i="3"/>
  <c r="BD17" i="3"/>
  <c r="BE17" i="3"/>
  <c r="BF17" i="3"/>
  <c r="BG17" i="3"/>
  <c r="BH17" i="3"/>
  <c r="BI17" i="3"/>
  <c r="BJ17" i="3"/>
  <c r="BK17" i="3"/>
  <c r="BC10" i="3"/>
  <c r="BD10" i="3"/>
  <c r="BB10" i="3"/>
  <c r="H14" i="3"/>
  <c r="AC14" i="3"/>
  <c r="G14" i="3"/>
  <c r="AC15" i="3"/>
  <c r="AC16" i="3"/>
  <c r="H17" i="3"/>
  <c r="AC17" i="3"/>
  <c r="AT5" i="3"/>
  <c r="AD5" i="3"/>
  <c r="AH5" i="3"/>
  <c r="AL5" i="3"/>
  <c r="F35" i="11"/>
  <c r="F36" i="11"/>
  <c r="F38" i="11"/>
  <c r="E37" i="11"/>
  <c r="F20" i="11"/>
  <c r="F21" i="11"/>
  <c r="C21" i="11"/>
  <c r="F7" i="11"/>
  <c r="C7" i="11"/>
  <c r="F12" i="12"/>
  <c r="F13" i="12"/>
  <c r="F15" i="12"/>
  <c r="E14" i="12"/>
  <c r="BC11" i="3"/>
  <c r="BD11" i="3"/>
  <c r="BB11" i="3"/>
  <c r="E19" i="12"/>
  <c r="E20" i="12"/>
  <c r="E17" i="12"/>
  <c r="F22" i="12"/>
  <c r="F23" i="12"/>
  <c r="C17" i="9"/>
  <c r="C18" i="9"/>
  <c r="D18"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P5" i="3"/>
  <c r="BN5" i="3"/>
  <c r="AZ343" i="3"/>
  <c r="BK5" i="3"/>
  <c r="BI5" i="3"/>
  <c r="BG5" i="3"/>
  <c r="BC5" i="3"/>
  <c r="G17" i="3"/>
  <c r="BA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E205" i="3"/>
  <c r="BL17" i="3"/>
  <c r="AZ17" i="3"/>
  <c r="J56" i="9"/>
  <c r="J57" i="9"/>
  <c r="J59" i="9"/>
  <c r="J61" i="9"/>
  <c r="A24" i="51"/>
  <c r="B18" i="72"/>
  <c r="U29" i="34"/>
  <c r="E32" i="6"/>
  <c r="G1" i="68"/>
  <c r="K1" i="12"/>
  <c r="E19" i="69"/>
  <c r="E19" i="68"/>
  <c r="E19" i="11"/>
  <c r="E1" i="73"/>
  <c r="G22" i="69"/>
  <c r="G22" i="68"/>
  <c r="G26" i="12"/>
  <c r="G22" i="11"/>
  <c r="B19" i="53"/>
  <c r="B37" i="72"/>
  <c r="C7" i="39"/>
  <c r="C67" i="39"/>
  <c r="C7" i="35"/>
  <c r="C7" i="33"/>
  <c r="C7" i="21"/>
  <c r="C7" i="40"/>
  <c r="C63" i="40"/>
  <c r="M47" i="9"/>
  <c r="G23" i="43"/>
  <c r="C46" i="36"/>
  <c r="D46" i="36"/>
  <c r="E46" i="36"/>
  <c r="F46" i="36"/>
  <c r="G46" i="36"/>
  <c r="H46" i="36"/>
  <c r="I46" i="36"/>
  <c r="C52" i="37"/>
  <c r="D52" i="37"/>
  <c r="A4" i="51"/>
  <c r="B6" i="72"/>
  <c r="C48" i="35"/>
  <c r="D48" i="35"/>
  <c r="H67" i="43"/>
  <c r="B6" i="1"/>
  <c r="E6"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28" i="67"/>
  <c r="F52" i="9"/>
  <c r="F32" i="67"/>
  <c r="F60" i="67"/>
  <c r="F32" i="15"/>
  <c r="F60" i="15"/>
  <c r="F28" i="15"/>
  <c r="AA39" i="40"/>
  <c r="S39" i="40"/>
  <c r="S12" i="33"/>
  <c r="AA12" i="33"/>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H112" i="9"/>
  <c r="C8" i="74"/>
  <c r="H111" i="9"/>
  <c r="D126" i="9"/>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D35" i="9"/>
  <c r="F7" i="73"/>
  <c r="E2" i="69"/>
  <c r="M29" i="15"/>
  <c r="E7" i="76"/>
  <c r="F26" i="67"/>
  <c r="M8" i="67"/>
  <c r="M26" i="15"/>
  <c r="M26" i="67"/>
  <c r="J15" i="67"/>
  <c r="E12" i="76"/>
  <c r="L47" i="15"/>
  <c r="B12" i="76"/>
  <c r="F38" i="67"/>
  <c r="C76" i="15"/>
  <c r="B11" i="76"/>
  <c r="F8" i="67"/>
  <c r="B7" i="76"/>
  <c r="M29" i="67"/>
  <c r="F42" i="67"/>
  <c r="E10" i="76"/>
  <c r="M9" i="67"/>
  <c r="F9" i="67"/>
  <c r="AO13" i="1"/>
  <c r="E2" i="68"/>
  <c r="E13" i="76"/>
  <c r="M24" i="67"/>
  <c r="B8" i="76"/>
  <c r="F13" i="67"/>
  <c r="M28" i="67"/>
  <c r="M23" i="67"/>
  <c r="B13" i="76"/>
  <c r="B9" i="76"/>
  <c r="F20" i="31"/>
  <c r="F6" i="67"/>
  <c r="D34" i="9"/>
  <c r="M23" i="15"/>
  <c r="D4" i="73"/>
  <c r="M28" i="15"/>
  <c r="F5" i="73"/>
  <c r="F37" i="67"/>
  <c r="F6" i="73"/>
  <c r="M24" i="15"/>
  <c r="J15" i="15"/>
  <c r="C76" i="67"/>
  <c r="F16" i="67"/>
  <c r="D6" i="73"/>
  <c r="D7" i="73"/>
  <c r="L47" i="67"/>
  <c r="M22" i="15"/>
  <c r="L48" i="67"/>
  <c r="E8" i="76"/>
  <c r="E9" i="76"/>
  <c r="M22" i="67"/>
  <c r="B10" i="76"/>
  <c r="F36" i="67"/>
  <c r="F40" i="67"/>
  <c r="D3" i="73"/>
  <c r="F7" i="67"/>
  <c r="E11" i="76"/>
  <c r="M6" i="67"/>
  <c r="F43" i="67"/>
  <c r="F3" i="73"/>
  <c r="G6" i="1"/>
  <c r="L58" i="82"/>
  <c r="Q50" i="82"/>
  <c r="I54" i="82"/>
  <c r="L56" i="82"/>
  <c r="L58" i="83"/>
  <c r="Q50" i="83"/>
  <c r="I54" i="83"/>
  <c r="L56" i="83"/>
  <c r="G7" i="1"/>
  <c r="D68" i="9"/>
  <c r="M18" i="15"/>
  <c r="F30" i="69"/>
  <c r="F48" i="69"/>
  <c r="M18" i="67"/>
  <c r="F31" i="12"/>
  <c r="F30" i="11"/>
  <c r="C48" i="11"/>
  <c r="C28" i="67"/>
  <c r="AT6"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BL5" i="3"/>
  <c r="F29" i="6"/>
  <c r="D19" i="53"/>
  <c r="B38" i="72"/>
  <c r="D21" i="53"/>
  <c r="B39" i="72"/>
  <c r="D16" i="53"/>
  <c r="B34" i="72"/>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E29" i="6"/>
  <c r="K15" i="1"/>
  <c r="F30" i="6"/>
  <c r="G30" i="6"/>
  <c r="G31" i="6"/>
  <c r="L27" i="6"/>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D9" i="11"/>
  <c r="C9" i="11"/>
  <c r="H73" i="43"/>
  <c r="H90" i="43"/>
  <c r="O23" i="43"/>
  <c r="I18" i="43"/>
  <c r="E17" i="43"/>
  <c r="H26" i="43"/>
  <c r="J26" i="43"/>
  <c r="A1" i="79"/>
  <c r="H55" i="43"/>
  <c r="H86" i="43"/>
  <c r="H87" i="43"/>
  <c r="N370" i="46"/>
  <c r="N94" i="46"/>
  <c r="H89" i="43"/>
  <c r="H88" i="43"/>
  <c r="H84" i="43"/>
  <c r="C69" i="39"/>
  <c r="D67" i="39"/>
  <c r="D69" i="39"/>
  <c r="A19" i="51"/>
  <c r="B14" i="72"/>
  <c r="T35" i="4"/>
  <c r="H110" i="9"/>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AC21" i="39"/>
  <c r="AB23" i="39"/>
  <c r="AB15" i="39"/>
  <c r="AC15" i="39"/>
  <c r="S25" i="39"/>
  <c r="W39" i="39"/>
  <c r="W42" i="39"/>
  <c r="W14" i="39"/>
  <c r="S29" i="39"/>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Q71" i="15"/>
  <c r="L56" i="15"/>
  <c r="Q50" i="15"/>
  <c r="I54" i="15"/>
  <c r="K1" i="73"/>
  <c r="B20" i="31"/>
  <c r="B21" i="31"/>
  <c r="F51" i="67"/>
  <c r="F65" i="67"/>
  <c r="J53" i="67"/>
  <c r="J57" i="67"/>
  <c r="J55" i="67"/>
  <c r="J58" i="67"/>
  <c r="Q50" i="67"/>
  <c r="L56" i="67"/>
  <c r="I54" i="67"/>
  <c r="F50" i="15"/>
  <c r="F51" i="15"/>
  <c r="F71" i="15"/>
  <c r="F66" i="67"/>
  <c r="M59" i="15"/>
  <c r="L59" i="15"/>
  <c r="N59" i="15"/>
  <c r="L58" i="15"/>
  <c r="F66" i="15"/>
  <c r="Q71" i="67"/>
  <c r="F64" i="15"/>
  <c r="C27" i="67"/>
  <c r="F71" i="67"/>
  <c r="F65" i="15"/>
  <c r="N59" i="67"/>
  <c r="L59" i="67"/>
  <c r="L58" i="67"/>
  <c r="M59" i="67"/>
  <c r="B13" i="70"/>
  <c r="M7" i="67"/>
  <c r="J6" i="67"/>
  <c r="F50" i="67"/>
  <c r="F68" i="67"/>
  <c r="F64" i="67"/>
  <c r="F68" i="15"/>
  <c r="D9" i="69"/>
  <c r="F27" i="69"/>
  <c r="C36" i="69"/>
  <c r="C16" i="67"/>
  <c r="Q52" i="83"/>
  <c r="Q52" i="82"/>
  <c r="Q73" i="83"/>
  <c r="Q60" i="83"/>
  <c r="Q60" i="82"/>
  <c r="Q73" i="82"/>
  <c r="C48" i="69"/>
  <c r="K16" i="1"/>
  <c r="D18" i="53"/>
  <c r="B35" i="72"/>
  <c r="C7" i="74"/>
  <c r="F7" i="36"/>
  <c r="J7" i="37"/>
  <c r="H7" i="36"/>
  <c r="E61" i="43"/>
  <c r="B59" i="43"/>
  <c r="B116" i="43"/>
  <c r="Z7" i="43"/>
  <c r="E30" i="6"/>
  <c r="E56" i="39"/>
  <c r="H7" i="34"/>
  <c r="AB7" i="34"/>
  <c r="T49" i="34"/>
  <c r="G49" i="34"/>
  <c r="E67" i="39"/>
  <c r="J7" i="34"/>
  <c r="W7" i="34"/>
  <c r="F7" i="34"/>
  <c r="S7" i="34"/>
  <c r="AA26" i="35"/>
  <c r="S26" i="35"/>
  <c r="AC26" i="35"/>
  <c r="W26" i="35"/>
  <c r="AB26" i="35"/>
  <c r="U26" i="35"/>
  <c r="E61" i="39"/>
  <c r="E56" i="40"/>
  <c r="C47" i="69"/>
  <c r="D45" i="69"/>
  <c r="C9" i="69"/>
  <c r="C9" i="68"/>
  <c r="E72" i="43"/>
  <c r="B70" i="43"/>
  <c r="C29" i="69"/>
  <c r="D27" i="69"/>
  <c r="F45" i="69"/>
  <c r="F27" i="11"/>
  <c r="C29" i="11"/>
  <c r="D27" i="11"/>
  <c r="E60" i="40"/>
  <c r="K26" i="6"/>
  <c r="M26" i="6"/>
  <c r="I26" i="6"/>
  <c r="S26" i="6"/>
  <c r="F31" i="6"/>
  <c r="E51" i="40"/>
  <c r="E16" i="6"/>
  <c r="AC6" i="3"/>
  <c r="H6" i="3"/>
  <c r="E58" i="40"/>
  <c r="E62" i="39"/>
  <c r="E65" i="39"/>
  <c r="J10" i="40"/>
  <c r="AC10" i="40"/>
  <c r="H10" i="39"/>
  <c r="U10" i="39"/>
  <c r="F10" i="40"/>
  <c r="S10" i="40"/>
  <c r="J10" i="39"/>
  <c r="W10" i="39"/>
  <c r="H10" i="40"/>
  <c r="AB10" i="40"/>
  <c r="C7" i="43"/>
  <c r="D10" i="52"/>
  <c r="D125" i="9"/>
  <c r="D11" i="52"/>
  <c r="B7" i="74"/>
  <c r="F67" i="39"/>
  <c r="E69" i="39"/>
  <c r="F59" i="67"/>
  <c r="H7" i="37"/>
  <c r="AB7" i="37"/>
  <c r="T42" i="37"/>
  <c r="G42" i="37"/>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M11" i="67"/>
  <c r="J10" i="67"/>
  <c r="J5" i="67"/>
  <c r="J24" i="15"/>
  <c r="F11" i="67"/>
  <c r="Q52" i="15"/>
  <c r="J18" i="67"/>
  <c r="F1" i="67"/>
  <c r="Q52" i="67"/>
  <c r="Q60" i="15"/>
  <c r="Q73" i="15"/>
  <c r="Q61" i="67"/>
  <c r="Q74" i="67"/>
  <c r="Q74" i="15"/>
  <c r="Q61" i="15"/>
  <c r="AE11" i="1"/>
  <c r="AE9" i="1"/>
  <c r="AE12" i="1"/>
  <c r="AE10" i="1"/>
  <c r="F41" i="67"/>
  <c r="F69" i="83"/>
  <c r="C53" i="83"/>
  <c r="C48" i="83"/>
  <c r="J24" i="83"/>
  <c r="F69" i="82"/>
  <c r="C53" i="82"/>
  <c r="C48" i="82"/>
  <c r="J24" i="82"/>
  <c r="L36" i="43"/>
  <c r="P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E8" i="70"/>
  <c r="F45" i="68"/>
  <c r="K25" i="6"/>
  <c r="K23" i="6"/>
  <c r="K22" i="6"/>
  <c r="E31" i="6"/>
  <c r="K24"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F22" i="69"/>
  <c r="F41" i="69"/>
  <c r="F24" i="67"/>
  <c r="C24" i="67"/>
  <c r="F22" i="11"/>
  <c r="M27" i="67"/>
  <c r="M27" i="15"/>
  <c r="L37" i="43"/>
  <c r="P37" i="43"/>
  <c r="O36" i="43"/>
  <c r="N36" i="43"/>
  <c r="C66" i="83"/>
  <c r="C60" i="83"/>
  <c r="M36" i="43"/>
  <c r="Q36" i="43"/>
  <c r="C66" i="82"/>
  <c r="C60" i="82"/>
  <c r="D116" i="43"/>
  <c r="S21" i="6"/>
  <c r="E6" i="70"/>
  <c r="C34" i="43"/>
  <c r="E34" i="43"/>
  <c r="F69" i="15"/>
  <c r="M24" i="6"/>
  <c r="I24" i="6"/>
  <c r="S24" i="6"/>
  <c r="S11" i="1"/>
  <c r="E11" i="70"/>
  <c r="M22" i="6"/>
  <c r="I22" i="6"/>
  <c r="S22" i="6"/>
  <c r="S9" i="1"/>
  <c r="AQ8" i="1"/>
  <c r="AR8" i="1"/>
  <c r="S20" i="6"/>
  <c r="E7" i="70"/>
  <c r="AQ6" i="1"/>
  <c r="AR6" i="1"/>
  <c r="M23" i="6"/>
  <c r="I23" i="6"/>
  <c r="S23" i="6"/>
  <c r="S10" i="1"/>
  <c r="E10" i="70"/>
  <c r="M25" i="6"/>
  <c r="I25" i="6"/>
  <c r="S25" i="6"/>
  <c r="S12" i="1"/>
  <c r="K27" i="6"/>
  <c r="C20" i="11"/>
  <c r="C28" i="11"/>
  <c r="C27" i="11"/>
  <c r="D10" i="11"/>
  <c r="C10" i="11"/>
  <c r="D25" i="6"/>
  <c r="D15" i="6"/>
  <c r="D22" i="6"/>
  <c r="D24" i="6"/>
  <c r="M19" i="9"/>
  <c r="C118" i="9"/>
  <c r="B2" i="74"/>
  <c r="D26" i="6"/>
  <c r="D8" i="6"/>
  <c r="D14" i="6"/>
  <c r="D6" i="6"/>
  <c r="D9" i="6"/>
  <c r="D10" i="6"/>
  <c r="L19" i="9"/>
  <c r="D29" i="6"/>
  <c r="H22" i="6"/>
  <c r="H24" i="6"/>
  <c r="C18" i="4"/>
  <c r="D23" i="6"/>
  <c r="D5" i="6"/>
  <c r="D12" i="6"/>
  <c r="D11" i="6"/>
  <c r="D13" i="6"/>
  <c r="D28" i="6"/>
  <c r="D30" i="6"/>
  <c r="E61" i="40"/>
  <c r="H26" i="6"/>
  <c r="L16" i="1"/>
  <c r="G42" i="43"/>
  <c r="I42" i="43"/>
  <c r="H67" i="39"/>
  <c r="G69" i="39"/>
  <c r="G41" i="43"/>
  <c r="I41" i="43"/>
  <c r="G37" i="43"/>
  <c r="I37" i="43"/>
  <c r="G38" i="43"/>
  <c r="I38" i="43"/>
  <c r="G40" i="43"/>
  <c r="I40"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69"/>
  <c r="D22" i="69"/>
  <c r="C44" i="69"/>
  <c r="D41" i="69"/>
  <c r="C44" i="11"/>
  <c r="D41" i="11"/>
  <c r="C23" i="11"/>
  <c r="C24" i="11"/>
  <c r="C25" i="11"/>
  <c r="C26" i="11"/>
  <c r="D22" i="11"/>
  <c r="C66" i="67"/>
  <c r="C60" i="67"/>
  <c r="D10" i="69"/>
  <c r="C34" i="69"/>
  <c r="C17" i="67"/>
  <c r="C14" i="67"/>
  <c r="O37" i="43"/>
  <c r="M37" i="43"/>
  <c r="N37" i="43"/>
  <c r="Q37" i="43"/>
  <c r="H25" i="6"/>
  <c r="C18" i="67"/>
  <c r="C15" i="67"/>
  <c r="H23" i="6"/>
  <c r="C31" i="43"/>
  <c r="C38" i="69"/>
  <c r="C35" i="69"/>
  <c r="E12" i="70"/>
  <c r="F34" i="11"/>
  <c r="S16" i="1"/>
  <c r="E9" i="70"/>
  <c r="E2" i="70"/>
  <c r="AR9" i="1"/>
  <c r="AQ9" i="1"/>
  <c r="T9" i="1"/>
  <c r="AQ11" i="1"/>
  <c r="AR11" i="1"/>
  <c r="T11" i="1"/>
  <c r="AR12" i="1"/>
  <c r="T12" i="1"/>
  <c r="AQ12" i="1"/>
  <c r="AQ10" i="1"/>
  <c r="T10" i="1"/>
  <c r="AR10" i="1"/>
  <c r="AR7" i="1"/>
  <c r="AQ7" i="1"/>
  <c r="M27" i="6"/>
  <c r="D16" i="6"/>
  <c r="R26" i="6"/>
  <c r="R24" i="6"/>
  <c r="R11" i="1"/>
  <c r="R22" i="6"/>
  <c r="R9" i="1"/>
  <c r="R23" i="6"/>
  <c r="R10" i="1"/>
  <c r="D27" i="6"/>
  <c r="D31" i="6"/>
  <c r="D8" i="74"/>
  <c r="D7" i="74"/>
  <c r="C10" i="69"/>
  <c r="C8" i="69"/>
  <c r="C5" i="69"/>
  <c r="D19" i="69"/>
  <c r="F50" i="69"/>
  <c r="F50" i="11"/>
  <c r="C4" i="52"/>
  <c r="B45" i="72"/>
  <c r="A10" i="51"/>
  <c r="B9" i="72"/>
  <c r="A7" i="51"/>
  <c r="B7" i="72"/>
  <c r="R25" i="6"/>
  <c r="R12" i="1"/>
  <c r="H69" i="39"/>
  <c r="I67" i="39"/>
  <c r="D10" i="71"/>
  <c r="C9" i="71"/>
  <c r="C8" i="71"/>
  <c r="G65" i="40"/>
  <c r="H63" i="40"/>
  <c r="C43" i="37"/>
  <c r="C42" i="37"/>
  <c r="I48" i="35"/>
  <c r="C48" i="33"/>
  <c r="C49" i="33"/>
  <c r="H58" i="21"/>
  <c r="E47" i="37"/>
  <c r="F47" i="37"/>
  <c r="E46" i="37"/>
  <c r="F46" i="37"/>
  <c r="I47" i="37"/>
  <c r="J47" i="37"/>
  <c r="E53" i="33"/>
  <c r="F53" i="33"/>
  <c r="E52" i="33"/>
  <c r="F52" i="33"/>
  <c r="C22" i="11"/>
  <c r="C31" i="11"/>
  <c r="C33" i="67"/>
  <c r="J19" i="67"/>
  <c r="M21" i="83"/>
  <c r="M21" i="82"/>
  <c r="E6" i="76"/>
  <c r="B6" i="76"/>
  <c r="B3" i="43"/>
  <c r="F63" i="83"/>
  <c r="C62" i="83"/>
  <c r="C59" i="83"/>
  <c r="J20" i="83"/>
  <c r="J17" i="83"/>
  <c r="F63" i="82"/>
  <c r="C62" i="82"/>
  <c r="C59" i="82"/>
  <c r="J20" i="82"/>
  <c r="J17" i="82"/>
  <c r="D8" i="71"/>
  <c r="C7" i="71"/>
  <c r="C19" i="67"/>
  <c r="C20" i="67"/>
  <c r="C26" i="67"/>
  <c r="T16" i="1"/>
  <c r="C36" i="11"/>
  <c r="C37" i="11"/>
  <c r="C34" i="11"/>
  <c r="S19" i="6"/>
  <c r="S27" i="6"/>
  <c r="I27" i="6"/>
  <c r="C19" i="68"/>
  <c r="C19" i="69"/>
  <c r="C24" i="69"/>
  <c r="D37" i="69"/>
  <c r="C37" i="69"/>
  <c r="C33" i="69"/>
  <c r="I5" i="6"/>
  <c r="I6" i="6"/>
  <c r="C23" i="69"/>
  <c r="E2" i="76"/>
  <c r="B2" i="76"/>
  <c r="I69" i="39"/>
  <c r="J67" i="39"/>
  <c r="D9" i="71"/>
  <c r="I63" i="40"/>
  <c r="H65" i="40"/>
  <c r="I58" i="21"/>
  <c r="J58" i="21"/>
  <c r="K58" i="21"/>
  <c r="L58" i="21"/>
  <c r="M58" i="21"/>
  <c r="N58" i="21"/>
  <c r="O58" i="21"/>
  <c r="H7" i="21"/>
  <c r="F7" i="21"/>
  <c r="J48" i="35"/>
  <c r="J7" i="21"/>
  <c r="D7" i="71"/>
  <c r="C6" i="71"/>
  <c r="C23" i="67"/>
  <c r="C29" i="67"/>
  <c r="J59" i="67"/>
  <c r="J60" i="67"/>
  <c r="Q48" i="67"/>
  <c r="C38" i="11"/>
  <c r="C35" i="11"/>
  <c r="H27" i="6"/>
  <c r="C20" i="69"/>
  <c r="C28" i="69"/>
  <c r="C27" i="69"/>
  <c r="C39" i="69"/>
  <c r="C43" i="69"/>
  <c r="C42" i="69"/>
  <c r="B3" i="76"/>
  <c r="J69" i="39"/>
  <c r="K67" i="39"/>
  <c r="U7" i="21"/>
  <c r="AB7" i="21"/>
  <c r="T48" i="21"/>
  <c r="G48" i="21"/>
  <c r="S7" i="21"/>
  <c r="AA7" i="21"/>
  <c r="R48" i="21"/>
  <c r="J63" i="40"/>
  <c r="I65" i="40"/>
  <c r="K48" i="35"/>
  <c r="L48" i="35"/>
  <c r="M48" i="35"/>
  <c r="N48" i="35"/>
  <c r="O48" i="35"/>
  <c r="H7" i="35"/>
  <c r="AC7" i="21"/>
  <c r="V48" i="21"/>
  <c r="I48" i="21"/>
  <c r="W7" i="21"/>
  <c r="C57" i="83"/>
  <c r="C64" i="83"/>
  <c r="Q48" i="83"/>
  <c r="Q49" i="83"/>
  <c r="J14" i="83"/>
  <c r="L57" i="83"/>
  <c r="L60" i="83"/>
  <c r="J7" i="35"/>
  <c r="W7" i="35"/>
  <c r="D6" i="71"/>
  <c r="C5" i="71"/>
  <c r="Q49" i="67"/>
  <c r="J14" i="67"/>
  <c r="J13" i="67"/>
  <c r="J23" i="67"/>
  <c r="C36" i="67"/>
  <c r="C57" i="67"/>
  <c r="C64" i="67"/>
  <c r="C13" i="67"/>
  <c r="Q70" i="67"/>
  <c r="C33" i="11"/>
  <c r="C39" i="11"/>
  <c r="C61" i="67"/>
  <c r="C41" i="69"/>
  <c r="R27" i="6"/>
  <c r="C46" i="69"/>
  <c r="C45" i="69"/>
  <c r="C25" i="69"/>
  <c r="C22" i="69"/>
  <c r="C31" i="69"/>
  <c r="L67" i="39"/>
  <c r="K69" i="39"/>
  <c r="AC7" i="35"/>
  <c r="V38" i="35"/>
  <c r="I38" i="35"/>
  <c r="J65" i="40"/>
  <c r="K63" i="40"/>
  <c r="I52" i="21"/>
  <c r="J52" i="21"/>
  <c r="U7" i="35"/>
  <c r="AB7" i="35"/>
  <c r="T38" i="35"/>
  <c r="G38" i="35"/>
  <c r="R49" i="21"/>
  <c r="E48" i="21"/>
  <c r="G52" i="21"/>
  <c r="H52" i="21"/>
  <c r="G53" i="21"/>
  <c r="H53" i="21"/>
  <c r="F7" i="35"/>
  <c r="M21" i="15"/>
  <c r="M21" i="67"/>
  <c r="F35" i="67"/>
  <c r="C57" i="82"/>
  <c r="C64" i="82"/>
  <c r="J14" i="82"/>
  <c r="Q49" i="82"/>
  <c r="Q48" i="82"/>
  <c r="J22" i="83"/>
  <c r="J13" i="83"/>
  <c r="J23" i="83"/>
  <c r="Q70" i="83"/>
  <c r="C75" i="83"/>
  <c r="C56" i="83"/>
  <c r="C65" i="83"/>
  <c r="C58" i="83"/>
  <c r="C67" i="83"/>
  <c r="C68" i="83"/>
  <c r="C71" i="83"/>
  <c r="Q66" i="83"/>
  <c r="Q57" i="83"/>
  <c r="L57" i="82"/>
  <c r="L60" i="82"/>
  <c r="D5" i="71"/>
  <c r="M24" i="43"/>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H38" i="83"/>
  <c r="J13" i="82"/>
  <c r="J23" i="82"/>
  <c r="J22" i="82"/>
  <c r="J16" i="83"/>
  <c r="J25" i="83"/>
  <c r="Q70" i="82"/>
  <c r="C56" i="82"/>
  <c r="C65" i="82"/>
  <c r="C58" i="82"/>
  <c r="C67" i="82"/>
  <c r="C68" i="82"/>
  <c r="C71" i="82"/>
  <c r="C75" i="82"/>
  <c r="C102" i="9"/>
  <c r="C21" i="9"/>
  <c r="B3" i="68"/>
  <c r="Q66" i="82"/>
  <c r="Q57" i="82"/>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L51" i="83"/>
  <c r="C20" i="9"/>
  <c r="D2" i="21"/>
  <c r="J16" i="82"/>
  <c r="J25" i="82"/>
  <c r="Q67" i="83"/>
  <c r="H38" i="82"/>
  <c r="C80" i="82"/>
  <c r="C79" i="82"/>
  <c r="Q69" i="83"/>
  <c r="Q68" i="83"/>
  <c r="C80" i="83"/>
  <c r="C79" i="83"/>
  <c r="C103" i="9"/>
  <c r="C80" i="67"/>
  <c r="C79" i="67"/>
  <c r="C40" i="67"/>
  <c r="C45" i="67"/>
  <c r="C56" i="11"/>
  <c r="C57" i="11"/>
  <c r="B2" i="21"/>
  <c r="B3" i="21"/>
  <c r="J16" i="15"/>
  <c r="J25" i="15"/>
  <c r="C58" i="15"/>
  <c r="C67" i="15"/>
  <c r="C68" i="15"/>
  <c r="C71" i="15"/>
  <c r="O67" i="39"/>
  <c r="O69" i="39"/>
  <c r="N69" i="39"/>
  <c r="F7" i="39"/>
  <c r="C39" i="35"/>
  <c r="C38" i="35"/>
  <c r="N63" i="40"/>
  <c r="M65" i="40"/>
  <c r="E43" i="35"/>
  <c r="F43" i="35"/>
  <c r="E42" i="35"/>
  <c r="F42" i="35"/>
  <c r="I43" i="35"/>
  <c r="J43" i="35"/>
  <c r="L51" i="82"/>
  <c r="L51" i="67"/>
  <c r="D2" i="33"/>
  <c r="Q67" i="82"/>
  <c r="C46" i="83"/>
  <c r="Q56" i="83"/>
  <c r="Q62" i="83"/>
  <c r="Q65" i="83"/>
  <c r="Q75" i="83"/>
  <c r="C83" i="83"/>
  <c r="C82" i="83"/>
  <c r="C43" i="83"/>
  <c r="Q47" i="83"/>
  <c r="Q53" i="83"/>
  <c r="Q69" i="82"/>
  <c r="Q68" i="82"/>
  <c r="Q69" i="15"/>
  <c r="Q68" i="15"/>
  <c r="H38" i="15"/>
  <c r="L57" i="67"/>
  <c r="L60" i="67"/>
  <c r="L46" i="67"/>
  <c r="D2" i="67"/>
  <c r="B2" i="67"/>
  <c r="Q67" i="67"/>
  <c r="Q65" i="67"/>
  <c r="B2" i="33"/>
  <c r="B3" i="33"/>
  <c r="C83" i="67"/>
  <c r="C82" i="67"/>
  <c r="Q47" i="67"/>
  <c r="Q53" i="67"/>
  <c r="C46" i="67"/>
  <c r="Q56" i="67"/>
  <c r="C43" i="67"/>
  <c r="H7" i="39"/>
  <c r="J7" i="39"/>
  <c r="S7" i="39"/>
  <c r="AA7" i="39"/>
  <c r="R47" i="39"/>
  <c r="O63" i="40"/>
  <c r="O65" i="40"/>
  <c r="N65" i="40"/>
  <c r="D2" i="36"/>
  <c r="L51" i="15"/>
  <c r="D2" i="34"/>
  <c r="D2" i="37"/>
  <c r="D2" i="35"/>
  <c r="C46" i="82"/>
  <c r="Q47" i="82"/>
  <c r="Q53" i="82"/>
  <c r="Q56" i="82"/>
  <c r="Q62" i="82"/>
  <c r="C83" i="82"/>
  <c r="C82" i="82"/>
  <c r="Q65" i="82"/>
  <c r="Q75" i="82"/>
  <c r="C43" i="82"/>
  <c r="B3" i="83"/>
  <c r="E6" i="12"/>
  <c r="C46" i="15"/>
  <c r="C80" i="15"/>
  <c r="C79" i="15"/>
  <c r="Q57" i="67"/>
  <c r="Q62" i="67"/>
  <c r="Q66" i="67"/>
  <c r="Q75" i="67"/>
  <c r="B3" i="67"/>
  <c r="L57" i="15"/>
  <c r="L60" i="15"/>
  <c r="Q57" i="15"/>
  <c r="Q67" i="15"/>
  <c r="B2" i="36"/>
  <c r="B3" i="36"/>
  <c r="B2" i="35"/>
  <c r="B3" i="35"/>
  <c r="M3" i="35"/>
  <c r="B2" i="37"/>
  <c r="B3" i="37"/>
  <c r="B2" i="34"/>
  <c r="B3" i="34"/>
  <c r="Q47" i="15"/>
  <c r="Q53" i="15"/>
  <c r="W7" i="39"/>
  <c r="AC7" i="39"/>
  <c r="V47" i="39"/>
  <c r="I47" i="39"/>
  <c r="E47" i="39"/>
  <c r="R48" i="39"/>
  <c r="U7" i="39"/>
  <c r="AB7" i="39"/>
  <c r="T47" i="39"/>
  <c r="G47" i="39"/>
  <c r="J7" i="40"/>
  <c r="F7" i="40"/>
  <c r="H7" i="40"/>
  <c r="AO7" i="1"/>
  <c r="AO12" i="1"/>
  <c r="AO9" i="1"/>
  <c r="AO11" i="1"/>
  <c r="AO8" i="1"/>
  <c r="AO10" i="1"/>
  <c r="B3" i="82"/>
  <c r="D6" i="12"/>
  <c r="Q56" i="15"/>
  <c r="Q65" i="15"/>
  <c r="C83" i="15"/>
  <c r="C82" i="15"/>
  <c r="C43"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B3" i="15"/>
  <c r="C6" i="12"/>
  <c r="B6" i="7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D102" i="9"/>
  <c r="D21" i="9"/>
  <c r="G21" i="9"/>
  <c r="D22" i="9"/>
  <c r="B3" i="12"/>
  <c r="B6" i="74"/>
  <c r="D6" i="74"/>
  <c r="D20" i="9"/>
  <c r="D103" i="9"/>
  <c r="G20" i="9"/>
  <c r="C32" i="9"/>
  <c r="C35" i="9"/>
  <c r="C34" i="9"/>
  <c r="H118" i="9"/>
  <c r="H101" i="9"/>
  <c r="H107" i="9"/>
  <c r="I118" i="9"/>
  <c r="H102" i="9"/>
  <c r="H108" i="9"/>
  <c r="C6" i="74"/>
  <c r="C5" i="74"/>
  <c r="M49" i="9"/>
  <c r="L66" i="9"/>
  <c r="M66" i="9"/>
  <c r="D45" i="9"/>
  <c r="C85" i="9"/>
  <c r="C93" i="9"/>
  <c r="C86" i="9"/>
  <c r="C95" i="9"/>
  <c r="C96" i="9"/>
  <c r="C97" i="9"/>
  <c r="D58" i="9"/>
  <c r="D56" i="9"/>
  <c r="M54" i="9"/>
  <c r="L64" i="9"/>
  <c r="M64" i="9"/>
  <c r="F118" i="9"/>
  <c r="F119" i="9"/>
  <c r="F5" i="52"/>
  <c r="B53" i="72"/>
  <c r="G118" i="9"/>
  <c r="E118" i="9"/>
  <c r="E4" i="52"/>
  <c r="B48" i="72"/>
  <c r="D122" i="9"/>
  <c r="D8" i="52"/>
  <c r="L68" i="9"/>
  <c r="M68" i="9"/>
  <c r="D5" i="53"/>
  <c r="D6" i="53"/>
  <c r="B22" i="72"/>
  <c r="D123" i="9"/>
  <c r="D9" i="52"/>
  <c r="C72" i="9"/>
  <c r="C78" i="9"/>
  <c r="C73" i="9"/>
  <c r="C79" i="9"/>
  <c r="C80" i="9"/>
  <c r="C81" i="9"/>
  <c r="E80" i="9"/>
  <c r="E81" i="9"/>
  <c r="E96" i="9"/>
  <c r="E97" i="9"/>
  <c r="D13" i="53"/>
  <c r="B30" i="72"/>
  <c r="G4" i="52"/>
  <c r="B52" i="72"/>
  <c r="L67" i="9"/>
  <c r="M67" i="9"/>
  <c r="F4" i="52"/>
  <c r="B51" i="72"/>
  <c r="D7" i="53"/>
  <c r="B21" i="72"/>
  <c r="D118" i="9"/>
  <c r="D119" i="9"/>
  <c r="D5" i="52"/>
  <c r="B49" i="72"/>
  <c r="D4" i="52"/>
  <c r="B47" i="72"/>
  <c r="D14" i="53"/>
  <c r="B32" i="72"/>
  <c r="B20" i="72"/>
  <c r="L65" i="9"/>
  <c r="M65" i="9"/>
  <c r="D15" i="53"/>
  <c r="B31" i="72"/>
  <c r="M48" i="9"/>
  <c r="H119" i="9"/>
  <c r="H5" i="52"/>
  <c r="C64" i="9"/>
  <c r="C63" i="9"/>
  <c r="C67" i="9"/>
  <c r="C68" i="9"/>
  <c r="D54" i="9"/>
  <c r="L63" i="9"/>
  <c r="M63" i="9"/>
  <c r="M69" i="9"/>
  <c r="N69" i="9"/>
  <c r="D59" i="9"/>
  <c r="M55" i="9"/>
  <c r="D55" i="9"/>
  <c r="M53" i="9"/>
  <c r="N57" i="9"/>
  <c r="N59" i="9"/>
  <c r="N61" i="9"/>
  <c r="N60" i="9"/>
  <c r="P57" i="9"/>
  <c r="N58" i="9"/>
  <c r="H4" i="52"/>
  <c r="C104" i="9"/>
  <c r="I4" i="52"/>
  <c r="C105" i="9"/>
  <c r="D53"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<sst xmlns="http://schemas.openxmlformats.org/spreadsheetml/2006/main" count="8870" uniqueCount="3579">
  <si>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</si>
  <si>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</si>
  <si>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</si>
  <si>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</si>
  <si>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</si>
  <si>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</si>
  <si>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</si>
  <si>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</si>
  <si>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</si>
  <si>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</si>
  <si>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</si>
  <si>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</si>
  <si>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</si>
  <si>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</si>
  <si>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</si>
  <si>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</si>
  <si>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</si>
  <si>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</si>
  <si>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</si>
  <si>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</si>
  <si>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</si>
  <si>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</si>
  <si>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</si>
  <si>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</si>
  <si>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</si>
  <si>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</si>
  <si>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</si>
  <si>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</si>
  <si>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</si>
  <si>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</si>
  <si>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</si>
  <si>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</si>
  <si>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</si>
  <si>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</si>
  <si>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</si>
  <si>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</si>
  <si>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</si>
  <si>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</si>
  <si>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</si>
  <si>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</si>
  <si>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</si>
  <si>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</si>
  <si>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</si>
  <si>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</si>
  <si>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</si>
  <si>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</si>
  <si>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</si>
  <si>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</si>
  <si>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</si>
  <si>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</si>
  <si>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</si>
  <si>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</si>
  <si>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</si>
  <si>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</si>
  <si>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</si>
  <si>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</si>
  <si>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</si>
  <si>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</si>
  <si>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</si>
  <si>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</si>
  <si>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</si>
  <si>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</si>
  <si>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</si>
  <si>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</si>
  <si>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</si>
  <si>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</si>
  <si>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</si>
  <si>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</si>
  <si>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</si>
  <si>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</si>
  <si>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</si>
  <si>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</si>
  <si>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</si>
  <si>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</si>
  <si>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</si>
  <si>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</si>
  <si>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</si>
  <si>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</si>
  <si>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</si>
  <si>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</si>
  <si>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</si>
  <si>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</si>
  <si>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</si>
  <si>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</si>
  <si>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</si>
  <si>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</si>
  <si>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</si>
  <si>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</si>
  <si>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</si>
  <si>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</si>
  <si>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</si>
  <si>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</si>
  <si>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</si>
  <si>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</si>
  <si>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</si>
  <si>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</si>
  <si>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</si>
  <si>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</si>
  <si>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</si>
  <si>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</si>
  <si>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</si>
  <si>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</si>
  <si>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</si>
  <si>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</si>
  <si>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</si>
  <si>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</si>
  <si>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</si>
  <si>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</si>
  <si>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</si>
  <si>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</si>
  <si>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</si>
  <si>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</si>
  <si>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</si>
  <si>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</si>
  <si>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</si>
  <si>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</si>
  <si>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</si>
  <si>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</si>
  <si>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</si>
  <si>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</si>
  <si>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</si>
  <si>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</si>
  <si>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</si>
  <si>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</si>
  <si>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</si>
  <si>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</si>
  <si>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</si>
  <si>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</si>
  <si>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</si>
  <si>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</si>
  <si>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</si>
  <si>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</si>
  <si>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</si>
  <si>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</si>
  <si>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</si>
  <si>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</si>
  <si>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</si>
  <si>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</si>
  <si>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</si>
  <si>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</si>
  <si>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</si>
  <si>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</si>
  <si>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</si>
  <si>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</si>
  <si>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</si>
  <si>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</si>
  <si>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</si>
  <si>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</si>
  <si>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</si>
  <si>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</si>
  <si>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</si>
  <si>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</si>
  <si>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</si>
  <si>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</si>
  <si>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</si>
  <si>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</si>
  <si>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</si>
  <si>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</si>
  <si>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</si>
  <si>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</si>
  <si>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</si>
  <si>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</si>
  <si>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</si>
  <si>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</si>
  <si>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</si>
  <si>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</si>
  <si>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</si>
  <si>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</si>
  <si>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</si>
  <si>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</si>
  <si>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</si>
  <si>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</si>
  <si>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</si>
  <si>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</si>
  <si>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</si>
  <si>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</si>
  <si>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</si>
  <si>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</si>
  <si>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</si>
  <si>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</si>
  <si>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</si>
  <si>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</si>
  <si>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</si>
  <si>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</si>
  <si>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</si>
  <si>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</si>
  <si>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</si>
  <si>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</si>
  <si>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</si>
  <si>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</si>
  <si>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</si>
  <si>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</si>
  <si>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</si>
  <si>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</si>
  <si>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</si>
  <si>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</si>
  <si>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</si>
  <si>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</si>
  <si>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</si>
  <si>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</si>
  <si>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</si>
  <si>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</si>
  <si>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</si>
  <si>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</si>
  <si>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</si>
  <si>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</si>
  <si>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</si>
  <si>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</si>
  <si>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</si>
  <si>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</si>
  <si>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</si>
  <si>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</si>
  <si>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</si>
  <si>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</si>
  <si>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</si>
  <si>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</si>
  <si>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</si>
  <si>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</si>
  <si>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</si>
  <si>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</si>
  <si>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</si>
  <si>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</si>
  <si>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</si>
  <si>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</si>
  <si>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</si>
  <si>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</si>
  <si>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</si>
  <si>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</si>
  <si>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</si>
  <si>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</si>
  <si>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</si>
  <si>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</si>
  <si>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</si>
  <si>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</si>
  <si>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</si>
  <si>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</si>
  <si>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</si>
  <si>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</si>
  <si>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</si>
  <si>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</si>
  <si>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</si>
  <si>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</si>
  <si>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</si>
  <si>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</si>
  <si>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</si>
  <si>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</si>
  <si>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</si>
  <si>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</si>
  <si>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</si>
  <si>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</si>
  <si>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</si>
  <si>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</si>
  <si>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</si>
  <si>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</si>
  <si>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</si>
  <si>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</si>
  <si>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</si>
  <si>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</si>
  <si>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</si>
  <si>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</si>
  <si>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</si>
  <si>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</si>
  <si>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</si>
  <si>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</si>
  <si>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</si>
  <si>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</si>
  <si>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</si>
  <si>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</si>
  <si>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</si>
  <si>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</si>
  <si>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</si>
  <si>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</si>
  <si>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</si>
  <si>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</si>
  <si>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</si>
  <si>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</si>
  <si>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</si>
  <si>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</si>
  <si>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</si>
  <si>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</si>
  <si>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</si>
  <si>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</si>
  <si>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</si>
  <si>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</si>
  <si>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</si>
  <si>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</si>
  <si>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</si>
  <si>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</si>
  <si>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</si>
  <si>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</si>
  <si>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</si>
  <si>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</si>
  <si>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</si>
  <si>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</si>
  <si>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</si>
  <si>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</si>
  <si>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</si>
  <si>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</si>
  <si>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</si>
  <si>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</si>
  <si>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</si>
  <si>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</si>
  <si>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</si>
  <si>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</si>
  <si>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</si>
  <si>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</si>
  <si>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</si>
  <si>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</si>
  <si>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</si>
  <si>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</si>
  <si>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</si>
  <si>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</si>
  <si>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</si>
  <si>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</si>
  <si>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</si>
  <si>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</si>
  <si>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</si>
  <si>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</si>
  <si>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</si>
  <si>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</si>
  <si>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</si>
  <si>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</si>
  <si>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</si>
  <si>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</si>
  <si>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</si>
  <si>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</si>
  <si>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</si>
  <si>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</si>
  <si>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</si>
  <si>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</si>
  <si>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</si>
  <si>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</si>
  <si>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</si>
  <si>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</si>
  <si>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</si>
  <si>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</si>
  <si>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</si>
  <si>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</si>
  <si>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</si>
  <si>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</si>
  <si>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</si>
  <si>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</si>
  <si>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</si>
  <si>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</si>
  <si>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</si>
  <si>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</si>
  <si>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</si>
  <si>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</si>
  <si>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</si>
  <si>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</si>
  <si>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</si>
  <si>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</si>
  <si>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</si>
  <si>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</si>
  <si>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</si>
  <si>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</si>
  <si>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</si>
  <si>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</si>
  <si>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</si>
  <si>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</si>
  <si>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</si>
  <si>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</si>
  <si>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</si>
  <si>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</si>
  <si>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</si>
  <si>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</si>
  <si>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</si>
  <si>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</si>
  <si>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</si>
  <si>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</si>
  <si>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</si>
  <si>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</si>
  <si>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</si>
  <si>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</si>
  <si>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</si>
  <si>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</si>
  <si>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</si>
  <si>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</si>
  <si>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</si>
  <si>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</si>
  <si>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</si>
  <si>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</si>
  <si>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</si>
  <si>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</si>
  <si>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</si>
  <si>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</si>
  <si>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</si>
  <si>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</si>
  <si>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</si>
  <si>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</si>
  <si>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</si>
  <si>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</si>
  <si>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</si>
  <si>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</si>
  <si>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</si>
  <si>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</si>
  <si>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</si>
  <si>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</si>
  <si>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</si>
  <si>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</si>
  <si>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</si>
  <si>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</si>
  <si>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</si>
  <si>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</si>
  <si>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</si>
  <si>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</si>
  <si>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</si>
  <si>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</si>
  <si>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</si>
  <si>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</si>
  <si>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</si>
  <si>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</si>
  <si>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</si>
  <si>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</si>
  <si>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</si>
  <si>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</si>
  <si>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</si>
  <si>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</si>
  <si>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</si>
  <si>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</si>
  <si>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</si>
  <si>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</si>
  <si>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</si>
  <si>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</si>
  <si>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</si>
  <si>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</si>
  <si>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</si>
  <si>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</si>
  <si>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</si>
  <si>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</si>
  <si>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</si>
  <si>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</si>
  <si>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</si>
  <si>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</si>
  <si>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</si>
  <si>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</si>
  <si>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</si>
  <si>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</si>
  <si>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</si>
  <si>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</si>
  <si>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</si>
  <si>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</si>
  <si>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</si>
  <si>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</si>
  <si>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</si>
  <si>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</si>
  <si>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</si>
  <si>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</si>
  <si>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</si>
  <si>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</si>
  <si>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</si>
  <si>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</si>
  <si>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</si>
  <si>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</si>
  <si>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</si>
  <si>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</si>
  <si>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</si>
  <si>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</si>
  <si>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</si>
  <si>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</si>
  <si>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</si>
  <si>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</si>
  <si>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</si>
  <si>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</si>
  <si>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</si>
  <si>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</si>
  <si>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</si>
  <si>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</si>
  <si>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</si>
  <si>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</si>
  <si>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</si>
  <si>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</si>
  <si>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</si>
  <si>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</si>
  <si>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</si>
  <si>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</si>
  <si>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</si>
  <si>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</si>
  <si>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</si>
  <si>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</si>
  <si>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</si>
  <si>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</si>
  <si>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</si>
  <si>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</si>
  <si>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</si>
  <si>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</si>
  <si>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</si>
  <si>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</si>
  <si>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</si>
  <si>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</si>
  <si>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</si>
  <si>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</si>
  <si>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</si>
  <si>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</si>
  <si>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</si>
  <si>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</si>
  <si>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</si>
  <si>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</si>
  <si>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</si>
  <si>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</si>
  <si>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</si>
  <si>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</si>
  <si>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</si>
  <si>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</si>
  <si>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</si>
  <si>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</si>
  <si>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</si>
  <si>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</si>
  <si>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</si>
  <si>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</si>
  <si>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</si>
  <si>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</si>
  <si>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</si>
  <si>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</si>
  <si>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</si>
  <si>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</si>
  <si>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</si>
  <si>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</si>
  <si>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</si>
  <si>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</si>
  <si>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</si>
  <si>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</si>
  <si>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</si>
  <si>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</si>
  <si>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</si>
  <si>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</si>
  <si>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</si>
  <si>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</si>
  <si>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</si>
  <si>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</si>
  <si>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</si>
  <si>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</si>
  <si>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</si>
  <si>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</si>
  <si>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</si>
  <si>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</si>
  <si>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</si>
  <si>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</si>
  <si>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</si>
  <si>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</si>
  <si>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</si>
  <si>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</si>
  <si>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</si>
  <si>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</si>
  <si>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</si>
  <si>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</si>
  <si>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</si>
  <si>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</si>
  <si>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</si>
  <si>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</si>
  <si>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</si>
  <si>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</si>
  <si>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</si>
  <si>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</si>
  <si>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</si>
  <si>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</si>
  <si>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</si>
  <si>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</si>
  <si>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</si>
  <si>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</si>
  <si>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</si>
  <si>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</si>
  <si>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</si>
  <si>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</si>
  <si>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</si>
  <si>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</si>
  <si>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</si>
  <si>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</si>
  <si>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</si>
  <si>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</si>
  <si>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</si>
  <si>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</si>
  <si>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</si>
  <si>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</si>
  <si>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</si>
  <si>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</si>
  <si>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</si>
  <si>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</si>
  <si>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</si>
  <si>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</si>
  <si>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</si>
  <si>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</si>
  <si>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</si>
  <si>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</si>
  <si>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</si>
  <si>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</si>
  <si>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</si>
  <si>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</si>
  <si>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</si>
  <si>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</si>
  <si>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</si>
  <si>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</si>
  <si>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</si>
  <si>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</si>
  <si>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</si>
  <si>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</si>
  <si>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</si>
  <si>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</si>
  <si>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</si>
  <si>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</si>
  <si>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</si>
  <si>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</si>
  <si>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</si>
  <si>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</si>
  <si>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</si>
  <si>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</si>
  <si>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</si>
  <si>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</si>
  <si>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</si>
  <si>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</si>
  <si>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</si>
  <si>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</si>
  <si>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</si>
  <si>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</si>
  <si>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</si>
  <si>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</si>
  <si>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</si>
  <si>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</si>
  <si>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</si>
  <si>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</si>
  <si>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</si>
  <si>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</si>
  <si>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</si>
  <si>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</si>
  <si>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</si>
  <si>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</si>
  <si>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</si>
  <si>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</si>
  <si>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</si>
  <si>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</si>
  <si>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</si>
  <si>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</si>
  <si>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</si>
  <si>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</si>
  <si>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</si>
  <si>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</si>
  <si>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</si>
  <si>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</si>
  <si>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</si>
  <si>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</si>
  <si>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</si>
  <si>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</si>
  <si>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</si>
  <si>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</si>
  <si>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</si>
  <si>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</si>
  <si>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</si>
  <si>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</si>
  <si>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</si>
  <si>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</si>
  <si>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</si>
  <si>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</si>
  <si>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</si>
  <si>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</si>
  <si>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</si>
  <si>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</si>
  <si>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</si>
  <si>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</si>
  <si>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</si>
  <si>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</si>
  <si>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</si>
  <si>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</si>
  <si>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</si>
  <si>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</si>
  <si>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</si>
  <si>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</si>
  <si>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</si>
  <si>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</si>
  <si>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</si>
  <si>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</si>
  <si>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</si>
  <si>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</si>
  <si>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</si>
  <si>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</si>
  <si>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</si>
  <si>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</si>
  <si>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</si>
  <si>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</si>
  <si>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</si>
  <si>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</si>
  <si>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</si>
  <si>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</si>
  <si>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</si>
  <si>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</si>
  <si>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</si>
  <si>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</si>
  <si>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</si>
  <si>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</si>
  <si>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</si>
  <si>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</si>
  <si>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</si>
  <si>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</si>
  <si>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</si>
  <si>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</si>
  <si>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</si>
  <si>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</si>
  <si>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</si>
  <si>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</si>
  <si>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</si>
  <si>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</si>
  <si>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</si>
  <si>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</si>
  <si>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</si>
  <si>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</si>
  <si>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</si>
  <si>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</si>
  <si>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</si>
  <si>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</si>
  <si>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</si>
  <si>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</si>
  <si>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</si>
  <si>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</si>
  <si>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</si>
  <si>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</si>
  <si>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</si>
  <si>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</si>
  <si>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</si>
  <si>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</si>
  <si>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</si>
  <si>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</si>
  <si>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</si>
  <si>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</si>
  <si>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</si>
  <si>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</si>
  <si>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</si>
  <si>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</si>
  <si>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</si>
  <si>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</si>
  <si>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</si>
  <si>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</si>
  <si>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</si>
  <si>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</si>
  <si>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</si>
  <si>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</si>
  <si>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</si>
  <si>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</si>
  <si>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</si>
  <si>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</si>
  <si>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</si>
  <si>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</si>
  <si>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</si>
  <si>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</si>
  <si>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</si>
  <si>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</si>
  <si>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</si>
  <si>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</si>
  <si>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</si>
  <si>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</si>
  <si>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</si>
  <si>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</si>
  <si>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</si>
  <si>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</si>
  <si>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</si>
  <si>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</si>
  <si>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</si>
  <si>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</si>
  <si>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</si>
  <si>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</si>
  <si>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</si>
  <si>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</si>
  <si>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</si>
  <si>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</si>
  <si>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</si>
  <si>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</si>
  <si>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</si>
  <si>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</si>
  <si>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</si>
  <si>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</si>
  <si>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</si>
  <si>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</si>
  <si>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</si>
  <si>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</si>
  <si>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</si>
  <si>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</si>
  <si>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</si>
  <si>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</si>
  <si>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</si>
  <si>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</si>
  <si>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</si>
  <si>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</si>
  <si>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</si>
  <si>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</si>
  <si>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</si>
  <si>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</si>
  <si>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</si>
  <si>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</si>
  <si>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</si>
  <si>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</si>
  <si>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</si>
  <si>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</si>
  <si>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</si>
  <si>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</si>
  <si>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</si>
  <si>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</si>
  <si>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</si>
  <si>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</si>
  <si>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</si>
  <si>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</si>
  <si>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</si>
  <si>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</si>
  <si>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</si>
  <si>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</si>
  <si>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</si>
  <si>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</si>
  <si>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</si>
  <si>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</si>
  <si>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</si>
  <si>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</si>
  <si>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</si>
  <si>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</si>
  <si>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</si>
  <si>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</si>
  <si>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</si>
  <si>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</si>
  <si>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</si>
  <si>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</si>
  <si>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</si>
  <si>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</si>
  <si>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</si>
  <si>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</si>
  <si>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</si>
  <si>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</si>
  <si>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</si>
  <si>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</si>
  <si>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</si>
  <si>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</si>
  <si>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</si>
  <si>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</si>
  <si>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</si>
  <si>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</si>
  <si>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</si>
  <si>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</si>
  <si>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</si>
  <si>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</si>
  <si>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</si>
  <si>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</si>
  <si>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</si>
  <si>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</si>
  <si>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</si>
  <si>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</si>
  <si>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</si>
  <si>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</si>
  <si>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</si>
  <si>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</si>
  <si>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</si>
  <si>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</si>
  <si>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</si>
  <si>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</si>
  <si>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</si>
  <si>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</si>
  <si>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</si>
  <si>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</si>
  <si>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</si>
  <si>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</si>
  <si>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</si>
  <si>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</si>
  <si>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</si>
  <si>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</si>
  <si>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</si>
  <si>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</si>
  <si>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</si>
  <si>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</si>
  <si>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</si>
  <si>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</si>
  <si>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</si>
  <si>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</si>
  <si>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</si>
  <si>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</si>
  <si>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</si>
  <si>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</si>
  <si>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</si>
  <si>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</si>
  <si>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</si>
  <si>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</si>
  <si>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</si>
  <si>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</si>
  <si>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</si>
  <si>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</si>
  <si>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</si>
  <si>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</si>
  <si>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</si>
  <si>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</si>
  <si>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</si>
  <si>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</si>
  <si>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</si>
  <si>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</si>
  <si>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</si>
  <si>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</si>
  <si>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</si>
  <si>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</si>
  <si>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</si>
  <si>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</si>
  <si>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</si>
  <si>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</si>
  <si>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</si>
  <si>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</si>
  <si>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</si>
  <si>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</si>
  <si>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</si>
  <si>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</si>
  <si>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</si>
  <si>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</si>
  <si>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</si>
  <si>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</si>
  <si>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</si>
  <si>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</si>
  <si>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</si>
  <si>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</si>
  <si>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</si>
  <si>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</si>
  <si>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</si>
  <si>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</si>
  <si>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</si>
  <si>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</si>
  <si>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</si>
  <si>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</si>
  <si>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</si>
  <si>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</si>
  <si>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</si>
  <si>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</si>
  <si>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</si>
  <si>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</si>
  <si>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</si>
  <si>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</si>
  <si>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</si>
  <si>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</si>
  <si>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</si>
  <si>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</si>
  <si>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</si>
  <si>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</si>
  <si>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</si>
  <si>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</si>
  <si>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</si>
  <si>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</si>
  <si>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</si>
  <si>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</si>
  <si>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</si>
  <si>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</si>
  <si>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</si>
  <si>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</si>
  <si>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</si>
  <si>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</si>
  <si>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</si>
  <si>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</si>
  <si>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</si>
  <si>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</si>
  <si>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</si>
  <si>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</si>
  <si>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</si>
  <si>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</si>
  <si>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</si>
  <si>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</si>
  <si>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</si>
  <si>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</si>
  <si>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</si>
  <si>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</si>
  <si>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</si>
  <si>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</si>
  <si>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</si>
  <si>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</si>
  <si>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</si>
  <si>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</si>
  <si>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</si>
  <si>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</si>
  <si>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</si>
  <si>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</si>
  <si>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</si>
  <si>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</si>
  <si>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</si>
  <si>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</si>
  <si>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</si>
  <si>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</si>
  <si>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</si>
  <si>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</si>
  <si>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</si>
  <si>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</si>
  <si>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</si>
  <si>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</si>
  <si>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</si>
  <si>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</si>
  <si>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</si>
  <si>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</si>
  <si>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</si>
  <si>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</si>
  <si>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</si>
  <si>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</si>
  <si>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</si>
  <si>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</si>
  <si>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</si>
  <si>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</si>
  <si>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</si>
  <si>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</si>
  <si>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</si>
  <si>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</si>
  <si>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</si>
  <si>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</si>
  <si>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</si>
  <si>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</si>
  <si>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</si>
  <si>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</si>
  <si>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</si>
  <si>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</si>
  <si>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</si>
  <si>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</si>
  <si>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</si>
  <si>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</si>
  <si>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</si>
  <si>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</si>
  <si>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</si>
  <si>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</si>
  <si>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</si>
  <si>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</si>
  <si>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</si>
  <si>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</si>
  <si>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</si>
  <si>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</si>
  <si>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</si>
  <si>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</si>
  <si>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</si>
  <si>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</si>
  <si>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</si>
  <si>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</si>
  <si>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</si>
  <si>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</si>
  <si>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</si>
  <si>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</si>
  <si>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</si>
  <si>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</si>
  <si>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</si>
  <si>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</si>
  <si>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</si>
  <si>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</si>
  <si>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</si>
  <si>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</si>
  <si>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</si>
  <si>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</si>
  <si>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</si>
  <si>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</si>
  <si>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</si>
  <si>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</si>
  <si>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</si>
  <si>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</si>
  <si>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</si>
  <si>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</si>
  <si>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</si>
  <si>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</si>
  <si>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</si>
  <si>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</si>
  <si>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</si>
  <si>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</si>
  <si>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</si>
  <si>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</si>
  <si>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</si>
  <si>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</si>
  <si>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</si>
  <si>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</si>
  <si>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</si>
  <si>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</si>
  <si>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</si>
  <si>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</si>
  <si>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</si>
  <si>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</si>
  <si>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</si>
  <si>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</si>
  <si>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</si>
  <si>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</si>
  <si>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</si>
  <si>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</si>
  <si>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</si>
  <si>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</si>
  <si>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</si>
  <si>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</si>
  <si>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</si>
  <si>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</si>
  <si>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</si>
  <si>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</si>
  <si>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</si>
  <si>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</si>
  <si>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</si>
  <si>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</si>
  <si>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</si>
  <si>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</si>
  <si>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</si>
  <si>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</si>
  <si>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</si>
  <si>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</si>
  <si>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</si>
  <si>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</si>
  <si>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</si>
  <si>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</si>
  <si>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</si>
  <si>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</si>
  <si>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</si>
  <si>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</si>
  <si>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</si>
  <si>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</si>
  <si>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</si>
  <si>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</si>
  <si>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</si>
  <si>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</si>
  <si>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</si>
  <si>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</si>
  <si>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</si>
  <si>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</si>
  <si>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</si>
  <si>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</si>
  <si>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</si>
  <si>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</si>
  <si>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</si>
  <si>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</si>
  <si>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</si>
  <si>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</si>
  <si>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</si>
  <si>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</si>
  <si>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</si>
  <si>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</si>
  <si>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</si>
  <si>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</si>
  <si>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</si>
  <si>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</si>
  <si>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</si>
  <si>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</si>
  <si>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</si>
  <si>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</si>
  <si>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</si>
  <si>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</si>
  <si>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</si>
  <si>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</si>
  <si>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</si>
  <si>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</si>
  <si>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</si>
  <si>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</si>
  <si>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</si>
  <si>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</si>
  <si>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</si>
  <si>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</si>
  <si>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</si>
  <si>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</si>
  <si>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</si>
  <si>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</si>
  <si>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</si>
  <si>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</si>
  <si>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</si>
  <si>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</si>
  <si>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</si>
  <si>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</si>
  <si>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</si>
  <si>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</si>
  <si>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</si>
  <si>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</si>
  <si>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</si>
  <si>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</si>
  <si>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</si>
  <si>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</si>
  <si>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</si>
  <si>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</si>
  <si>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</si>
  <si>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</si>
  <si>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</si>
  <si>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</si>
  <si>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</si>
  <si>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</si>
  <si>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</si>
  <si>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</si>
  <si>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</si>
  <si>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</si>
  <si>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</si>
  <si>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</si>
  <si>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</si>
  <si>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</si>
  <si>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</si>
  <si>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</si>
  <si>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</si>
  <si>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</si>
  <si>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</si>
  <si>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</si>
  <si>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</si>
  <si>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</si>
  <si>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</si>
  <si>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</si>
  <si>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</si>
  <si>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</si>
  <si>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</si>
  <si>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</si>
  <si>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</si>
  <si>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</si>
  <si>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</si>
  <si>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</si>
  <si>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</si>
  <si>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</si>
  <si>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</si>
  <si>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</si>
  <si>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</si>
  <si>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</si>
  <si>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</si>
  <si>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</si>
  <si>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</si>
  <si>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</si>
  <si>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</si>
  <si>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</si>
  <si>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</si>
  <si>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</si>
  <si>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</si>
  <si>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</si>
  <si>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</si>
  <si>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</si>
  <si>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</si>
  <si>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</si>
  <si>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</si>
  <si>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</si>
  <si>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</si>
  <si>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</si>
  <si>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</si>
  <si>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</si>
  <si>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</si>
  <si>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</si>
  <si>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</si>
  <si>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</si>
  <si>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</si>
  <si>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</si>
  <si>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</si>
  <si>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</si>
  <si>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</si>
  <si>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</si>
  <si>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</si>
  <si>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</si>
  <si>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</si>
  <si>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</si>
  <si>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</si>
  <si>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</si>
  <si>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</si>
  <si>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</si>
  <si>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</si>
  <si>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</si>
  <si>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</si>
  <si>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</si>
  <si>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</si>
  <si>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</si>
  <si>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</si>
  <si>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</si>
  <si>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</si>
  <si>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</si>
  <si>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</si>
  <si>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</si>
  <si>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</si>
  <si>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</si>
  <si>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</si>
  <si>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</si>
  <si>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</si>
  <si>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</si>
  <si>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</si>
  <si>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</si>
  <si>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</si>
  <si>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</si>
  <si>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</si>
  <si>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</si>
  <si>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</si>
  <si>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</si>
  <si>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</si>
  <si>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</si>
  <si>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</si>
  <si>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</si>
  <si>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</si>
  <si>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</si>
  <si>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</si>
  <si>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</si>
  <si>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</si>
  <si>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</si>
  <si>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</si>
  <si>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</si>
  <si>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</si>
  <si>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</si>
  <si>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</si>
  <si>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</si>
  <si>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</si>
  <si>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</si>
  <si>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</si>
  <si>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</si>
  <si>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</si>
  <si>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</si>
  <si>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</si>
  <si>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</si>
  <si>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</si>
  <si>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</si>
  <si>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</si>
  <si>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</si>
  <si>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</si>
  <si>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</si>
  <si>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</si>
  <si>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</si>
  <si>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</si>
  <si>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</si>
  <si>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</si>
  <si>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</si>
  <si>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</si>
  <si>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</si>
  <si>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</si>
  <si>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</si>
  <si>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</si>
  <si>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</si>
  <si>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</si>
  <si>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</si>
  <si>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</si>
  <si>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</si>
  <si>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</si>
  <si>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</si>
  <si>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</si>
  <si>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</si>
  <si>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</si>
  <si>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</si>
  <si>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</si>
  <si>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</si>
  <si>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</si>
  <si>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</si>
  <si>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</si>
  <si>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</si>
  <si>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</si>
  <si>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</si>
  <si>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</si>
  <si>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</si>
  <si>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</si>
  <si>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</si>
  <si>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</si>
  <si>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</si>
  <si>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</si>
  <si>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</si>
  <si>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</si>
  <si>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</si>
  <si>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</si>
  <si>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</si>
  <si>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</si>
  <si>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</si>
  <si>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</si>
  <si>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</si>
  <si>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</si>
  <si>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</si>
  <si>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</si>
  <si>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</si>
  <si>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</si>
  <si>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</si>
  <si>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</si>
  <si>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</si>
  <si>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</si>
  <si>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</si>
  <si>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</si>
  <si>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</si>
  <si>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</si>
  <si>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</si>
  <si>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</si>
  <si>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</si>
  <si>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</si>
  <si>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</si>
  <si>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</si>
  <si>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</si>
  <si>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</si>
  <si>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</si>
  <si>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</si>
  <si>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</si>
  <si>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</si>
  <si>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</si>
  <si>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</si>
  <si>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</si>
  <si>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</si>
  <si>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</si>
  <si>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</si>
  <si>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</si>
  <si>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</si>
  <si>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</si>
  <si>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</si>
  <si>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</si>
  <si>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</si>
  <si>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</si>
  <si>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</si>
  <si>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</si>
  <si>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</si>
  <si>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</si>
  <si>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</si>
  <si>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</si>
  <si>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</si>
  <si>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</si>
  <si>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</si>
  <si>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</si>
  <si>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</si>
  <si>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</si>
  <si>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</si>
  <si>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</si>
  <si>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</si>
  <si>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</si>
  <si>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</si>
  <si>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</si>
  <si>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</si>
  <si>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</si>
  <si>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</si>
  <si>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</si>
  <si>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</si>
  <si>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</si>
  <si>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</si>
  <si>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</si>
  <si>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</si>
  <si>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</si>
  <si>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</si>
  <si>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</si>
  <si>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</si>
  <si>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</si>
  <si>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</si>
  <si>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</si>
  <si>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</si>
  <si>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</si>
  <si>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</si>
  <si>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</si>
  <si>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</si>
  <si>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</si>
  <si>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</si>
  <si>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</si>
  <si>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</si>
  <si>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</si>
  <si>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</si>
  <si>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</si>
  <si>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</si>
  <si>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</si>
  <si>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</si>
  <si>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</si>
  <si>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</si>
  <si>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</si>
  <si>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</si>
  <si>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</si>
  <si>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</si>
  <si>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</si>
  <si>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</si>
  <si>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</si>
  <si>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</si>
  <si>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</si>
  <si>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</si>
  <si>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</si>
  <si>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</si>
  <si>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</si>
  <si>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</si>
  <si>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</si>
  <si>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</si>
  <si>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</si>
  <si>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</si>
  <si>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</si>
  <si>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</si>
  <si>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</si>
  <si>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</si>
  <si>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</si>
  <si>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</si>
  <si>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</si>
  <si>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</si>
  <si>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</si>
  <si>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</si>
  <si>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</si>
  <si>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</si>
  <si>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</si>
  <si>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</si>
  <si>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</si>
  <si>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</si>
  <si>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</si>
  <si>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</si>
  <si>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</si>
  <si>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</si>
  <si>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</si>
  <si>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</si>
  <si>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</si>
  <si>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</si>
  <si>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</si>
  <si>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</si>
  <si>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</si>
  <si>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</si>
  <si>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</si>
  <si>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</si>
  <si>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</si>
  <si>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</si>
  <si>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</si>
  <si>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</si>
  <si>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</si>
  <si>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</si>
  <si>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</si>
  <si>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</si>
  <si>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</si>
  <si>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</si>
  <si>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</si>
  <si>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</si>
  <si>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</si>
  <si>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</si>
  <si>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</si>
  <si>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</si>
  <si>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</si>
  <si>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</si>
  <si>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</si>
  <si>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</si>
  <si>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</si>
  <si>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</si>
  <si>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</si>
  <si>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</si>
  <si>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</si>
  <si>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</si>
  <si>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</si>
  <si>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</si>
  <si>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</si>
  <si>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</si>
  <si>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</si>
  <si>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</si>
  <si>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</si>
  <si>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</si>
  <si>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</si>
  <si>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</si>
  <si>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</si>
  <si>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</si>
  <si>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</si>
  <si>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</si>
  <si>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</si>
  <si>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</si>
  <si>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</si>
  <si>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</si>
  <si>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</si>
  <si>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</si>
  <si>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</si>
  <si>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</si>
  <si>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</si>
  <si>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</si>
  <si>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</si>
  <si>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</si>
  <si>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</si>
  <si>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</si>
  <si>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</si>
  <si>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</si>
  <si>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</si>
  <si>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</si>
  <si>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</si>
  <si>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</si>
  <si>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</si>
  <si>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</si>
  <si>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</si>
  <si>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</si>
  <si>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</si>
  <si>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</si>
  <si>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</si>
  <si>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</si>
  <si>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</si>
  <si>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</si>
  <si>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</si>
  <si>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</si>
  <si>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</si>
  <si>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</si>
  <si>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</si>
  <si>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</si>
  <si>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</si>
  <si>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</si>
  <si>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</si>
  <si>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</si>
  <si>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</si>
  <si>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</si>
  <si>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</si>
  <si>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</si>
  <si>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</si>
  <si>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</si>
  <si>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</si>
  <si>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</si>
  <si>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</si>
  <si>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</si>
  <si>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</si>
  <si>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</si>
  <si>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</si>
  <si>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</si>
  <si>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</si>
  <si>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</si>
  <si>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</si>
  <si>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</si>
  <si>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</si>
  <si>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</si>
  <si>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</si>
  <si>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</si>
  <si>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</si>
  <si>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</si>
  <si>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</si>
  <si>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</si>
  <si>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</si>
  <si>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</si>
  <si>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</si>
  <si>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</si>
  <si>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</si>
  <si>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</si>
  <si>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</si>
  <si>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</si>
  <si>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</si>
  <si>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</si>
  <si>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</si>
  <si>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</si>
  <si>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</si>
  <si>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</si>
  <si>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</si>
  <si>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</si>
  <si>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</si>
  <si>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</si>
  <si>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</si>
  <si>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</si>
  <si>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</si>
  <si>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</si>
  <si>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</si>
  <si>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</si>
  <si>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</si>
  <si>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</si>
  <si>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</si>
  <si>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</si>
  <si>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</si>
  <si>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</si>
  <si>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</si>
  <si>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</si>
  <si>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</si>
  <si>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</si>
  <si>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</si>
  <si>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</si>
  <si>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</si>
  <si>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</si>
  <si>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</si>
  <si>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</si>
  <si>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</si>
  <si>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</si>
  <si>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</si>
  <si>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</si>
  <si>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</si>
  <si>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</si>
  <si>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</si>
  <si>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</si>
  <si>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</si>
  <si>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</si>
  <si>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</si>
  <si>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</si>
  <si>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</si>
  <si>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</si>
  <si>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</si>
  <si>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</si>
  <si>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</si>
  <si>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</si>
  <si>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</si>
  <si>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</si>
  <si>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</si>
  <si>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</si>
  <si>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</si>
  <si>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</si>
  <si>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</si>
  <si>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</si>
  <si>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</si>
  <si>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</si>
  <si>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</si>
  <si>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</si>
  <si>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</si>
  <si>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</si>
  <si>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</si>
  <si>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</si>
  <si>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</si>
  <si>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</si>
  <si>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</si>
  <si>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</si>
  <si>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</si>
  <si>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</si>
  <si>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</si>
  <si>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</si>
  <si>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</si>
  <si>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</si>
  <si>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</si>
  <si>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</si>
  <si>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</si>
  <si>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</si>
  <si>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</si>
  <si>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</si>
  <si>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</si>
  <si>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</si>
  <si>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</si>
  <si>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</si>
  <si>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</si>
  <si>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</si>
  <si>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</si>
  <si>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</si>
  <si>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</si>
  <si>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</si>
  <si>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</si>
  <si>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</si>
  <si>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</si>
  <si>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</si>
  <si>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</si>
  <si>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</si>
  <si>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</si>
  <si>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</si>
  <si>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</si>
  <si>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</si>
  <si>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</si>
  <si>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</si>
  <si>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</si>
  <si>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</si>
  <si>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</si>
  <si>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</si>
  <si>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</si>
  <si>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</si>
  <si>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</si>
  <si>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</si>
  <si>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</si>
  <si>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</si>
  <si>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</si>
  <si>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</si>
  <si>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</si>
  <si>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</si>
  <si>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</si>
  <si>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</si>
  <si>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</si>
  <si>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</si>
  <si>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</si>
  <si>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</si>
  <si>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</si>
  <si>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</si>
  <si>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</si>
  <si>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</si>
  <si>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</si>
  <si>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</si>
  <si>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</si>
  <si>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</si>
  <si>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</si>
  <si>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</si>
  <si>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</si>
  <si>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</si>
  <si>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</si>
  <si>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</si>
  <si>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</si>
  <si>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</si>
  <si>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</si>
  <si>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</si>
  <si>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</si>
  <si>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</si>
  <si>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</si>
  <si>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</si>
  <si>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</si>
  <si>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</si>
  <si>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</si>
  <si>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</si>
  <si>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</si>
  <si>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</si>
  <si>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</si>
  <si>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</si>
  <si>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</si>
  <si>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</si>
  <si>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</si>
  <si>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</si>
  <si>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</si>
  <si>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</si>
  <si>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</si>
  <si>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</si>
  <si>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</si>
  <si>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</si>
  <si>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</si>
  <si>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</si>
  <si>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</si>
  <si>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</si>
  <si>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</si>
  <si>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</si>
  <si>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</si>
  <si>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</si>
  <si>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</si>
  <si>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</si>
  <si>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</si>
  <si>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</si>
  <si>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</si>
  <si>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</si>
  <si>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</si>
  <si>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</si>
  <si>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</si>
  <si>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</si>
  <si>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</si>
  <si>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</si>
  <si>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</si>
  <si>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</si>
  <si>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</si>
  <si>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</si>
  <si>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</si>
  <si>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</si>
  <si>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</si>
  <si>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</si>
  <si>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</si>
  <si>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</si>
  <si>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</si>
  <si>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</si>
  <si>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</si>
  <si>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</si>
  <si>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</si>
  <si>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</si>
  <si>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</si>
  <si>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</si>
  <si>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</si>
  <si>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</si>
  <si>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</si>
  <si>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</si>
  <si>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</si>
  <si>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</si>
  <si>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</si>
  <si>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</si>
  <si>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</si>
  <si>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</si>
  <si>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</si>
  <si>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</si>
  <si>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</si>
  <si>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</si>
  <si>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</si>
  <si>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</si>
  <si>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</si>
  <si>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</si>
  <si>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</si>
  <si>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</si>
  <si>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</si>
  <si>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</si>
  <si>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</si>
  <si>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</si>
  <si>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</si>
  <si>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</si>
  <si>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</si>
  <si>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</si>
  <si>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</si>
  <si>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</si>
  <si>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</si>
  <si>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</si>
  <si>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</si>
  <si>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</si>
  <si>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</si>
  <si>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</si>
  <si>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</si>
  <si>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</si>
  <si>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</si>
  <si>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</si>
  <si>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</si>
  <si>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</si>
  <si>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</si>
  <si>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</si>
  <si>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</si>
  <si>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</si>
  <si>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</si>
  <si>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</si>
  <si>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</si>
  <si>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</si>
  <si>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</si>
  <si>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</si>
  <si>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</si>
  <si>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</si>
  <si>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</si>
  <si>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</si>
  <si>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</si>
  <si>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</si>
  <si>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</si>
  <si>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</si>
  <si>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</si>
  <si>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</si>
  <si>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</si>
  <si>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</si>
  <si>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</si>
  <si>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</si>
  <si>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</si>
  <si>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</si>
  <si>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</si>
  <si>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</si>
  <si>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</si>
  <si>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</si>
  <si>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</si>
  <si>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</si>
  <si>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</si>
  <si>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</si>
  <si>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</si>
  <si>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</si>
  <si>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</si>
  <si>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</si>
  <si>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</si>
  <si>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</si>
  <si>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</si>
  <si>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</si>
  <si>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</si>
  <si>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</si>
  <si>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</si>
  <si>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</si>
  <si>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</si>
  <si>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</si>
  <si>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</si>
  <si>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</si>
  <si>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</si>
  <si>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</si>
  <si>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</si>
  <si>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</si>
  <si>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</si>
  <si>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</si>
  <si>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</si>
  <si>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</si>
  <si>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</si>
  <si>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</si>
  <si>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</si>
  <si>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</si>
  <si>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</si>
  <si>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</si>
  <si>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</si>
  <si>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</si>
  <si>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</si>
  <si>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</si>
  <si>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</si>
  <si>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</si>
  <si>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</si>
  <si>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</si>
  <si>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</si>
  <si>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</si>
  <si>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</si>
  <si>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</si>
  <si>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</si>
  <si>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</si>
  <si>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</si>
  <si>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</si>
  <si>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</si>
  <si>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</si>
  <si>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</si>
  <si>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</si>
  <si>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</si>
  <si>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</si>
  <si>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</si>
  <si>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</si>
  <si>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</si>
  <si>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</si>
  <si>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</si>
  <si>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</si>
  <si>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</si>
  <si>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</si>
  <si>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</si>
  <si>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</si>
  <si>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</si>
  <si>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</si>
  <si>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</si>
  <si>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</si>
  <si>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</si>
  <si>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</si>
  <si>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</si>
  <si>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</si>
  <si>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</si>
  <si>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</si>
  <si>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</si>
  <si>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</si>
  <si>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</si>
  <si>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</si>
  <si>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</si>
  <si>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</si>
  <si>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</si>
  <si>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</si>
  <si>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</si>
  <si>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</si>
  <si>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</si>
  <si>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</si>
  <si>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</si>
  <si>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</si>
  <si>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</si>
  <si>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</si>
  <si>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</si>
  <si>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</si>
  <si>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</si>
  <si>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</si>
  <si>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</si>
  <si>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</si>
  <si>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</si>
  <si>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</si>
  <si>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</si>
  <si>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</si>
  <si>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</si>
  <si>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</si>
  <si>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</si>
  <si>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</si>
  <si>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</si>
  <si>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</si>
  <si>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</si>
  <si>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</si>
  <si>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</si>
  <si>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</si>
  <si>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</si>
  <si>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</si>
  <si>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</si>
  <si>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</si>
  <si>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</si>
  <si>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</si>
  <si>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</si>
  <si>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</si>
  <si>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</si>
  <si>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</si>
  <si>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</si>
  <si>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</si>
  <si>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</si>
  <si>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</si>
  <si>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</si>
  <si>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</si>
  <si>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</si>
  <si>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</si>
  <si>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</si>
  <si>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</si>
  <si>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</si>
  <si>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</si>
  <si>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</si>
  <si>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</si>
  <si>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</si>
  <si>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</si>
  <si>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</si>
  <si>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</si>
  <si>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</si>
  <si>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</si>
  <si>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</si>
  <si>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</si>
  <si>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</si>
  <si>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</si>
  <si>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</si>
  <si>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</si>
  <si>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</si>
  <si>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</si>
  <si>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</si>
  <si>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</si>
  <si>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</si>
  <si>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</si>
  <si>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</si>
  <si>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</si>
  <si>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</si>
  <si>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</si>
  <si>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</si>
  <si>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</si>
  <si>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</si>
  <si>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</si>
  <si>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</si>
  <si>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</si>
  <si>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</si>
  <si>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</si>
  <si>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</si>
  <si>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</si>
  <si>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</si>
  <si>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</si>
  <si>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</si>
  <si>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</si>
  <si>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</si>
  <si>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</si>
  <si>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</si>
  <si>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</si>
  <si>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</si>
  <si>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</si>
  <si>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</si>
  <si>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</si>
  <si>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</si>
  <si>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</si>
  <si>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</si>
  <si>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</si>
  <si>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</si>
  <si>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</si>
  <si>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</si>
  <si>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</si>
  <si>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</si>
  <si>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</si>
  <si>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</si>
  <si>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</si>
  <si>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</si>
  <si>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</si>
  <si>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</si>
  <si>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</si>
  <si>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</si>
  <si>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</si>
  <si>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</si>
  <si>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</si>
  <si>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</si>
  <si>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</si>
  <si>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</si>
  <si>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</si>
  <si>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</si>
  <si>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</si>
  <si>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</si>
  <si>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</si>
  <si>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</si>
  <si>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</si>
  <si>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</si>
  <si>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</si>
  <si>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</si>
  <si>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</si>
  <si>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</si>
  <si>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</si>
  <si>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</si>
  <si>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</si>
  <si>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</si>
  <si>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</si>
  <si>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</si>
  <si>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</si>
  <si>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</si>
  <si>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</si>
  <si>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</si>
  <si>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</si>
  <si>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</si>
  <si>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</si>
  <si>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</si>
  <si>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</si>
  <si>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</si>
  <si>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</si>
  <si>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</si>
  <si>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</si>
  <si>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</si>
  <si>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</si>
  <si>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</si>
  <si>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</si>
  <si>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</si>
  <si>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</si>
  <si>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</si>
  <si>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</si>
  <si>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</si>
  <si>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</si>
  <si>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</si>
  <si>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</si>
  <si>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</si>
  <si>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</si>
  <si>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</si>
  <si>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</si>
  <si>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</si>
  <si>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</si>
  <si>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</si>
  <si>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</si>
  <si>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</si>
  <si>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</si>
  <si>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</si>
  <si>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</si>
  <si>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</si>
  <si>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</si>
  <si>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</si>
  <si>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</si>
  <si>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</si>
  <si>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</si>
  <si>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</si>
  <si>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</si>
  <si>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</si>
  <si>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</si>
  <si>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</si>
  <si>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</si>
  <si>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</si>
  <si>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</si>
  <si>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</si>
  <si>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</si>
  <si>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</si>
  <si>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</si>
  <si>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</si>
  <si>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</si>
  <si>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</si>
  <si>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</si>
  <si>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</si>
  <si>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</si>
  <si>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</si>
  <si>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</si>
  <si>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</si>
  <si>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</si>
  <si>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</si>
  <si>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</si>
  <si>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</si>
  <si>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</si>
  <si>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</si>
  <si>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</si>
  <si>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</si>
  <si>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</si>
  <si>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</si>
  <si>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</si>
  <si>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</si>
  <si>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</si>
  <si>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</si>
  <si>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</si>
  <si>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</si>
  <si>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</si>
  <si>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</si>
  <si>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</si>
  <si>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</si>
  <si>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</si>
  <si>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</si>
  <si>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</si>
  <si>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</si>
  <si>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</si>
  <si>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</si>
  <si>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</si>
  <si>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</si>
  <si>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</si>
  <si>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</si>
  <si>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</si>
  <si>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</si>
  <si>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</si>
  <si>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</si>
  <si>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</si>
  <si>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</si>
  <si>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</si>
  <si>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</si>
  <si>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</si>
  <si>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</si>
  <si>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</si>
  <si>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</si>
  <si>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</si>
  <si>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</si>
  <si>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</si>
  <si>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</si>
  <si>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</si>
  <si>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</si>
  <si>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</si>
  <si>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</si>
  <si>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</si>
  <si>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</si>
  <si>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</si>
  <si>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</si>
  <si>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</si>
  <si>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</si>
  <si>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</si>
  <si>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</si>
  <si>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</si>
  <si>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</si>
  <si>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</si>
  <si>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</si>
  <si>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</si>
  <si>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</si>
  <si>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</si>
  <si>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</si>
  <si>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</si>
  <si>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</si>
  <si>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</si>
  <si>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</si>
  <si>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</si>
  <si>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</si>
  <si>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</si>
  <si>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</si>
  <si>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</si>
  <si>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</si>
  <si>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</si>
  <si>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</si>
  <si>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</si>
  <si>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</si>
  <si>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</si>
  <si>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</si>
  <si>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</si>
  <si>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</si>
  <si>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</si>
  <si>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</si>
  <si>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</si>
  <si>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</si>
  <si>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</si>
  <si>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</si>
  <si>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</si>
  <si>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</si>
  <si>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</si>
  <si>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</si>
  <si>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</si>
  <si>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</si>
  <si>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</si>
  <si>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</si>
  <si>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</si>
  <si>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</si>
  <si>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</si>
  <si>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</si>
  <si>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</si>
  <si>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</si>
  <si>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</si>
  <si>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</si>
  <si>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</si>
  <si>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</si>
  <si>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</si>
  <si>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</si>
  <si>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</si>
  <si>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</si>
  <si>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</si>
  <si>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</si>
  <si>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</si>
  <si>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</si>
  <si>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</si>
  <si>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</si>
  <si>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</si>
  <si>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</si>
  <si>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</si>
  <si>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</si>
  <si>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</si>
  <si>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</si>
  <si>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</si>
  <si>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</si>
  <si>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</si>
  <si>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</si>
  <si>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</si>
  <si>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</si>
  <si>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</si>
  <si>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</si>
  <si>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</si>
  <si>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</si>
  <si>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</si>
  <si>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</si>
  <si>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</si>
  <si>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</si>
  <si>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</si>
  <si>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</si>
  <si>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</si>
  <si>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</si>
  <si>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</si>
  <si>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</si>
  <si>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</si>
  <si>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</si>
  <si>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</si>
  <si>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</si>
  <si>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</si>
  <si>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</si>
  <si>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</si>
  <si>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</si>
  <si>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</si>
  <si>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</si>
  <si>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</si>
  <si>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</si>
  <si>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</si>
  <si>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</si>
  <si>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</si>
  <si>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</si>
  <si>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</si>
  <si>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</si>
  <si>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</si>
  <si>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</si>
  <si>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</si>
  <si>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</si>
  <si>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</si>
  <si>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</si>
  <si>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</si>
  <si>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</si>
  <si>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</si>
  <si>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</si>
  <si>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</si>
  <si>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</si>
  <si>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</si>
  <si>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</si>
  <si>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</si>
  <si>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</si>
  <si>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</si>
  <si>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</si>
  <si>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</si>
  <si>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</si>
  <si>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</si>
  <si>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</si>
  <si>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</si>
  <si>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</si>
  <si>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</si>
  <si>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</si>
  <si>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</si>
  <si>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</si>
  <si>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</si>
  <si>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</si>
  <si>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</si>
  <si>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</si>
  <si>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</si>
  <si>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</si>
  <si>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</si>
  <si>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</si>
  <si>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</si>
  <si>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</si>
  <si>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</si>
  <si>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</si>
  <si>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</si>
  <si>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</si>
  <si>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</si>
  <si>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</si>
  <si>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</si>
  <si>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</si>
  <si>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</si>
  <si>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</si>
  <si>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</si>
  <si>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</si>
  <si>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</si>
  <si>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</si>
  <si>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</si>
  <si>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</si>
  <si>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</si>
  <si>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</si>
  <si>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</si>
  <si>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</si>
  <si>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</si>
  <si>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</si>
  <si>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</si>
  <si>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</si>
  <si>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</si>
  <si>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</si>
  <si>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</si>
  <si>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</si>
  <si>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</si>
  <si>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</si>
  <si>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</si>
  <si>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</si>
  <si>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</si>
  <si>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</si>
  <si>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</si>
  <si>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</si>
  <si>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</si>
  <si>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</si>
  <si>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</si>
  <si>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</si>
  <si>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</si>
  <si>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</si>
  <si>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</si>
  <si>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</si>
  <si>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</si>
  <si>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</si>
  <si>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</si>
  <si>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</si>
  <si>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</si>
  <si>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</si>
  <si>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</si>
  <si>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</si>
  <si>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</si>
  <si>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</si>
  <si>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</si>
  <si>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</si>
  <si>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</si>
  <si>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</si>
  <si>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</si>
  <si>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</si>
  <si>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</si>
  <si>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</si>
  <si>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</si>
  <si>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</si>
  <si>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</si>
  <si>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</si>
  <si>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</si>
  <si>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</si>
  <si>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</si>
  <si>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</si>
  <si>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</si>
  <si>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</si>
  <si>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</si>
  <si>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</si>
  <si>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</si>
  <si>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</si>
  <si>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</si>
  <si>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</si>
  <si>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</si>
  <si>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</si>
  <si>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</si>
  <si>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</si>
  <si>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</si>
  <si>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</si>
  <si>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</si>
  <si>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</si>
  <si>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</si>
  <si>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</si>
  <si>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</si>
  <si>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</si>
  <si>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</si>
  <si>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</si>
  <si>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</si>
  <si>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</si>
  <si>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</si>
  <si>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</si>
  <si>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</si>
  <si>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</si>
  <si>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</si>
  <si>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</si>
  <si>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</si>
  <si>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</si>
  <si>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</si>
  <si>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</si>
  <si>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</si>
  <si>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</si>
  <si>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</si>
  <si>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</si>
  <si>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</si>
  <si>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</si>
  <si>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</si>
  <si>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</si>
  <si>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</si>
  <si>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</si>
  <si>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</si>
  <si>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</si>
  <si>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</si>
  <si>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</si>
  <si>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</si>
  <si>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</si>
  <si>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</si>
  <si>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</si>
  <si>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</si>
  <si>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</si>
  <si>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</si>
  <si>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</si>
  <si>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</si>
  <si>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</si>
  <si>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</si>
  <si>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</si>
  <si>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</si>
  <si>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</si>
  <si>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</si>
  <si>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</si>
  <si>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</si>
  <si>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</si>
  <si>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</si>
  <si>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</si>
  <si>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</si>
  <si>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</si>
  <si>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</si>
  <si>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</si>
  <si>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</si>
  <si>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</si>
  <si>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</si>
  <si>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</si>
  <si>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</si>
  <si>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</si>
  <si>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</si>
  <si>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</si>
  <si>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</si>
  <si>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</si>
  <si>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</si>
  <si>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</si>
  <si>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</si>
  <si>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</si>
  <si>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</si>
  <si>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</si>
  <si>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</si>
  <si>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</si>
  <si>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</si>
  <si>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</si>
  <si>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</si>
  <si>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</si>
  <si>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</si>
  <si>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</si>
  <si>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</si>
  <si>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</si>
  <si>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</si>
  <si>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</si>
  <si>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</si>
  <si>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</si>
  <si>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</si>
  <si>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</si>
  <si>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</si>
  <si>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</si>
  <si>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</si>
  <si>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</si>
  <si>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</si>
  <si>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</si>
  <si>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</si>
  <si>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</si>
  <si>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</si>
  <si>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</si>
  <si>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</si>
  <si>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</si>
  <si>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</si>
  <si>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</si>
  <si>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</si>
  <si>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</si>
  <si>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</si>
  <si>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</si>
  <si>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</si>
  <si>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</si>
  <si>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</si>
  <si>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</si>
  <si>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</si>
  <si>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</si>
  <si>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</si>
  <si>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</si>
  <si>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</si>
  <si>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</si>
  <si>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</si>
  <si>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</si>
  <si>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</si>
  <si>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</si>
  <si>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</si>
  <si>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</si>
  <si>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</si>
  <si>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</si>
  <si>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</si>
  <si>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</si>
  <si>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</si>
  <si>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</si>
  <si>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</si>
  <si>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</si>
  <si>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</si>
  <si>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</si>
  <si>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</si>
  <si>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</si>
  <si>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</si>
  <si>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</si>
  <si>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</si>
  <si>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</si>
  <si>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</si>
  <si>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</si>
  <si>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</si>
  <si>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</si>
  <si>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</si>
  <si>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</si>
  <si>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</si>
  <si>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</si>
  <si>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</si>
  <si>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</si>
  <si>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</si>
  <si>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</si>
  <si>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</si>
  <si>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</si>
  <si>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</si>
  <si>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</si>
  <si>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</si>
  <si>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</si>
  <si>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</si>
  <si>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</si>
  <si>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</si>
  <si>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</si>
  <si>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</si>
  <si>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</si>
  <si>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</si>
  <si>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</si>
  <si>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</si>
  <si>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</si>
  <si>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</si>
  <si>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</si>
  <si>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</si>
  <si>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</si>
  <si>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</si>
  <si>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</si>
  <si>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</si>
  <si>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</si>
  <si>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</si>
  <si>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</si>
  <si>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</si>
  <si>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</si>
  <si>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</si>
  <si>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</si>
  <si>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</si>
  <si>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</si>
  <si>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</si>
  <si>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</si>
  <si>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</si>
  <si>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</si>
  <si>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</si>
  <si>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</si>
  <si>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</si>
  <si>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</si>
  <si>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</si>
  <si>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</si>
  <si>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</si>
  <si>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</si>
  <si>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</si>
  <si>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</si>
  <si>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</si>
  <si>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</si>
  <si>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</si>
  <si>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</si>
  <si>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</si>
  <si>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</si>
  <si>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</si>
  <si>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</si>
  <si>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</si>
  <si>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</si>
  <si>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</si>
  <si>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</si>
  <si>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</si>
  <si>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</si>
  <si>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</si>
  <si>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</si>
  <si>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</si>
  <si>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</si>
  <si>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</si>
  <si>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</si>
  <si>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</si>
  <si>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</si>
  <si>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</si>
  <si>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</si>
  <si>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</si>
  <si>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</si>
  <si>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</si>
  <si>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</si>
  <si>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</si>
  <si>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</si>
  <si>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</si>
  <si>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</si>
  <si>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</si>
  <si>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</si>
  <si>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</si>
  <si>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</si>
  <si>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</si>
  <si>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</si>
  <si>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</si>
  <si>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</si>
  <si>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</si>
  <si>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</si>
  <si>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</si>
  <si>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</si>
  <si>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</si>
  <si>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</si>
  <si>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</si>
  <si>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</si>
  <si>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</si>
  <si>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</si>
  <si>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</si>
  <si>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</si>
  <si>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</si>
  <si>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</si>
  <si>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</si>
  <si>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</si>
  <si>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</si>
  <si>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</si>
  <si>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</si>
  <si>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</si>
  <si>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</si>
  <si>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</si>
  <si>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</si>
  <si>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</si>
  <si>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</si>
  <si>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</si>
  <si>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</si>
  <si>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</si>
  <si>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</si>
  <si>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</si>
  <si>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</si>
  <si>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</si>
  <si>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</si>
  <si>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</si>
  <si>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</si>
  <si>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</si>
  <si>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</si>
  <si>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</si>
  <si>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</si>
  <si>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</si>
  <si>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</si>
  <si>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</si>
  <si>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</si>
  <si>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</si>
  <si>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</si>
  <si>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</si>
  <si>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</si>
  <si>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</si>
  <si>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</si>
  <si>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</si>
  <si>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</si>
  <si>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</si>
  <si>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</si>
  <si>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</si>
  <si>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</si>
  <si>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</si>
  <si>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</si>
  <si>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</si>
  <si>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</si>
  <si>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</si>
  <si>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</si>
  <si>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</si>
  <si>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</si>
  <si>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</si>
  <si>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</si>
  <si>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</si>
  <si>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</si>
  <si>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</si>
  <si>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</si>
  <si>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</si>
  <si>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</si>
  <si>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</si>
  <si>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</si>
  <si>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</si>
  <si>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</si>
  <si>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</si>
  <si>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</si>
  <si>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</si>
  <si>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</si>
  <si>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</si>
  <si>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</si>
  <si>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</si>
  <si>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</si>
  <si>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</si>
  <si>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</si>
  <si>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</si>
  <si>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</si>
  <si>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</si>
  <si>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</si>
  <si>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</si>
  <si>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</si>
  <si>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</si>
  <si>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</si>
  <si>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</si>
  <si>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</si>
  <si>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</si>
  <si>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</si>
  <si>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</si>
  <si>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</si>
  <si>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</si>
  <si>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</si>
  <si>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</si>
  <si>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</si>
  <si>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</si>
  <si>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</si>
  <si>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</si>
  <si>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</si>
  <si>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</si>
  <si>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</si>
  <si>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</si>
  <si>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</si>
  <si>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</si>
  <si>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</si>
  <si>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</si>
  <si>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</si>
  <si>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</si>
  <si>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</si>
  <si>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</si>
  <si>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</si>
  <si>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</si>
  <si>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</si>
  <si>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</si>
  <si>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</si>
  <si>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</si>
  <si>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</si>
  <si>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</si>
  <si>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</si>
  <si>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</si>
  <si>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</si>
  <si>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</si>
  <si>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</si>
  <si>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</si>
  <si>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</si>
  <si>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</si>
  <si>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</si>
  <si>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</si>
  <si>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</si>
  <si>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</si>
  <si>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</si>
  <si>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</si>
  <si>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</si>
  <si>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</si>
  <si>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</si>
  <si>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</si>
  <si>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</si>
  <si>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</si>
  <si>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</si>
  <si>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</si>
  <si>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</si>
  <si>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</si>
  <si>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</si>
  <si>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</si>
  <si>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</si>
  <si>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</si>
  <si>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</si>
  <si>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</si>
  <si>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</si>
  <si>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</si>
  <si>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</si>
  <si>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</si>
  <si>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</si>
  <si>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</si>
  <si>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</si>
  <si>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</si>
  <si>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</si>
  <si>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</si>
  <si>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</si>
  <si>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</si>
  <si>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</si>
  <si>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</si>
  <si>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</si>
  <si>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</si>
  <si>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</si>
  <si>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</si>
  <si>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</si>
  <si>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</si>
  <si>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</si>
  <si>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</si>
  <si>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</si>
  <si>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</si>
  <si>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</si>
  <si>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</si>
  <si>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</si>
  <si>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</si>
  <si>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</si>
  <si>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</si>
  <si>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</si>
  <si>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</si>
  <si>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</si>
  <si>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</si>
  <si>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</si>
  <si>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</si>
  <si>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</si>
  <si>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</si>
  <si>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</si>
  <si>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</si>
  <si>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</si>
  <si>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</si>
  <si>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</si>
  <si>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</si>
  <si>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</si>
  <si>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</si>
  <si>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</si>
  <si>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</si>
  <si>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</si>
  <si>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</si>
  <si>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</si>
  <si>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</si>
  <si>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</si>
  <si>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</si>
  <si>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</si>
  <si>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</si>
  <si>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</si>
  <si>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</si>
  <si>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</si>
  <si>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</si>
  <si>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</si>
  <si>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</si>
  <si>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</si>
  <si>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</si>
  <si>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</si>
  <si>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</si>
  <si>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</si>
  <si>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</si>
  <si>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</si>
  <si>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</si>
  <si>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</si>
  <si>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</si>
  <si>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</si>
  <si>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</si>
  <si>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</si>
  <si>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</si>
  <si>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</si>
  <si>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</si>
  <si>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</si>
  <si>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</si>
  <si>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</si>
  <si>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</si>
  <si>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</si>
  <si>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</si>
  <si>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</si>
  <si>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</si>
  <si>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</si>
  <si>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</si>
  <si>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</si>
  <si>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</si>
  <si>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</si>
  <si>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</si>
  <si>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</si>
  <si>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</si>
  <si>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</si>
  <si>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</si>
  <si>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</si>
  <si>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</si>
  <si>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</si>
  <si>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</si>
  <si>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</si>
  <si>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</si>
  <si>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</si>
  <si>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</si>
  <si>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</si>
  <si>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</si>
  <si>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</si>
  <si>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</si>
  <si>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</si>
  <si>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</si>
  <si>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</si>
  <si>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</si>
  <si>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</si>
  <si>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</si>
  <si>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</si>
  <si>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</si>
  <si>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</si>
  <si>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</si>
  <si>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</si>
  <si>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</si>
  <si>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</si>
  <si>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</si>
  <si>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</si>
  <si>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</si>
  <si>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</si>
  <si>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</si>
  <si>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</si>
  <si>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</si>
  <si>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</si>
  <si>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</si>
  <si>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</si>
  <si>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</si>
  <si>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</si>
  <si>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</si>
  <si>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</si>
  <si>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</si>
  <si>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</si>
  <si>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</si>
  <si>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</si>
  <si>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</si>
  <si>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</si>
  <si>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</si>
  <si>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</si>
  <si>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</si>
  <si>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</si>
  <si>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</si>
  <si>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</si>
  <si>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</si>
  <si>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</si>
  <si>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</si>
  <si>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</si>
  <si>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</si>
  <si>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</si>
  <si>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</si>
  <si>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</si>
  <si>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</si>
  <si>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</si>
  <si>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</si>
  <si>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</si>
  <si>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</si>
  <si>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</si>
  <si>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</si>
  <si>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</si>
  <si>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</si>
  <si>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</si>
  <si>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</si>
  <si>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</si>
  <si>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</si>
  <si>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</si>
  <si>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</si>
  <si>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</si>
  <si>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</si>
  <si>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</si>
  <si>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</si>
  <si>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</si>
  <si>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</si>
  <si>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</si>
  <si>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</si>
  <si>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</si>
  <si>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</si>
  <si>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</si>
  <si>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</si>
  <si>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</si>
  <si>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</si>
  <si>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</si>
  <si>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</si>
  <si>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</si>
  <si>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</si>
  <si>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</si>
  <si>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</si>
  <si>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</si>
  <si>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</si>
  <si>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</si>
  <si>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</si>
  <si>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</si>
  <si>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</si>
  <si>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</si>
  <si>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</si>
  <si>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</si>
  <si>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</si>
  <si>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</si>
  <si>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</si>
  <si>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</si>
  <si>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</si>
  <si>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</si>
  <si>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</si>
  <si>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</si>
  <si>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</si>
  <si>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</si>
  <si>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</si>
  <si>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</si>
  <si>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</si>
  <si>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</si>
  <si>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</si>
  <si>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</si>
  <si>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</si>
  <si>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</si>
  <si>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</si>
  <si>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</si>
  <si>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</si>
  <si>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</si>
  <si>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</si>
  <si>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</si>
  <si>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</si>
  <si>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</si>
  <si>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</si>
  <si>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</si>
  <si>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</si>
  <si>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</si>
  <si>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</si>
  <si>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</si>
  <si>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</si>
  <si>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</si>
  <si>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</si>
  <si>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</si>
  <si>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</si>
  <si>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</si>
  <si>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</si>
  <si>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</si>
  <si>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</si>
  <si>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</si>
  <si>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</si>
  <si>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</si>
  <si>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</si>
  <si>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</si>
  <si>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</si>
  <si>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</si>
  <si>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</si>
  <si>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</si>
  <si>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</si>
  <si>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</si>
  <si>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</si>
  <si>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</si>
  <si>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</si>
  <si>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</si>
  <si>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</si>
  <si>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</si>
  <si>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</si>
  <si>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</si>
  <si>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</si>
  <si>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</si>
  <si>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</si>
  <si>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</si>
  <si>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</si>
  <si>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</si>
  <si>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</si>
  <si>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</si>
  <si>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</si>
  <si>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</si>
  <si>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</si>
  <si>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</si>
  <si>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</si>
  <si>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</si>
  <si>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</si>
  <si>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</si>
  <si>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</si>
  <si>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</si>
  <si>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</si>
  <si>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</si>
  <si>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</si>
  <si>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</si>
  <si>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</si>
  <si>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</si>
  <si>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</si>
  <si>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</si>
  <si>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</si>
  <si>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</si>
  <si>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</si>
  <si>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</si>
  <si>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</si>
  <si>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</si>
  <si>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</si>
  <si>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</si>
  <si>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</si>
  <si>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</si>
  <si>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</si>
  <si>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</si>
  <si>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</si>
  <si>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</si>
  <si>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</si>
  <si>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</si>
  <si>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</si>
  <si>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</si>
  <si>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</si>
  <si>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</si>
  <si>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</si>
  <si>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</si>
  <si>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</si>
  <si>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</si>
  <si>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</si>
  <si>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</si>
  <si>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</si>
  <si>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</si>
  <si>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</si>
  <si>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</si>
  <si>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</si>
  <si>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</si>
  <si>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</si>
  <si>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</si>
  <si>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</si>
  <si>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</si>
  <si>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</si>
  <si>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</si>
  <si>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</si>
  <si>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</si>
  <si>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</si>
  <si>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</si>
  <si>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</si>
  <si>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</si>
  <si>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</si>
  <si>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</si>
  <si>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</si>
  <si>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</si>
  <si>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</si>
  <si>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</si>
  <si>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</si>
  <si>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</si>
  <si>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</si>
  <si>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</si>
  <si>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</si>
  <si>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</si>
  <si>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</si>
  <si>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</si>
  <si>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</si>
  <si>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</si>
  <si>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</si>
  <si>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</si>
  <si>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</si>
  <si>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</si>
  <si>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</si>
  <si>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</si>
  <si>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</si>
  <si>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</si>
  <si>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</si>
  <si>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</si>
  <si>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</si>
  <si>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</si>
  <si>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</si>
  <si>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</si>
  <si>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</si>
  <si>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</si>
  <si>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</si>
  <si>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</si>
  <si>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</si>
  <si>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</si>
  <si>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</si>
  <si>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</si>
  <si>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</si>
  <si>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</si>
  <si>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</si>
  <si>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</si>
  <si>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</si>
  <si>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</si>
  <si>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</si>
  <si>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</si>
  <si>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</si>
  <si>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</si>
  <si>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</si>
  <si>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</si>
  <si>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</si>
  <si>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</si>
  <si>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</si>
  <si>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</si>
  <si>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</si>
  <si>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</si>
  <si>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</si>
  <si>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</si>
  <si>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</si>
  <si>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</si>
  <si>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</si>
  <si>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</si>
  <si>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</si>
  <si>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</si>
  <si>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</si>
  <si>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</si>
  <si>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</si>
  <si>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</si>
  <si>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</si>
  <si>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</si>
  <si>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</si>
  <si>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</si>
  <si>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</si>
  <si>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</si>
  <si>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</si>
  <si>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</si>
  <si>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</si>
  <si>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</si>
  <si>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</si>
  <si>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</si>
  <si>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</si>
  <si>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</si>
  <si>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</si>
  <si>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</si>
  <si>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</si>
  <si>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</si>
  <si>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</si>
  <si>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</si>
  <si>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</si>
  <si>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</si>
  <si>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</si>
  <si>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</si>
  <si>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</si>
  <si>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</si>
  <si>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</si>
  <si>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</si>
  <si>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</si>
  <si>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</si>
  <si>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</si>
  <si>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</si>
  <si>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</si>
  <si>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</si>
  <si>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</si>
  <si>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</si>
  <si>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</si>
  <si>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</si>
  <si>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</si>
  <si>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</si>
  <si>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</si>
  <si>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</si>
  <si>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</si>
  <si>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</si>
  <si>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</si>
  <si>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</si>
  <si>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</si>
  <si>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</si>
  <si>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</si>
  <si>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</si>
  <si>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</si>
  <si>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</si>
  <si>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</si>
  <si>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</si>
  <si>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</si>
  <si>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</si>
  <si>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</si>
  <si>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</si>
  <si>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</si>
  <si>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</si>
  <si>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</si>
  <si>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</si>
  <si>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</si>
  <si>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</si>
  <si>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</si>
  <si>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</si>
  <si>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</si>
  <si>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</si>
  <si>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</si>
  <si>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</si>
  <si>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</si>
  <si>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</si>
  <si>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</si>
  <si>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</si>
  <si>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</si>
  <si>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</si>
  <si>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</si>
  <si>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</si>
  <si>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</si>
  <si>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</si>
  <si>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</si>
  <si>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</si>
  <si>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</si>
  <si>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</si>
  <si>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</si>
  <si>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</si>
  <si>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</si>
  <si>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</si>
  <si>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</si>
  <si>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</si>
  <si>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</si>
  <si>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</si>
  <si>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</si>
  <si>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</si>
  <si>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</si>
  <si>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</si>
  <si>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</si>
  <si>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</si>
  <si>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</si>
  <si>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</si>
  <si>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</si>
  <si>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</si>
  <si>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</si>
  <si>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</si>
  <si>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</si>
  <si>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</si>
  <si>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</si>
  <si>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</si>
  <si>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</si>
  <si>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</si>
  <si>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</si>
  <si>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</si>
  <si>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</si>
  <si>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</si>
  <si>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</si>
  <si>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</si>
  <si>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</si>
  <si>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</si>
  <si>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</si>
  <si>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</si>
  <si>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</si>
  <si>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</si>
  <si>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</si>
  <si>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</si>
  <si>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</si>
  <si>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</si>
  <si>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</si>
  <si>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</si>
  <si>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</si>
  <si>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</si>
  <si>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</si>
  <si>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</si>
  <si>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</si>
  <si>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</si>
  <si>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</si>
  <si>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</si>
  <si>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</si>
  <si>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</si>
  <si>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</si>
  <si>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</si>
  <si>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</si>
  <si>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</si>
  <si>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</si>
  <si>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</si>
  <si>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</si>
  <si>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</si>
  <si>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</si>
  <si>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</si>
  <si>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</si>
  <si>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</si>
  <si>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</si>
  <si>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</si>
  <si>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</si>
  <si>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</si>
  <si>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</si>
  <si>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</si>
  <si>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</si>
  <si>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</si>
  <si>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</si>
  <si>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</si>
  <si>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</si>
  <si>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</si>
  <si>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</si>
  <si>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</si>
  <si>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t>2#绿隔产业用房</t>
    </r>
    <r>
      <rPr>
        <sz val="11"/>
        <color theme="1"/>
        <rFont val="宋体"/>
        <family val="3"/>
        <charset val="134"/>
        <scheme val="minor"/>
      </rPr>
      <t/>
    </r>
  </si>
  <si>
    <r>
      <t>3#绿隔产业用房</t>
    </r>
    <r>
      <rPr>
        <sz val="11"/>
        <color theme="1"/>
        <rFont val="宋体"/>
        <family val="3"/>
        <charset val="134"/>
        <scheme val="minor"/>
      </rPr>
      <t/>
    </r>
  </si>
  <si>
    <r>
      <t>4#绿隔产业用房</t>
    </r>
    <r>
      <rPr>
        <sz val="11"/>
        <color theme="1"/>
        <rFont val="宋体"/>
        <family val="3"/>
        <charset val="134"/>
        <scheme val="minor"/>
      </rPr>
      <t/>
    </r>
  </si>
  <si>
    <r>
      <t>5#绿隔产业用房</t>
    </r>
    <r>
      <rPr>
        <sz val="11"/>
        <color theme="1"/>
        <rFont val="宋体"/>
        <family val="3"/>
        <charset val="134"/>
        <scheme val="minor"/>
      </rPr>
      <t/>
    </r>
  </si>
  <si>
    <r>
      <t>6#绿隔产业用房</t>
    </r>
    <r>
      <rPr>
        <sz val="11"/>
        <color theme="1"/>
        <rFont val="宋体"/>
        <family val="3"/>
        <charset val="134"/>
        <scheme val="minor"/>
      </rPr>
      <t/>
    </r>
  </si>
  <si>
    <t>地下车库</t>
  </si>
  <si>
    <t>地下车库</t>
    <phoneticPr fontId="134" type="noConversion"/>
  </si>
  <si>
    <t>总建筑面积</t>
    <phoneticPr fontId="134" type="noConversion"/>
  </si>
  <si>
    <t>地上建筑面积</t>
    <phoneticPr fontId="134" type="noConversion"/>
  </si>
  <si>
    <t>地下建筑面积</t>
    <phoneticPr fontId="134" type="noConversion"/>
  </si>
  <si>
    <t>地下</t>
  </si>
  <si>
    <t>地下</t>
    <phoneticPr fontId="134" type="noConversion"/>
  </si>
  <si>
    <t>绿隔产业用房</t>
    <phoneticPr fontId="134" type="noConversion"/>
  </si>
  <si>
    <t>设备用房</t>
    <phoneticPr fontId="134" type="noConversion"/>
  </si>
  <si>
    <t>1#人防战时主要出入口</t>
    <phoneticPr fontId="134" type="noConversion"/>
  </si>
  <si>
    <t>2#人防战时主要出入口</t>
    <phoneticPr fontId="134" type="noConversion"/>
  </si>
  <si>
    <t>1#汽车坡道</t>
    <phoneticPr fontId="134" type="noConversion"/>
  </si>
  <si>
    <t>2#汽车坡道</t>
    <phoneticPr fontId="134" type="noConversion"/>
  </si>
  <si>
    <t>合计</t>
  </si>
  <si>
    <t>1#绿隔产业用房</t>
    <phoneticPr fontId="134" type="noConversion"/>
  </si>
  <si>
    <t>人防工程</t>
    <phoneticPr fontId="134" type="noConversion"/>
  </si>
  <si>
    <t>人防室外口</t>
    <phoneticPr fontId="134" type="noConversion"/>
  </si>
  <si>
    <t>是</t>
  </si>
  <si>
    <t>《建设工程规划许可证》[建字第110108202000256号]</t>
    <phoneticPr fontId="134" type="noConversion"/>
  </si>
  <si>
    <t>办公</t>
    <phoneticPr fontId="3" type="noConversion"/>
  </si>
  <si>
    <t>地下商业</t>
  </si>
  <si>
    <t>地下商业</t>
    <phoneticPr fontId="3" type="noConversion"/>
  </si>
  <si>
    <t>地下车库</t>
    <phoneticPr fontId="3" type="noConversion"/>
  </si>
  <si>
    <t>地上</t>
  </si>
  <si>
    <t>办公</t>
    <phoneticPr fontId="7" type="noConversion"/>
  </si>
  <si>
    <t>地下车库</t>
    <phoneticPr fontId="7" type="noConversion"/>
  </si>
  <si>
    <t>序号</t>
  </si>
  <si>
    <t xml:space="preserve">工程项目 </t>
  </si>
  <si>
    <t>计算基数</t>
  </si>
  <si>
    <t>单价</t>
  </si>
  <si>
    <t>合计（万元）</t>
  </si>
  <si>
    <t>备注</t>
  </si>
  <si>
    <t>一</t>
  </si>
  <si>
    <t>土地费用</t>
  </si>
  <si>
    <t>土地出让金</t>
  </si>
  <si>
    <t xml:space="preserve"> 契税</t>
  </si>
  <si>
    <t>印花税</t>
  </si>
  <si>
    <t>二</t>
  </si>
  <si>
    <t>工程费用</t>
  </si>
  <si>
    <t>138635平方米</t>
  </si>
  <si>
    <t>合9821元/平方米</t>
  </si>
  <si>
    <t>75624平方米</t>
  </si>
  <si>
    <t>合11247元/平方米</t>
  </si>
  <si>
    <t>土建工程</t>
  </si>
  <si>
    <t>5000元/平方米</t>
  </si>
  <si>
    <t>装修工程</t>
  </si>
  <si>
    <t>1.2.1</t>
  </si>
  <si>
    <t>内装修工程</t>
  </si>
  <si>
    <t>3000元/平方米</t>
  </si>
  <si>
    <t>1.2.2</t>
  </si>
  <si>
    <t>外装修工程</t>
  </si>
  <si>
    <t>2600元/平方米</t>
  </si>
  <si>
    <t>强电工程</t>
  </si>
  <si>
    <t>120元/平方米</t>
  </si>
  <si>
    <t>消防工程</t>
  </si>
  <si>
    <t>100元/平方米</t>
  </si>
  <si>
    <t>弱电工程</t>
  </si>
  <si>
    <t>90元/平方米</t>
  </si>
  <si>
    <t>变配电工程</t>
  </si>
  <si>
    <t>给排水工程</t>
  </si>
  <si>
    <t>60元/平方米</t>
  </si>
  <si>
    <t>电梯工程</t>
  </si>
  <si>
    <t>20部</t>
  </si>
  <si>
    <t>140000元/部</t>
  </si>
  <si>
    <t>空调及采暖工程</t>
  </si>
  <si>
    <t>50元/平方米</t>
  </si>
  <si>
    <t>通风工程</t>
  </si>
  <si>
    <t>63011平方米</t>
  </si>
  <si>
    <t>合7810元/平方米</t>
  </si>
  <si>
    <t>5200元/平方米</t>
  </si>
  <si>
    <t>2000元/平方米</t>
  </si>
  <si>
    <t>室外工程</t>
  </si>
  <si>
    <t>合249元/平方米</t>
  </si>
  <si>
    <t>绿化工程</t>
  </si>
  <si>
    <t>11344平方米</t>
  </si>
  <si>
    <t>30元/平方米</t>
  </si>
  <si>
    <t>道路及硬化</t>
  </si>
  <si>
    <t>26468平方米</t>
  </si>
  <si>
    <t>85元/平方米</t>
  </si>
  <si>
    <t>室外给排水管网</t>
  </si>
  <si>
    <t>37812平方米</t>
  </si>
  <si>
    <t>130元/平方米</t>
  </si>
  <si>
    <t>室外燃气管网</t>
  </si>
  <si>
    <t>140元/平方米</t>
  </si>
  <si>
    <t>室外电气</t>
  </si>
  <si>
    <t>160元/平方米</t>
  </si>
  <si>
    <t>三</t>
  </si>
  <si>
    <t>工程建设其他费</t>
  </si>
  <si>
    <t>合1402元/平方米</t>
  </si>
  <si>
    <t>城市基础设施建设费</t>
  </si>
  <si>
    <t>200元/平方米</t>
  </si>
  <si>
    <t>京计投资字[2002]1792号</t>
  </si>
  <si>
    <t>建设单位管理费</t>
  </si>
  <si>
    <t>136152 万元</t>
  </si>
  <si>
    <t>插值取费</t>
  </si>
  <si>
    <t>财建[2016]504号</t>
  </si>
  <si>
    <t>项目申请报告</t>
  </si>
  <si>
    <t>计价格[1999]1283号</t>
  </si>
  <si>
    <t>节能报告</t>
  </si>
  <si>
    <t>环境影响评价报告书</t>
  </si>
  <si>
    <t>计价格[2002]125号</t>
  </si>
  <si>
    <t>交通影响评价报告</t>
  </si>
  <si>
    <t>1.5元/平方米</t>
  </si>
  <si>
    <t>市规发[2001]1001号</t>
  </si>
  <si>
    <t>水影响评价</t>
  </si>
  <si>
    <t>保监[2005]22号</t>
  </si>
  <si>
    <t>勘察费</t>
  </si>
  <si>
    <t>3209 万元</t>
  </si>
  <si>
    <t>计价格[2002]10号</t>
  </si>
  <si>
    <t>设计费</t>
  </si>
  <si>
    <t>工程监理费</t>
  </si>
  <si>
    <t>发改价格[2007]670号</t>
  </si>
  <si>
    <t>招标代理服务费</t>
  </si>
  <si>
    <t>142001 万元</t>
  </si>
  <si>
    <t>计价格[2002]1980号</t>
  </si>
  <si>
    <t>招标交易服务费</t>
  </si>
  <si>
    <t>京价（收）字1999年042号，京发改[2004]736号、京发改[2004]737号</t>
  </si>
  <si>
    <t>施工图设计文件审查费</t>
  </si>
  <si>
    <t>2元/平方米</t>
  </si>
  <si>
    <t>发改价格[2011]534号</t>
  </si>
  <si>
    <t>竣工图编制费</t>
  </si>
  <si>
    <t>四</t>
  </si>
  <si>
    <t>建设期利息</t>
  </si>
  <si>
    <t>150000 万元</t>
  </si>
  <si>
    <t>利率取4.75%</t>
  </si>
  <si>
    <t>五</t>
  </si>
  <si>
    <t>预备费</t>
  </si>
  <si>
    <t>146753 万元</t>
  </si>
  <si>
    <t>（二+三）*5%</t>
  </si>
  <si>
    <t>六</t>
  </si>
  <si>
    <t>建设总投资</t>
  </si>
  <si>
    <t>合36394元/平方米</t>
  </si>
  <si>
    <t>工程进度</t>
  </si>
  <si>
    <t>收益法-办公</t>
  </si>
  <si>
    <t>收益法-办公</t>
    <phoneticPr fontId="16" type="noConversion"/>
  </si>
  <si>
    <t>收益法-商业</t>
  </si>
  <si>
    <t>收益法-地下车库</t>
  </si>
  <si>
    <t>收益法-地下车库</t>
    <phoneticPr fontId="16" type="noConversion"/>
  </si>
  <si>
    <t>收益法-商业</t>
    <phoneticPr fontId="16" type="noConversion"/>
  </si>
  <si>
    <t>押一</t>
  </si>
  <si>
    <t>钢混</t>
  </si>
  <si>
    <t>非生产用房</t>
  </si>
  <si>
    <t>公共服务</t>
  </si>
  <si>
    <t>宗地容积率</t>
  </si>
  <si>
    <t>与级别开发程度不一致</t>
  </si>
  <si>
    <t>通路</t>
  </si>
  <si>
    <t>通电</t>
  </si>
  <si>
    <t>通讯</t>
  </si>
  <si>
    <t>通上水</t>
  </si>
  <si>
    <t>通下水</t>
  </si>
  <si>
    <t>燃气</t>
  </si>
  <si>
    <t>平整</t>
  </si>
  <si>
    <t>未包含在土地购买价格中</t>
  </si>
  <si>
    <t>全部缴纳</t>
  </si>
  <si>
    <t>已包含在土地取得成本中</t>
  </si>
  <si>
    <t>成本法</t>
  </si>
  <si>
    <t>假设开发法</t>
  </si>
  <si>
    <t>表7-2 项目收入表</t>
  </si>
  <si>
    <t>项目</t>
  </si>
  <si>
    <t>内容</t>
  </si>
  <si>
    <t>经营期</t>
  </si>
  <si>
    <t>第4年</t>
  </si>
  <si>
    <t>第5年</t>
  </si>
  <si>
    <t>第6年</t>
  </si>
  <si>
    <t>第7年</t>
  </si>
  <si>
    <t>第48年</t>
  </si>
  <si>
    <t>第49年</t>
  </si>
  <si>
    <t>第50年</t>
  </si>
  <si>
    <t>产业用房</t>
  </si>
  <si>
    <t>百分比（%）</t>
  </si>
  <si>
    <r>
      <t>面积（m</t>
    </r>
    <r>
      <rPr>
        <vertAlign val="superscript"/>
        <sz val="10.5"/>
        <color theme="1"/>
        <rFont val="仿宋_GB2312"/>
        <family val="3"/>
        <charset val="134"/>
      </rPr>
      <t>2</t>
    </r>
    <r>
      <rPr>
        <sz val="10.5"/>
        <color theme="1"/>
        <rFont val="仿宋_GB2312"/>
        <family val="3"/>
        <charset val="134"/>
      </rPr>
      <t>）</t>
    </r>
  </si>
  <si>
    <r>
      <t>日租金（元/m</t>
    </r>
    <r>
      <rPr>
        <vertAlign val="superscript"/>
        <sz val="10.5"/>
        <color theme="1"/>
        <rFont val="仿宋_GB2312"/>
        <family val="3"/>
        <charset val="134"/>
      </rPr>
      <t>2</t>
    </r>
    <r>
      <rPr>
        <sz val="10.5"/>
        <color theme="1"/>
        <rFont val="仿宋_GB2312"/>
        <family val="3"/>
        <charset val="134"/>
      </rPr>
      <t>）</t>
    </r>
  </si>
  <si>
    <t>年收入（万元）</t>
  </si>
  <si>
    <t>车位大小</t>
    <phoneticPr fontId="134" type="noConversion"/>
  </si>
  <si>
    <t>一般</t>
  </si>
  <si>
    <t>较好</t>
  </si>
  <si>
    <t>在建</t>
  </si>
  <si>
    <t>项目全部</t>
  </si>
  <si>
    <t>年总收益</t>
    <phoneticPr fontId="3" type="noConversion"/>
  </si>
  <si>
    <t>单位租金</t>
    <phoneticPr fontId="3" type="noConversion"/>
  </si>
  <si>
    <t>郑燚</t>
  </si>
  <si>
    <t>地上商业</t>
    <phoneticPr fontId="3" type="noConversion"/>
  </si>
  <si>
    <t>商业</t>
    <phoneticPr fontId="7" type="noConversion"/>
  </si>
  <si>
    <t>在建（套用方法）</t>
  </si>
  <si>
    <t>地上商业</t>
    <phoneticPr fontId="134" type="noConversion"/>
  </si>
  <si>
    <t>地下商业</t>
    <phoneticPr fontId="134" type="noConversion"/>
  </si>
  <si>
    <t>面积</t>
    <phoneticPr fontId="134" type="noConversion"/>
  </si>
  <si>
    <t>单价</t>
    <phoneticPr fontId="134" type="noConversion"/>
  </si>
  <si>
    <t>总价</t>
  </si>
  <si>
    <t>总价</t>
    <phoneticPr fontId="134"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</si>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</sst>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b/>
      <sz val="12"/>
      <color rgb="FF000000"/>
      <name val="仿宋_GB2312"/>
      <family val="3"/>
      <charset val="134"/>
    </font>
    <font>
      <b/>
      <sz val="12"/>
      <color theme="1"/>
      <name val="仿宋_GB2312"/>
      <family val="3"/>
      <charset val="134"/>
    </font>
    <font>
      <sz val="12"/>
      <color theme="1"/>
      <name val="仿宋_GB2312"/>
      <family val="3"/>
      <charset val="134"/>
    </font>
    <font>
      <sz val="12"/>
      <color rgb="FF000000"/>
      <name val="仿宋_GB2312"/>
      <family val="3"/>
      <charset val="134"/>
    </font>
    <font>
      <b/>
      <sz val="14"/>
      <color rgb="FF000000"/>
      <name val="仿宋_GB2312"/>
      <family val="3"/>
      <charset val="134"/>
    </font>
    <font>
      <b/>
      <sz val="10.5"/>
      <color theme="1"/>
      <name val="仿宋_GB2312"/>
      <family val="3"/>
      <charset val="134"/>
    </font>
    <font>
      <sz val="10.5"/>
      <color theme="1"/>
      <name val="仿宋_GB2312"/>
      <family val="3"/>
      <charset val="134"/>
    </font>
    <font>
      <vertAlign val="superscript"/>
      <sz val="10.5"/>
      <color theme="1"/>
      <name val="仿宋_GB2312"/>
      <family val="3"/>
      <charset val="134"/>
    </font>
    <font>
      <sz val="11"/>
      <color rgb="FFFF000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69" fillId="0" borderId="0" xfId="0" applyFont="1">
      <alignment vertical="center"/>
    </xf>
    <xf numFmtId="2" fontId="269" fillId="0" borderId="0" xfId="0" applyNumberFormat="1" applyFont="1">
      <alignment vertical="center"/>
    </xf>
    <xf numFmtId="0" fontId="269" fillId="19" borderId="0" xfId="0" applyFon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70" fillId="0" borderId="82" xfId="0" applyFont="1" applyBorder="1" applyAlignment="1">
      <alignment horizontal="center" vertical="center" wrapText="1"/>
    </xf>
    <xf numFmtId="0" fontId="270" fillId="0" borderId="65" xfId="0"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0" fontId="270" fillId="0" borderId="43" xfId="0" applyFont="1" applyBorder="1" applyAlignment="1">
      <alignment horizontal="center" vertical="center" wrapText="1"/>
    </xf>
    <xf numFmtId="0" fontId="272" fillId="0" borderId="81" xfId="0" applyFont="1" applyBorder="1" applyAlignment="1">
      <alignment horizontal="center" vertical="center" wrapText="1"/>
    </xf>
    <xf numFmtId="0" fontId="272" fillId="0" borderId="43" xfId="0" applyFont="1" applyBorder="1" applyAlignment="1">
      <alignment horizontal="center" vertical="center" wrapText="1"/>
    </xf>
    <xf numFmtId="0" fontId="273" fillId="0" borderId="43" xfId="0" applyFont="1" applyBorder="1" applyAlignment="1">
      <alignment horizontal="center" vertical="center" wrapText="1"/>
    </xf>
    <xf numFmtId="0" fontId="270" fillId="0" borderId="81" xfId="0" applyFont="1" applyBorder="1" applyAlignment="1">
      <alignment horizontal="center" vertical="center" wrapText="1"/>
    </xf>
    <xf numFmtId="0" fontId="273" fillId="0" borderId="81" xfId="0" applyFont="1" applyBorder="1" applyAlignment="1">
      <alignment horizontal="center" vertical="center" wrapText="1"/>
    </xf>
    <xf numFmtId="0" fontId="273" fillId="0" borderId="56" xfId="0" applyFont="1" applyBorder="1" applyAlignment="1">
      <alignment horizontal="left" vertical="center" wrapText="1"/>
    </xf>
    <xf numFmtId="0" fontId="273" fillId="0" borderId="65" xfId="0" applyFont="1" applyBorder="1" applyAlignment="1">
      <alignment horizontal="center" vertical="center" wrapText="1"/>
    </xf>
    <xf numFmtId="9" fontId="272" fillId="0" borderId="43" xfId="0" applyNumberFormat="1" applyFont="1" applyBorder="1" applyAlignment="1">
      <alignment horizontal="center" vertical="center" wrapText="1"/>
    </xf>
    <xf numFmtId="0" fontId="272" fillId="0" borderId="43" xfId="0" applyFont="1" applyBorder="1" applyAlignment="1">
      <alignment horizontal="left" vertical="center" wrapText="1"/>
    </xf>
    <xf numFmtId="9" fontId="273" fillId="0" borderId="43" xfId="0" applyNumberFormat="1" applyFont="1" applyBorder="1" applyAlignment="1">
      <alignment horizontal="center" vertical="center" wrapText="1"/>
    </xf>
    <xf numFmtId="10" fontId="270" fillId="0" borderId="43" xfId="0" applyNumberFormat="1" applyFont="1" applyBorder="1" applyAlignment="1">
      <alignment horizontal="center" vertical="center" wrapText="1"/>
    </xf>
    <xf numFmtId="9" fontId="270" fillId="0" borderId="43" xfId="0" applyNumberFormat="1" applyFont="1" applyBorder="1" applyAlignment="1">
      <alignment horizontal="center" vertical="center" wrapText="1"/>
    </xf>
    <xf numFmtId="0" fontId="274" fillId="0" borderId="0" xfId="0" applyFont="1" applyAlignment="1">
      <alignment horizontal="center" vertical="center"/>
    </xf>
    <xf numFmtId="0" fontId="275" fillId="0" borderId="43" xfId="0" applyFont="1" applyBorder="1" applyAlignment="1">
      <alignment horizontal="center" vertical="center"/>
    </xf>
    <xf numFmtId="0" fontId="276" fillId="0" borderId="43" xfId="0" applyFont="1" applyBorder="1" applyAlignment="1">
      <alignment horizontal="center" vertical="center"/>
    </xf>
    <xf numFmtId="9" fontId="276" fillId="0" borderId="43" xfId="0" applyNumberFormat="1" applyFont="1" applyBorder="1" applyAlignment="1">
      <alignment horizontal="center" vertical="center"/>
    </xf>
    <xf numFmtId="10" fontId="44" fillId="16" borderId="1" xfId="0" applyNumberFormat="1" applyFont="1" applyFill="1" applyBorder="1" applyAlignment="1" applyProtection="1">
      <alignment horizontal="center" vertical="center"/>
      <protection locked="0"/>
    </xf>
    <xf numFmtId="182" fontId="44" fillId="16" borderId="1" xfId="0" applyNumberFormat="1" applyFont="1" applyFill="1" applyBorder="1" applyAlignment="1" applyProtection="1">
      <alignment horizontal="center" vertical="center"/>
      <protection locked="0"/>
    </xf>
    <xf numFmtId="181" fontId="44" fillId="16" borderId="24"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278" fillId="0" borderId="0" xfId="0" applyFont="1">
      <alignment vertical="center"/>
    </xf>
    <xf numFmtId="0" fontId="47" fillId="18" borderId="23" xfId="0" applyFont="1" applyFill="1" applyBorder="1" applyAlignment="1" applyProtection="1">
      <alignment horizontal="center" vertical="center"/>
      <protection locked="0"/>
    </xf>
    <xf numFmtId="0" fontId="53" fillId="18" borderId="1" xfId="0" applyFont="1" applyFill="1" applyBorder="1" applyAlignment="1" applyProtection="1">
      <alignment vertical="center" wrapText="1"/>
      <protection locked="0"/>
    </xf>
    <xf numFmtId="0" fontId="53" fillId="18" borderId="32" xfId="0" applyFont="1" applyFill="1" applyBorder="1" applyAlignment="1" applyProtection="1">
      <alignment vertical="center" wrapText="1"/>
      <protection locked="0"/>
    </xf>
    <xf numFmtId="0" fontId="58" fillId="18" borderId="0" xfId="0" applyFont="1" applyFill="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5" fillId="0" borderId="27" xfId="0" applyFont="1" applyBorder="1" applyAlignment="1">
      <alignment horizontal="center" vertical="center" wrapText="1"/>
    </xf>
    <xf numFmtId="0" fontId="275" fillId="0" borderId="176" xfId="0" applyFont="1" applyBorder="1" applyAlignment="1">
      <alignment horizontal="center" vertical="center" wrapText="1"/>
    </xf>
    <xf numFmtId="0" fontId="276" fillId="0" borderId="27" xfId="0" applyFont="1" applyBorder="1" applyAlignment="1">
      <alignment horizontal="center" vertical="center" wrapText="1"/>
    </xf>
    <xf numFmtId="0" fontId="276" fillId="0" borderId="80" xfId="0" applyFont="1" applyBorder="1" applyAlignment="1">
      <alignment horizontal="center" vertical="center" wrapText="1"/>
    </xf>
    <xf numFmtId="0" fontId="276" fillId="0" borderId="81" xfId="0" applyFont="1" applyBorder="1" applyAlignment="1">
      <alignment horizontal="center" vertical="center" wrapText="1"/>
    </xf>
    <xf numFmtId="0" fontId="275" fillId="0" borderId="63" xfId="0" applyFont="1" applyBorder="1" applyAlignment="1">
      <alignment horizontal="center" vertical="center" wrapText="1"/>
    </xf>
    <xf numFmtId="0" fontId="275" fillId="0" borderId="64" xfId="0" applyFont="1" applyBorder="1" applyAlignment="1">
      <alignment horizontal="center" vertical="center" wrapText="1"/>
    </xf>
    <xf numFmtId="0" fontId="275" fillId="0" borderId="177" xfId="0" applyFont="1" applyBorder="1" applyAlignment="1">
      <alignment horizontal="center" vertical="center" wrapText="1"/>
    </xf>
    <xf numFmtId="0" fontId="275" fillId="0" borderId="81" xfId="0" applyFont="1" applyBorder="1" applyAlignment="1">
      <alignment horizontal="center" vertical="center" wrapText="1"/>
    </xf>
    <xf numFmtId="0" fontId="275" fillId="0" borderId="65" xfId="0" applyFont="1" applyBorder="1" applyAlignment="1">
      <alignment horizontal="center" vertical="center" wrapText="1"/>
    </xf>
    <xf numFmtId="0" fontId="95" fillId="0" borderId="0" xfId="0" applyNumberFormat="1" applyFont="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257175</xdr:colOff>
      <xdr:row>4</xdr:row>
      <xdr:rowOff>47625</xdr:rowOff>
    </xdr:from>
    <xdr:to>
      <xdr:col>13</xdr:col>
      <xdr:colOff>570861</xdr:colOff>
      <xdr:row>30</xdr:row>
      <xdr:rowOff>123166</xdr:rowOff>
    </xdr:to>
    <xdr:pic>
      <xdr:nvPicPr>
        <xdr:cNvPr id="2" name="图片 1"/>
        <xdr:cNvPicPr>
          <a:picLocks noChangeAspect="1"/>
        </xdr:cNvPicPr>
      </xdr:nvPicPr>
      <xdr:blipFill>
        <a:blip xmlns:r="http://schemas.openxmlformats.org/officeDocument/2006/relationships" r:embed="rId1"/>
        <a:stretch>
          <a:fillRect/>
        </a:stretch>
      </xdr:blipFill>
      <xdr:spPr>
        <a:xfrm>
          <a:off x="5448300" y="847725"/>
          <a:ext cx="5114286" cy="5276191"/>
        </a:xfrm>
        <a:prstGeom prst="rect">
          <a:avLst/>
        </a:prstGeom>
      </xdr:spPr>
    </xdr:pic>
    <xdr:clientData/>
  </xdr:twoCellAnchor>
  <xdr:twoCellAnchor editAs="oneCell">
    <xdr:from>
      <xdr:col>0</xdr:col>
      <xdr:colOff>0</xdr:colOff>
      <xdr:row>29</xdr:row>
      <xdr:rowOff>95250</xdr:rowOff>
    </xdr:from>
    <xdr:to>
      <xdr:col>12</xdr:col>
      <xdr:colOff>151219</xdr:colOff>
      <xdr:row>43</xdr:row>
      <xdr:rowOff>94900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95975"/>
          <a:ext cx="9457144" cy="2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275334</xdr:colOff>
      <xdr:row>45</xdr:row>
      <xdr:rowOff>170465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33334" cy="7885715"/>
        </a:xfrm>
        <a:prstGeom prst="rect">
          <a:avLst/>
        </a:prstGeom>
      </xdr:spPr>
    </xdr:pic>
    <xdr:clientData/>
  </xdr:twoCellAnchor>
  <xdr:twoCellAnchor editAs="oneCell">
    <xdr:from>
      <xdr:col>0</xdr:col>
      <xdr:colOff>0</xdr:colOff>
      <xdr:row>48</xdr:row>
      <xdr:rowOff>0</xdr:rowOff>
    </xdr:from>
    <xdr:to>
      <xdr:col>13</xdr:col>
      <xdr:colOff>103648</xdr:colOff>
      <xdr:row>56</xdr:row>
      <xdr:rowOff>66495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019048" cy="1438095"/>
        </a:xfrm>
        <a:prstGeom prst="rect">
          <a:avLst/>
        </a:prstGeom>
      </xdr:spPr>
    </xdr:pic>
    <xdr:clientData/>
  </xdr:twoCellAnchor>
  <xdr:twoCellAnchor editAs="oneCell">
    <xdr:from>
      <xdr:col>11</xdr:col>
      <xdr:colOff>0</xdr:colOff>
      <xdr:row>0</xdr:row>
      <xdr:rowOff>0</xdr:rowOff>
    </xdr:from>
    <xdr:to>
      <xdr:col>20</xdr:col>
      <xdr:colOff>380181</xdr:colOff>
      <xdr:row>44</xdr:row>
      <xdr:rowOff>37153</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6552381" cy="7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北京市出让国有建设用地使用权及在建建筑物房地产抵押价值预评估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受贵公司委托，我公司对北京市出让国有建设用地使用权及在建建筑物房地产抵押价值进行了预评估。</v>
      </c>
    </row>
    <row r="7" spans="1:2" s="1199" customFormat="1">
      <c r="A7" s="1197" t="s">
        <v>566</v>
      </c>
      <c r="B7" s="1198" t="str">
        <f>'预评函-1'!A7</f>
        <v>估价对象为北京市出让国有建设用地使用权及在建建筑物房地产，为所有。根据《国有土地使用证》[]，估价对象（分摊）出让国有建设用地使用权面积为35932.95平方米，建筑面积为131745.91平方米。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出让国有建设用地使用权及在建建筑物房地产,为开发建设的，该项目尚在开发建设中。根据《国有土地使用证》[]，估价对象（分摊）出让国有建设用地使用权面积为35932.95平方米，规划建筑面积为131745.91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2023年8月9日（评估专业人员实地查勘之日）</v>
      </c>
    </row>
    <row r="13" spans="1:2" s="1199" customFormat="1">
      <c r="A13" s="1197" t="s">
        <v>529</v>
      </c>
      <c r="B13" s="1198" t="str">
        <f>'预评函-1'!A18</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202949</v>
      </c>
    </row>
    <row r="21" spans="1:2" s="1199" customFormat="1">
      <c r="A21" s="1197" t="s">
        <v>537</v>
      </c>
      <c r="B21" s="1198">
        <f ca="1">'预评函-2'!D7</f>
        <v>15405</v>
      </c>
    </row>
    <row r="22" spans="1:2" s="1199" customFormat="1">
      <c r="A22" s="1197" t="s">
        <v>538</v>
      </c>
      <c r="B22" s="1198" t="str">
        <f ca="1">'预评函-2'!D6</f>
        <v>贰拾亿贰仟玖佰肆拾玖万元整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202949</v>
      </c>
    </row>
    <row r="31" spans="1:2" s="1199" customFormat="1">
      <c r="A31" s="1197" t="s">
        <v>576</v>
      </c>
      <c r="B31" s="1198">
        <f ca="1">'预评函-2'!D15</f>
        <v>15405</v>
      </c>
    </row>
    <row r="32" spans="1:2" s="1199" customFormat="1">
      <c r="A32" s="1197" t="s">
        <v>543</v>
      </c>
      <c r="B32" s="1198" t="str">
        <f ca="1">'预评函-2'!D14</f>
        <v>贰拾亿贰仟玖佰肆拾玖万元整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北京市出让国有建设用地使用权及在建建筑物房地产</v>
      </c>
    </row>
    <row r="42" spans="1:2" s="1199" customFormat="1">
      <c r="A42" s="1197" t="s">
        <v>590</v>
      </c>
      <c r="B42" s="1198" t="str">
        <f>'预评函-3'!B2</f>
        <v>建筑面积</v>
      </c>
    </row>
    <row r="43" spans="1:2" s="1199" customFormat="1">
      <c r="A43" s="1197" t="s">
        <v>591</v>
      </c>
      <c r="B43" s="1198">
        <f>'预评函-3'!B4</f>
        <v>131745.91</v>
      </c>
    </row>
    <row r="44" spans="1:2" s="1199" customFormat="1">
      <c r="A44" s="1197" t="s">
        <v>575</v>
      </c>
      <c r="B44" s="1198" t="str">
        <f>'预评函-3'!C2</f>
        <v>(分摊)土地面积</v>
      </c>
    </row>
    <row r="45" spans="1:2" s="1199" customFormat="1">
      <c r="A45" s="1197" t="s">
        <v>547</v>
      </c>
      <c r="B45" s="1198">
        <f>'预评函-3'!C4</f>
        <v>35932.949999999997</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1" sqref="H31"/>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3356</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3342</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3343</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3344</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3345</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3346</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3347</v>
      </c>
    </row>
    <row r="8" spans="1:23">
      <c r="A8" s="1542" t="s">
        <v>1026</v>
      </c>
      <c r="B8" s="1542" t="s">
        <v>1027</v>
      </c>
      <c r="C8" s="1543" t="s">
        <v>319</v>
      </c>
      <c r="F8" s="1544" t="s">
        <v>1028</v>
      </c>
      <c r="H8" s="1544" t="s">
        <v>2580</v>
      </c>
      <c r="I8" s="1544" t="s">
        <v>3348</v>
      </c>
    </row>
    <row r="9" spans="1:23">
      <c r="A9" s="1542" t="s">
        <v>1029</v>
      </c>
      <c r="B9" s="1542" t="s">
        <v>1030</v>
      </c>
      <c r="C9" s="1543" t="s">
        <v>320</v>
      </c>
      <c r="F9" s="1544" t="s">
        <v>1031</v>
      </c>
      <c r="H9" s="1544"/>
      <c r="I9" s="1547" t="s">
        <v>3349</v>
      </c>
    </row>
    <row r="10" spans="1:23">
      <c r="A10" s="1542" t="s">
        <v>1032</v>
      </c>
      <c r="B10" s="1542" t="s">
        <v>1033</v>
      </c>
      <c r="C10" s="1543" t="s">
        <v>321</v>
      </c>
      <c r="F10" s="1544" t="s">
        <v>2581</v>
      </c>
      <c r="I10" s="1547" t="s">
        <v>3350</v>
      </c>
    </row>
    <row r="11" spans="1:23">
      <c r="A11" s="1542" t="s">
        <v>1034</v>
      </c>
      <c r="B11" s="1542" t="s">
        <v>1035</v>
      </c>
      <c r="C11" s="1543" t="s">
        <v>322</v>
      </c>
      <c r="F11" s="1544" t="s">
        <v>13</v>
      </c>
      <c r="I11" s="1547" t="s">
        <v>3351</v>
      </c>
    </row>
    <row r="12" spans="1:23">
      <c r="A12" s="1542" t="s">
        <v>1036</v>
      </c>
      <c r="B12" s="1542" t="s">
        <v>1037</v>
      </c>
      <c r="C12" s="1543" t="s">
        <v>323</v>
      </c>
      <c r="I12" s="1547" t="s">
        <v>3352</v>
      </c>
    </row>
    <row r="13" spans="1:23">
      <c r="A13" s="1542" t="s">
        <v>1038</v>
      </c>
      <c r="B13" s="1542" t="s">
        <v>1039</v>
      </c>
      <c r="C13" s="1543" t="s">
        <v>324</v>
      </c>
      <c r="I13" s="1547" t="s">
        <v>3353</v>
      </c>
    </row>
    <row r="14" spans="1:23">
      <c r="A14" s="1542" t="s">
        <v>1040</v>
      </c>
      <c r="B14" s="1542" t="s">
        <v>1041</v>
      </c>
      <c r="C14" s="1544" t="s">
        <v>13</v>
      </c>
      <c r="I14" s="1547" t="s">
        <v>3354</v>
      </c>
    </row>
    <row r="15" spans="1:23">
      <c r="A15" s="1542" t="s">
        <v>1042</v>
      </c>
      <c r="B15" s="1542" t="s">
        <v>1043</v>
      </c>
      <c r="C15" s="1543"/>
      <c r="I15" s="1547" t="s">
        <v>3355</v>
      </c>
    </row>
    <row r="16" spans="1:23">
      <c r="A16" s="1542" t="s">
        <v>1044</v>
      </c>
      <c r="B16" s="1542" t="s">
        <v>312</v>
      </c>
      <c r="C16" s="1543"/>
    </row>
    <row r="17" spans="1:3">
      <c r="A17" s="1542" t="s">
        <v>1045</v>
      </c>
      <c r="B17" s="1542" t="s">
        <v>2292</v>
      </c>
      <c r="C17" s="1543"/>
    </row>
    <row r="18" spans="1:3">
      <c r="A18" s="1542" t="s">
        <v>1046</v>
      </c>
      <c r="B18" s="1542" t="s">
        <v>2436</v>
      </c>
      <c r="C18" s="1543"/>
    </row>
    <row r="19" spans="1:3">
      <c r="A19" s="1542" t="s">
        <v>1047</v>
      </c>
      <c r="B19" s="1542" t="s">
        <v>313</v>
      </c>
      <c r="C19" s="1543"/>
    </row>
    <row r="20" spans="1:3">
      <c r="A20" s="1542" t="s">
        <v>1048</v>
      </c>
      <c r="B20" s="1542" t="s">
        <v>3522</v>
      </c>
      <c r="C20" s="1543"/>
    </row>
    <row r="21" spans="1:3">
      <c r="A21" s="1542" t="s">
        <v>1049</v>
      </c>
      <c r="B21" s="1542" t="s">
        <v>3526</v>
      </c>
      <c r="C21" s="1543"/>
    </row>
    <row r="22" spans="1:3">
      <c r="A22" s="1542" t="s">
        <v>1050</v>
      </c>
      <c r="B22" s="1542" t="s">
        <v>3525</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2"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0" t="s">
        <v>385</v>
      </c>
      <c r="C54" s="1547" t="s">
        <v>583</v>
      </c>
    </row>
    <row r="55" spans="1:4">
      <c r="A55" s="3532"/>
      <c r="B55" s="1550" t="s">
        <v>386</v>
      </c>
      <c r="C55" s="1547" t="s">
        <v>584</v>
      </c>
    </row>
    <row r="56" spans="1:4">
      <c r="A56" s="3532"/>
      <c r="B56" s="1550" t="s">
        <v>387</v>
      </c>
      <c r="C56" s="1547" t="s">
        <v>588</v>
      </c>
    </row>
    <row r="57" spans="1:4">
      <c r="A57" s="3532"/>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H15" sqref="H15"/>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33" t="s">
        <v>2583</v>
      </c>
      <c r="J2" s="3533"/>
      <c r="K2" s="3533"/>
      <c r="L2" s="3533"/>
      <c r="M2" s="3533"/>
      <c r="N2" s="3533"/>
      <c r="O2" s="3533"/>
      <c r="P2" s="3533"/>
      <c r="Q2" s="3533"/>
      <c r="R2" s="3533"/>
    </row>
    <row r="3" spans="1:18">
      <c r="A3" s="3016" t="s">
        <v>2504</v>
      </c>
      <c r="B3" s="3017">
        <f>项目基本情况!D3</f>
        <v>45147</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3.36</v>
      </c>
      <c r="D5" s="3021">
        <f>IF(ISERROR(ROUND(POWER(1+E5,A5-C5)*(POWER(1+E5,C5)-1)/(POWER(1+E5,A5)-1),3)),0,ROUND(POWER(1+E5,A5-C5)*(POWER(1+E5,C5)-1)/(POWER(1+E5,A5)-1),4))</f>
        <v>0.156</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13.37</v>
      </c>
      <c r="D6" s="3021">
        <f>IF(ISERROR(ROUND(POWER(1+E6,A6-C6)*(POWER(1+E6,C6)-1)/(POWER(1+E6,A6)-1),3)),0,ROUND(POWER(1+E6,A6-C6)*(POWER(1+E6,C6)-1)/(POWER(1+E6,A6)-1),4))</f>
        <v>0.47489999999999999</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33.380000000000003</v>
      </c>
      <c r="D7" s="3021">
        <f>IF(ISERROR(ROUND(POWER(1+E7,A7-C7)*(POWER(1+E7,C7)-1)/(POWER(1+E7,A7)-1),3)),0,ROUND(POWER(1+E7,A7-C7)*(POWER(1+E7,C7)-1)/(POWER(1+E7,A7)-1),4))</f>
        <v>0.78010000000000002</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50</v>
      </c>
      <c r="C11" s="3019" t="s">
        <v>2513</v>
      </c>
      <c r="D11" s="3025">
        <f>基准地价修正!E44</f>
        <v>0.05</v>
      </c>
      <c r="E11" s="3019" t="s">
        <v>2514</v>
      </c>
      <c r="F11" s="3026">
        <f>ROUND(1-(1/(POWER(1+D11,B11))),4)</f>
        <v>0.91279999999999994</v>
      </c>
    </row>
    <row r="12" spans="1:18">
      <c r="A12" s="3016" t="s">
        <v>2515</v>
      </c>
      <c r="B12" s="3024">
        <v>40</v>
      </c>
      <c r="C12" s="3019" t="s">
        <v>2516</v>
      </c>
      <c r="D12" s="3025">
        <f>基准地价修正!E44</f>
        <v>0.05</v>
      </c>
      <c r="E12" s="3019" t="s">
        <v>2517</v>
      </c>
      <c r="F12" s="3026">
        <f>ROUND(1-(1/(POWER(1+D12,B12))),4)</f>
        <v>0.85799999999999998</v>
      </c>
    </row>
    <row r="13" spans="1:18">
      <c r="A13" s="3016" t="s">
        <v>2518</v>
      </c>
      <c r="B13" s="3019"/>
      <c r="C13" s="3019"/>
      <c r="D13" s="3014"/>
      <c r="E13" s="3014"/>
      <c r="F13" s="3015"/>
    </row>
    <row r="14" spans="1:18">
      <c r="A14" s="3016" t="s">
        <v>2519</v>
      </c>
      <c r="B14" s="3024">
        <f>基准地价修正!C33</f>
        <v>9201</v>
      </c>
      <c r="C14" s="3018"/>
      <c r="D14" s="3014"/>
      <c r="E14" s="3014"/>
      <c r="F14" s="3015"/>
      <c r="H14" s="3841"/>
      <c r="I14" s="3054" t="s">
        <v>3574</v>
      </c>
      <c r="J14" s="3054" t="s">
        <v>3575</v>
      </c>
      <c r="K14" s="3054" t="s">
        <v>3577</v>
      </c>
    </row>
    <row r="15" spans="1:18">
      <c r="A15" s="3016" t="s">
        <v>2520</v>
      </c>
      <c r="B15" s="3019">
        <f>ROUND(B14*F12/F11,2)</f>
        <v>8648.6200000000008</v>
      </c>
      <c r="C15" s="3019">
        <f>ROUND(F12/F11,4)</f>
        <v>0.94</v>
      </c>
      <c r="D15" s="3014"/>
      <c r="E15" s="3014"/>
      <c r="F15" s="3015"/>
      <c r="H15" s="3841" t="s">
        <v>3572</v>
      </c>
      <c r="I15" s="3054">
        <f>'数据-汇总表'!F20</f>
        <v>2975.24</v>
      </c>
      <c r="J15" s="3054">
        <f>ROUND(B15,0)</f>
        <v>8649</v>
      </c>
      <c r="K15" s="3054">
        <f>ROUND(J15*I15/10000,0)</f>
        <v>2573</v>
      </c>
    </row>
    <row r="16" spans="1:18">
      <c r="A16" s="3016" t="s">
        <v>2521</v>
      </c>
      <c r="B16" s="3019"/>
      <c r="C16" s="3019"/>
      <c r="D16" s="3014"/>
      <c r="E16" s="3014"/>
      <c r="F16" s="3015"/>
      <c r="H16" s="3841" t="s">
        <v>3573</v>
      </c>
      <c r="I16" s="3054">
        <f>'数据-汇总表'!G20</f>
        <v>12065.93</v>
      </c>
      <c r="J16" s="3054">
        <f>J15*基准地价修正!F37</f>
        <v>5189.3999999999996</v>
      </c>
      <c r="K16" s="3054">
        <f>ROUND(J16*I16/10000,0)</f>
        <v>6261</v>
      </c>
    </row>
    <row r="17" spans="1:13">
      <c r="A17" s="3016" t="s">
        <v>2520</v>
      </c>
      <c r="B17" s="3025">
        <v>4810</v>
      </c>
      <c r="C17" s="3018"/>
      <c r="D17" s="3014"/>
      <c r="E17" s="3014"/>
      <c r="F17" s="3015"/>
    </row>
    <row r="18" spans="1:13" ht="14.25" thickBot="1">
      <c r="A18" s="3027" t="s">
        <v>2519</v>
      </c>
      <c r="B18" s="3028">
        <f>ROUND(B17*F11/F12,2)</f>
        <v>5117.21</v>
      </c>
      <c r="C18" s="3028">
        <f>ROUND(F11/F12,4)</f>
        <v>1.0639000000000001</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E4" sqref="E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3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35"/>
      <c r="D1" s="3535"/>
      <c r="E1" s="3535"/>
      <c r="F1" s="3535"/>
      <c r="G1" s="3535"/>
      <c r="H1" s="3535"/>
      <c r="I1" s="3536"/>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北京市出让国有建设用地使用权及在建建筑物房地产</v>
      </c>
      <c r="T2" s="1741"/>
      <c r="U2" s="1741"/>
      <c r="V2" s="1741"/>
      <c r="W2" s="1741"/>
      <c r="X2" s="1741"/>
      <c r="Y2" s="1741"/>
      <c r="Z2" s="1741"/>
      <c r="AA2" s="1741"/>
      <c r="AB2" s="1741"/>
    </row>
    <row r="3" spans="1:30">
      <c r="A3" s="302" t="s">
        <v>2169</v>
      </c>
      <c r="B3" s="2369">
        <v>45147</v>
      </c>
      <c r="C3" s="2370" t="s">
        <v>2170</v>
      </c>
      <c r="D3" s="2369">
        <f>B3</f>
        <v>45147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2171</v>
      </c>
      <c r="B4" s="2371" t="s">
        <v>3568</v>
      </c>
      <c r="C4" s="2372">
        <f ca="1">SUMIF(注册房地产估价师,B4,估价师及机构信息!B3:B24)</f>
        <v>1120070131</v>
      </c>
      <c r="D4" s="2371" t="s">
        <v>3578</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3379</v>
      </c>
      <c r="C8" s="2386"/>
      <c r="D8" s="3537" t="s">
        <v>2176</v>
      </c>
      <c r="E8" s="2387" t="s">
        <v>3380</v>
      </c>
      <c r="F8" s="2388"/>
      <c r="G8" s="2659"/>
      <c r="H8" s="2659"/>
      <c r="I8" s="2659"/>
      <c r="J8" s="2435"/>
      <c r="K8" s="2610"/>
      <c r="L8" s="2609"/>
      <c r="M8" s="2609"/>
      <c r="N8" s="2435"/>
      <c r="O8" s="2446"/>
      <c r="P8" s="2435"/>
      <c r="Q8" s="2435"/>
      <c r="R8" s="2435"/>
    </row>
    <row r="9" spans="1:30" ht="13.5" thickBot="1">
      <c r="A9" s="2389" t="s">
        <v>2177</v>
      </c>
      <c r="B9" s="2390" t="s">
        <v>3380</v>
      </c>
      <c r="C9" s="2391"/>
      <c r="D9" s="3538"/>
      <c r="E9" s="2390"/>
      <c r="F9" s="2392"/>
      <c r="G9" s="2661"/>
      <c r="H9" s="2661"/>
      <c r="I9" s="2661"/>
      <c r="J9" s="2435"/>
      <c r="K9" s="2612"/>
      <c r="L9" s="2609"/>
      <c r="M9" s="2609"/>
      <c r="N9" s="2435"/>
      <c r="O9" s="2446"/>
      <c r="P9" s="2435"/>
      <c r="Q9" s="2435"/>
      <c r="R9" s="2435"/>
    </row>
    <row r="10" spans="1:30" ht="13.5" thickTop="1">
      <c r="A10" s="2393" t="s">
        <v>2178</v>
      </c>
      <c r="B10" s="2394" t="s">
        <v>3381</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3382</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1"/>
    </row>
    <row r="13" spans="1:30">
      <c r="A13" s="3419" t="s">
        <v>3337</v>
      </c>
      <c r="B13" s="2403" t="s">
        <v>2189</v>
      </c>
      <c r="C13" s="852"/>
      <c r="D13" s="852">
        <v>53995</v>
      </c>
      <c r="E13" s="852">
        <v>57648</v>
      </c>
      <c r="F13" s="852">
        <v>57648</v>
      </c>
      <c r="G13" s="852"/>
      <c r="H13" s="852"/>
      <c r="I13" s="852">
        <v>57648</v>
      </c>
      <c r="J13" s="3058"/>
      <c r="K13" s="2609"/>
      <c r="L13" s="2609"/>
      <c r="M13" s="2435"/>
      <c r="N13" s="2446"/>
      <c r="O13" s="2435"/>
      <c r="P13" s="2435"/>
      <c r="Q13" s="2435"/>
      <c r="AD13" s="1741"/>
    </row>
    <row r="14" spans="1:30">
      <c r="A14" s="1077"/>
      <c r="B14" s="2403" t="s">
        <v>2190</v>
      </c>
      <c r="C14" s="2404"/>
      <c r="D14" s="2404">
        <v>40</v>
      </c>
      <c r="E14" s="2404">
        <v>50</v>
      </c>
      <c r="F14" s="2404">
        <v>50</v>
      </c>
      <c r="G14" s="2404"/>
      <c r="H14" s="2404"/>
      <c r="I14" s="2404">
        <v>50</v>
      </c>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24.24</v>
      </c>
      <c r="E15" s="2406">
        <f>IF(A13="出让",IF(E13="","",ROUNDDOWN(MIN((E13-$D$3)/365,E14),2)),E14)</f>
        <v>34.24</v>
      </c>
      <c r="F15" s="2406">
        <f>IF(A13="出让",IF(F13="","",ROUNDDOWN(MIN((F13-$D$3)/365,F14),2)),F14)</f>
        <v>34.24</v>
      </c>
      <c r="G15" s="2406" t="str">
        <f>IF(A13="出让",IF(G13="","",ROUNDDOWN(MIN((G13-$D$3)/365,G14),2)),G14)</f>
        <v/>
      </c>
      <c r="H15" s="2406" t="str">
        <f>IF(A13="出让",IF(H13="","",ROUNDDOWN(MIN((H13-$D$3)/365,H14),2)),H14)</f>
        <v/>
      </c>
      <c r="I15" s="2406">
        <f>IF(A13="出让",IF(I13="","",ROUNDDOWN(MIN((I13-$D$3)/365,I14),2)),I14)</f>
        <v>34.24</v>
      </c>
      <c r="J15" s="3060"/>
      <c r="K15" s="2447"/>
      <c r="L15" s="2447"/>
      <c r="M15" s="2505"/>
      <c r="N15" s="2447"/>
      <c r="O15" s="2505"/>
      <c r="P15" s="2435"/>
      <c r="Q15" s="2435"/>
      <c r="AD15" s="1741"/>
    </row>
    <row r="16" spans="1:30">
      <c r="A16" s="2396" t="s">
        <v>2192</v>
      </c>
      <c r="B16" s="3544"/>
      <c r="C16" s="3545"/>
      <c r="D16" s="3546"/>
      <c r="E16" s="2409" t="s">
        <v>2193</v>
      </c>
      <c r="F16" s="3547"/>
      <c r="G16" s="3548"/>
      <c r="H16" s="3548"/>
      <c r="I16" s="3549"/>
      <c r="J16" s="2435"/>
      <c r="K16" s="2613"/>
      <c r="L16" s="2447"/>
      <c r="M16" s="2447"/>
      <c r="N16" s="2505"/>
      <c r="O16" s="2447"/>
      <c r="P16" s="2505"/>
      <c r="Q16" s="2435"/>
      <c r="R16" s="2435"/>
    </row>
    <row r="17" spans="1:28">
      <c r="A17" s="313" t="s">
        <v>2194</v>
      </c>
      <c r="B17" s="302" t="s">
        <v>2195</v>
      </c>
      <c r="C17" s="8">
        <f>'数据-汇总表'!E3</f>
        <v>131745.91</v>
      </c>
      <c r="D17" s="2318" t="s">
        <v>2196</v>
      </c>
      <c r="E17" s="3550" t="s">
        <v>2197</v>
      </c>
      <c r="F17" s="3551"/>
      <c r="G17" s="3551"/>
      <c r="H17" s="3551"/>
      <c r="I17" s="3552"/>
      <c r="J17" s="2435"/>
      <c r="K17" s="2614"/>
      <c r="L17" s="2447"/>
      <c r="M17" s="2447"/>
      <c r="N17" s="2505"/>
      <c r="O17" s="2447"/>
      <c r="P17" s="2505"/>
      <c r="Q17" s="2435"/>
      <c r="R17" s="2435"/>
      <c r="S17" s="2435"/>
      <c r="T17" s="2435"/>
      <c r="U17" s="2435"/>
      <c r="V17" s="2435"/>
    </row>
    <row r="18" spans="1:28" ht="24.75" thickBot="1">
      <c r="A18" s="2410" t="s">
        <v>2198</v>
      </c>
      <c r="B18" s="1086" t="s">
        <v>2199</v>
      </c>
      <c r="C18" s="2411">
        <f>'数据-汇总表'!D3</f>
        <v>35932.949999999997</v>
      </c>
      <c r="D18" s="1088" t="s">
        <v>2200</v>
      </c>
      <c r="E18" s="3553" t="s">
        <v>2201</v>
      </c>
      <c r="F18" s="3554"/>
      <c r="G18" s="3554"/>
      <c r="H18" s="3554"/>
      <c r="I18" s="3555"/>
      <c r="J18" s="2435"/>
      <c r="K18" s="2614"/>
      <c r="L18" s="2447"/>
      <c r="M18" s="2447"/>
      <c r="N18" s="2505"/>
      <c r="O18" s="2447"/>
      <c r="P18" s="2505"/>
      <c r="Q18" s="2435"/>
      <c r="R18" s="2435"/>
      <c r="S18" s="2435"/>
      <c r="T18" s="2435"/>
      <c r="U18" s="2435"/>
      <c r="V18" s="2435"/>
    </row>
    <row r="19" spans="1:28" ht="37.5" thickTop="1" thickBot="1">
      <c r="A19" s="327" t="s">
        <v>1055</v>
      </c>
      <c r="B19" s="307" t="s">
        <v>2202</v>
      </c>
      <c r="C19" s="1559"/>
      <c r="D19" s="1560" t="s">
        <v>2203</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2204</v>
      </c>
      <c r="B20" s="3540" t="s">
        <v>2205</v>
      </c>
      <c r="C20" s="3541"/>
      <c r="D20" s="3542" t="s">
        <v>2206</v>
      </c>
      <c r="E20" s="3543"/>
      <c r="F20" s="2643" t="s">
        <v>1056</v>
      </c>
      <c r="G20" s="2660"/>
      <c r="H20" s="2660"/>
      <c r="I20" s="2660"/>
      <c r="J20" s="2435"/>
      <c r="K20" s="353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4" t="s">
        <v>2209</v>
      </c>
      <c r="E21" s="2631" t="s">
        <v>1057</v>
      </c>
      <c r="F21" s="2644"/>
      <c r="G21" s="2660"/>
      <c r="H21" s="2660"/>
      <c r="I21" s="2660"/>
      <c r="J21" s="2435"/>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7"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7"/>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7"/>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8"/>
      <c r="B30" s="302" t="s">
        <v>2217</v>
      </c>
      <c r="C30" s="3559"/>
      <c r="D30" s="3560"/>
      <c r="E30" s="2660"/>
      <c r="F30" s="2660"/>
      <c r="G30" s="2660"/>
      <c r="H30" s="2660"/>
      <c r="I30" s="2660"/>
      <c r="J30" s="2435"/>
      <c r="K30" s="2612"/>
      <c r="L30" s="2609"/>
      <c r="M30" s="2609"/>
      <c r="N30" s="2435"/>
      <c r="O30" s="2446"/>
      <c r="P30" s="2435"/>
      <c r="Q30" s="2435"/>
      <c r="R30" s="2435"/>
      <c r="S30" s="2435"/>
      <c r="T30" s="2435"/>
      <c r="U30" s="2435"/>
      <c r="V30" s="2435"/>
    </row>
    <row r="31" spans="1:28">
      <c r="A31" s="3561" t="s">
        <v>2218</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62"/>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62"/>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56" t="s">
        <v>2227</v>
      </c>
      <c r="T34" s="2424" t="str">
        <f>NUMBERSTRING(7-K34,1)&amp;"通"</f>
        <v>七通</v>
      </c>
      <c r="U34" s="2435"/>
      <c r="V34" s="2435"/>
    </row>
    <row r="35" spans="1:30">
      <c r="A35" s="2425"/>
      <c r="B35" s="3563" t="s">
        <v>2228</v>
      </c>
      <c r="C35" s="3563"/>
      <c r="D35" s="3563"/>
      <c r="E35" s="3563"/>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6"/>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t="s">
        <v>303</v>
      </c>
      <c r="C37" s="2427" t="s">
        <v>303</v>
      </c>
      <c r="D37" s="2427"/>
      <c r="E37" s="2427"/>
      <c r="F37" s="2427" t="s">
        <v>303</v>
      </c>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211</v>
      </c>
      <c r="C38" s="2428" t="s">
        <v>211</v>
      </c>
      <c r="D38" s="2428"/>
      <c r="E38" s="2428"/>
      <c r="F38" s="2428" t="s">
        <v>211</v>
      </c>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2232</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U23" sqref="A23:AU3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37811.919999999998</v>
      </c>
      <c r="B3" s="11">
        <f>IF(C3="否",G5-AT5,G5)</f>
        <v>138635.04999999999</v>
      </c>
      <c r="C3" s="1576" t="s">
        <v>3405</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1070</v>
      </c>
      <c r="B5" s="1343"/>
      <c r="C5" s="1343"/>
      <c r="D5" s="1345"/>
      <c r="E5" s="13" t="s">
        <v>0</v>
      </c>
      <c r="F5" s="13">
        <f>SUM(F13:F587)</f>
        <v>0</v>
      </c>
      <c r="G5" s="13">
        <f>SUM(G13:G587)</f>
        <v>138635.04999999999</v>
      </c>
      <c r="H5" s="13">
        <f t="shared" ref="H5:AT5" si="0">SUM(H13:H656)</f>
        <v>117851.51000000001</v>
      </c>
      <c r="I5" s="13">
        <f t="shared" si="0"/>
        <v>72248.599999999991</v>
      </c>
      <c r="J5" s="13">
        <f t="shared" si="0"/>
        <v>0</v>
      </c>
      <c r="K5" s="13">
        <f t="shared" si="0"/>
        <v>12065.93</v>
      </c>
      <c r="L5" s="13">
        <f t="shared" si="0"/>
        <v>0</v>
      </c>
      <c r="M5" s="13">
        <f t="shared" si="0"/>
        <v>30561.740000000005</v>
      </c>
      <c r="N5" s="13">
        <f t="shared" si="0"/>
        <v>0</v>
      </c>
      <c r="O5" s="13">
        <f t="shared" si="0"/>
        <v>2975.24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13894.400000000001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1977</v>
      </c>
      <c r="AO5" s="13">
        <f t="shared" si="0"/>
        <v>0</v>
      </c>
      <c r="AP5" s="13">
        <f t="shared" si="0"/>
        <v>289.27999999999997</v>
      </c>
      <c r="AQ5" s="13">
        <f t="shared" si="0"/>
        <v>0</v>
      </c>
      <c r="AR5" s="13">
        <f t="shared" si="0"/>
        <v>11628.12</v>
      </c>
      <c r="AS5" s="13">
        <f t="shared" si="0"/>
        <v>0</v>
      </c>
      <c r="AT5" s="13">
        <f t="shared" si="0"/>
        <v>6889.14</v>
      </c>
      <c r="AU5" s="1342"/>
      <c r="AV5" s="12" t="s">
        <v>1070</v>
      </c>
      <c r="AW5" s="1343"/>
      <c r="AX5" s="1343"/>
      <c r="AY5" s="14" t="s">
        <v>2</v>
      </c>
      <c r="AZ5" s="15">
        <f t="shared" ref="AZ5:BT5" si="1">SUM(AZ13:AZ656)</f>
        <v>131745.91</v>
      </c>
      <c r="BA5" s="15">
        <f t="shared" si="1"/>
        <v>117851.51000000001</v>
      </c>
      <c r="BB5" s="15">
        <f t="shared" si="1"/>
        <v>72248.599999999991</v>
      </c>
      <c r="BC5" s="15">
        <f t="shared" si="1"/>
        <v>12065.93</v>
      </c>
      <c r="BD5" s="15">
        <f t="shared" si="1"/>
        <v>30561.740000000005</v>
      </c>
      <c r="BE5" s="15">
        <f t="shared" si="1"/>
        <v>2975.24</v>
      </c>
      <c r="BF5" s="15">
        <f t="shared" si="1"/>
        <v>0</v>
      </c>
      <c r="BG5" s="15">
        <f t="shared" si="1"/>
        <v>0</v>
      </c>
      <c r="BH5" s="15">
        <f t="shared" si="1"/>
        <v>0</v>
      </c>
      <c r="BI5" s="15">
        <f t="shared" si="1"/>
        <v>0</v>
      </c>
      <c r="BJ5" s="15">
        <f t="shared" si="1"/>
        <v>0</v>
      </c>
      <c r="BK5" s="15">
        <f t="shared" si="1"/>
        <v>0</v>
      </c>
      <c r="BL5" s="15">
        <f t="shared" si="1"/>
        <v>13894.400000000001</v>
      </c>
      <c r="BM5" s="15">
        <f t="shared" si="1"/>
        <v>0</v>
      </c>
      <c r="BN5" s="15">
        <f t="shared" si="1"/>
        <v>0</v>
      </c>
      <c r="BO5" s="15">
        <f t="shared" si="1"/>
        <v>0</v>
      </c>
      <c r="BP5" s="15">
        <f t="shared" si="1"/>
        <v>0</v>
      </c>
      <c r="BQ5" s="15">
        <f t="shared" si="1"/>
        <v>0</v>
      </c>
      <c r="BR5" s="15">
        <f t="shared" si="1"/>
        <v>1977</v>
      </c>
      <c r="BS5" s="15">
        <f t="shared" si="1"/>
        <v>289.27999999999997</v>
      </c>
      <c r="BT5" s="16">
        <f t="shared" si="1"/>
        <v>11628.12</v>
      </c>
    </row>
    <row r="6" spans="1:72" s="1585" customFormat="1" ht="12.75">
      <c r="A6" s="12" t="s">
        <v>1071</v>
      </c>
      <c r="B6" s="1582"/>
      <c r="C6" s="1582"/>
      <c r="D6" s="1583"/>
      <c r="E6" s="13">
        <f>H6+AC6+AT6</f>
        <v>37811.910000000003</v>
      </c>
      <c r="F6" s="13" t="s">
        <v>0</v>
      </c>
      <c r="G6" s="13" t="s">
        <v>1</v>
      </c>
      <c r="H6" s="17">
        <f>SUMIF(I$12:AB$12,"总值",I6:AB6)</f>
        <v>32143.32</v>
      </c>
      <c r="I6" s="13">
        <f t="shared" ref="I6:AB6" si="2">ROUND($A$3*I5/$B$3,2)</f>
        <v>19705.39</v>
      </c>
      <c r="J6" s="13">
        <f t="shared" si="2"/>
        <v>0</v>
      </c>
      <c r="K6" s="13">
        <f t="shared" si="2"/>
        <v>3290.91</v>
      </c>
      <c r="L6" s="13">
        <f t="shared" si="2"/>
        <v>0</v>
      </c>
      <c r="M6" s="13">
        <f t="shared" si="2"/>
        <v>8335.5400000000009</v>
      </c>
      <c r="N6" s="13">
        <f t="shared" si="2"/>
        <v>0</v>
      </c>
      <c r="O6" s="13">
        <f t="shared" si="2"/>
        <v>811.48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3789.62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539.22</v>
      </c>
      <c r="AO6" s="13">
        <f t="shared" si="3"/>
        <v>0</v>
      </c>
      <c r="AP6" s="13">
        <f t="shared" si="3"/>
        <v>78.900000000000006</v>
      </c>
      <c r="AQ6" s="13">
        <f t="shared" si="3"/>
        <v>0</v>
      </c>
      <c r="AR6" s="13">
        <f t="shared" si="3"/>
        <v>3171.5</v>
      </c>
      <c r="AS6" s="13">
        <f t="shared" si="3"/>
        <v>0</v>
      </c>
      <c r="AT6" s="17">
        <f>IF(C3="是",ROUND($A$3*AT5/$B$3,2),0)</f>
        <v>1878.97</v>
      </c>
      <c r="AU6" s="1584"/>
      <c r="AV6" s="12" t="s">
        <v>1071</v>
      </c>
      <c r="AW6" s="1582"/>
      <c r="AX6" s="1582"/>
      <c r="AY6" s="18">
        <f>IF(AY3&gt;0,AY3,ROUND($A$3*AZ5/$B$3,2))</f>
        <v>35932.949999999997</v>
      </c>
      <c r="AZ6" s="13" t="s">
        <v>2</v>
      </c>
      <c r="BA6" s="13">
        <f>ROUND($AY$6*BA5/$AZ$5,2)</f>
        <v>32143.33</v>
      </c>
      <c r="BB6" s="13">
        <f>ROUND($AY$6*BB5/$AZ$5,2)</f>
        <v>19705.400000000001</v>
      </c>
      <c r="BC6" s="13">
        <f t="shared" ref="BC6:BH6" si="4">ROUND($AY$6*BC5/$AZ$5,2)</f>
        <v>3290.91</v>
      </c>
      <c r="BD6" s="13">
        <f t="shared" si="4"/>
        <v>8335.5400000000009</v>
      </c>
      <c r="BE6" s="13">
        <f t="shared" si="4"/>
        <v>811.48</v>
      </c>
      <c r="BF6" s="13">
        <f t="shared" si="4"/>
        <v>0</v>
      </c>
      <c r="BG6" s="13">
        <f t="shared" si="4"/>
        <v>0</v>
      </c>
      <c r="BH6" s="13">
        <f t="shared" si="4"/>
        <v>0</v>
      </c>
      <c r="BI6" s="13">
        <f t="shared" ref="BI6:BT6" si="5">ROUND($AY$6*BI5/$AZ$5,2)</f>
        <v>0</v>
      </c>
      <c r="BJ6" s="13">
        <f t="shared" si="5"/>
        <v>0</v>
      </c>
      <c r="BK6" s="13">
        <f t="shared" si="5"/>
        <v>0</v>
      </c>
      <c r="BL6" s="13">
        <f t="shared" si="5"/>
        <v>3789.62</v>
      </c>
      <c r="BM6" s="13">
        <f t="shared" si="5"/>
        <v>0</v>
      </c>
      <c r="BN6" s="13">
        <f t="shared" si="5"/>
        <v>0</v>
      </c>
      <c r="BO6" s="13">
        <f t="shared" si="5"/>
        <v>0</v>
      </c>
      <c r="BP6" s="13">
        <f t="shared" si="5"/>
        <v>0</v>
      </c>
      <c r="BQ6" s="13">
        <f t="shared" si="5"/>
        <v>0</v>
      </c>
      <c r="BR6" s="13">
        <f t="shared" si="5"/>
        <v>539.22</v>
      </c>
      <c r="BS6" s="13">
        <f t="shared" si="5"/>
        <v>78.900000000000006</v>
      </c>
      <c r="BT6" s="19">
        <f t="shared" si="5"/>
        <v>3171.5</v>
      </c>
    </row>
    <row r="7" spans="1:72" s="1575" customFormat="1" ht="24.75">
      <c r="A7" s="1565" t="s">
        <v>1072</v>
      </c>
      <c r="B7" s="1565" t="s">
        <v>1073</v>
      </c>
      <c r="C7" s="1565" t="s">
        <v>1074</v>
      </c>
      <c r="D7" s="1565" t="s">
        <v>1075</v>
      </c>
      <c r="E7" s="1565" t="s">
        <v>1076</v>
      </c>
      <c r="F7" s="1565" t="s">
        <v>1077</v>
      </c>
      <c r="G7" s="1586" t="s">
        <v>1078</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1079</v>
      </c>
      <c r="AV7" s="20" t="s">
        <v>1080</v>
      </c>
      <c r="AW7" s="1574" t="s">
        <v>1081</v>
      </c>
      <c r="AX7" s="20" t="s">
        <v>1074</v>
      </c>
      <c r="AY7" s="1343" t="s">
        <v>1082</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1083</v>
      </c>
      <c r="H8" s="1592" t="s">
        <v>1084</v>
      </c>
      <c r="I8" s="1593"/>
      <c r="J8" s="1356"/>
      <c r="K8" s="1356"/>
      <c r="L8" s="1356"/>
      <c r="M8" s="1356"/>
      <c r="N8" s="1356"/>
      <c r="O8" s="1356"/>
      <c r="P8" s="1356"/>
      <c r="Q8" s="1356"/>
      <c r="R8" s="1356"/>
      <c r="S8" s="1356"/>
      <c r="T8" s="1356"/>
      <c r="U8" s="1356"/>
      <c r="V8" s="1594"/>
      <c r="W8" s="1356"/>
      <c r="X8" s="1356"/>
      <c r="Y8" s="1356"/>
      <c r="Z8" s="1356"/>
      <c r="AA8" s="1594"/>
      <c r="AB8" s="1595"/>
      <c r="AC8" s="805" t="s">
        <v>1085</v>
      </c>
      <c r="AD8" s="1596"/>
      <c r="AE8" s="1588"/>
      <c r="AF8" s="1356"/>
      <c r="AG8" s="1356"/>
      <c r="AH8" s="1356"/>
      <c r="AI8" s="1356"/>
      <c r="AJ8" s="1356"/>
      <c r="AK8" s="1356"/>
      <c r="AL8" s="1356"/>
      <c r="AM8" s="1356"/>
      <c r="AN8" s="1356"/>
      <c r="AO8" s="1356"/>
      <c r="AP8" s="1356"/>
      <c r="AQ8" s="1356"/>
      <c r="AR8" s="1356"/>
      <c r="AS8" s="1356"/>
      <c r="AT8" s="1066" t="s">
        <v>1086</v>
      </c>
      <c r="AU8" s="1590" t="s">
        <v>1087</v>
      </c>
      <c r="AV8" s="1066"/>
      <c r="AW8" s="1573"/>
      <c r="AX8" s="1066"/>
      <c r="AY8" s="1574" t="s">
        <v>1088</v>
      </c>
      <c r="AZ8" s="1355" t="s">
        <v>1089</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1090</v>
      </c>
      <c r="I9" s="1599" t="s">
        <v>3411</v>
      </c>
      <c r="J9" s="805"/>
      <c r="K9" s="1599" t="s">
        <v>3393</v>
      </c>
      <c r="L9" s="805"/>
      <c r="M9" s="1599" t="s">
        <v>3393</v>
      </c>
      <c r="N9" s="805"/>
      <c r="O9" s="1599" t="s">
        <v>3411</v>
      </c>
      <c r="P9" s="805"/>
      <c r="Q9" s="1599"/>
      <c r="R9" s="805"/>
      <c r="S9" s="1599"/>
      <c r="T9" s="805"/>
      <c r="U9" s="1599"/>
      <c r="V9" s="805"/>
      <c r="W9" s="1599"/>
      <c r="X9" s="1600"/>
      <c r="Y9" s="1599"/>
      <c r="Z9" s="805"/>
      <c r="AA9" s="1599"/>
      <c r="AB9" s="805"/>
      <c r="AC9" s="1591"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1"/>
      <c r="AT9" s="1590"/>
      <c r="AU9" s="1590" t="s">
        <v>1093</v>
      </c>
      <c r="AV9" s="1066"/>
      <c r="AW9" s="1573"/>
      <c r="AX9" s="1066"/>
      <c r="AY9" s="25"/>
      <c r="AZ9" s="25" t="s">
        <v>1083</v>
      </c>
      <c r="BA9" s="1602" t="s">
        <v>1094</v>
      </c>
      <c r="BB9" s="1603"/>
      <c r="BC9" s="1084"/>
      <c r="BD9" s="1084"/>
      <c r="BE9" s="1084"/>
      <c r="BF9" s="1084"/>
      <c r="BG9" s="1084"/>
      <c r="BH9" s="1084"/>
      <c r="BI9" s="1084"/>
      <c r="BJ9" s="1084"/>
      <c r="BK9" s="1604"/>
      <c r="BL9" s="12" t="s">
        <v>1095</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673</v>
      </c>
      <c r="L10" s="805"/>
      <c r="M10" s="1605" t="s">
        <v>3338</v>
      </c>
      <c r="N10" s="805"/>
      <c r="O10" s="1605" t="s">
        <v>673</v>
      </c>
      <c r="P10" s="805"/>
      <c r="Q10" s="1605"/>
      <c r="R10" s="805"/>
      <c r="S10" s="1605"/>
      <c r="T10" s="805"/>
      <c r="U10" s="1605"/>
      <c r="V10" s="805"/>
      <c r="W10" s="1605"/>
      <c r="X10" s="805"/>
      <c r="Y10" s="1605"/>
      <c r="Z10" s="805"/>
      <c r="AA10" s="1605"/>
      <c r="AB10" s="805"/>
      <c r="AC10" s="1066"/>
      <c r="AD10" s="12" t="s">
        <v>1096</v>
      </c>
      <c r="AE10" s="1606"/>
      <c r="AF10" s="12" t="s">
        <v>1096</v>
      </c>
      <c r="AG10" s="1606"/>
      <c r="AH10" s="12" t="s">
        <v>1097</v>
      </c>
      <c r="AI10" s="1606"/>
      <c r="AJ10" s="12" t="s">
        <v>1097</v>
      </c>
      <c r="AK10" s="1606"/>
      <c r="AL10" s="12" t="s">
        <v>1098</v>
      </c>
      <c r="AM10" s="1072"/>
      <c r="AN10" s="12" t="s">
        <v>1098</v>
      </c>
      <c r="AO10" s="1072"/>
      <c r="AP10" s="12" t="s">
        <v>1099</v>
      </c>
      <c r="AQ10" s="1072"/>
      <c r="AR10" s="12" t="s">
        <v>1099</v>
      </c>
      <c r="AS10" s="1072"/>
      <c r="AT10" s="1590"/>
      <c r="AU10" s="1590"/>
      <c r="AV10" s="1066"/>
      <c r="AW10" s="1573"/>
      <c r="AX10" s="1066"/>
      <c r="AY10" s="25"/>
      <c r="AZ10" s="25"/>
      <c r="BA10" s="1607" t="s">
        <v>1090</v>
      </c>
      <c r="BB10" s="1608" t="str">
        <f>I9</f>
        <v>地上</v>
      </c>
      <c r="BC10" s="26" t="str">
        <f>K9</f>
        <v>地下</v>
      </c>
      <c r="BD10" s="26" t="str">
        <f>M9</f>
        <v>地下</v>
      </c>
      <c r="BE10" s="26" t="str">
        <f>O9</f>
        <v>地上</v>
      </c>
      <c r="BF10" s="26">
        <f>Q9</f>
        <v>0</v>
      </c>
      <c r="BG10" s="26">
        <f>S9</f>
        <v>0</v>
      </c>
      <c r="BH10" s="26">
        <f>U9</f>
        <v>0</v>
      </c>
      <c r="BI10" s="26">
        <f>W9</f>
        <v>0</v>
      </c>
      <c r="BJ10" s="26">
        <f>Y9</f>
        <v>0</v>
      </c>
      <c r="BK10" s="26">
        <f>AA9</f>
        <v>0</v>
      </c>
      <c r="BL10" s="22" t="s">
        <v>1090</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1100</v>
      </c>
      <c r="AE11" s="1357"/>
      <c r="AF11" s="1612" t="s">
        <v>1100</v>
      </c>
      <c r="AG11" s="1357"/>
      <c r="AH11" s="1612" t="s">
        <v>1101</v>
      </c>
      <c r="AI11" s="1613"/>
      <c r="AJ11" s="1612" t="s">
        <v>1101</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2" t="s">
        <v>1103</v>
      </c>
      <c r="W12" s="8" t="s">
        <v>1102</v>
      </c>
      <c r="X12" s="8" t="s">
        <v>1103</v>
      </c>
      <c r="Y12" s="8" t="s">
        <v>1102</v>
      </c>
      <c r="Z12" s="8" t="s">
        <v>1103</v>
      </c>
      <c r="AA12" s="8" t="s">
        <v>1102</v>
      </c>
      <c r="AB12" s="8" t="s">
        <v>1103</v>
      </c>
      <c r="AC12" s="1617"/>
      <c r="AD12" s="1345"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5" t="s">
        <v>1103</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3460" t="s">
        <v>3407</v>
      </c>
      <c r="D13" s="1621" t="s">
        <v>3405</v>
      </c>
      <c r="E13" s="13">
        <f>IF($C$3="是",ROUND($A$3*G13/$B$3,2),ROUND($A$3*(G13-AT13)/$B$3,2))</f>
        <v>25373.99</v>
      </c>
      <c r="F13" s="29"/>
      <c r="G13" s="30">
        <f>H13+AC13+AT13</f>
        <v>93032.14</v>
      </c>
      <c r="H13" s="17">
        <f>SUMIF(I$12:AB$12,"总值",I13:AB13)</f>
        <v>72248.599999999991</v>
      </c>
      <c r="I13" s="1622">
        <f>SUM(面积!C6:C11)-O16</f>
        <v>72248.599999999991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13894.400000000001</v>
      </c>
      <c r="AD13" s="1623"/>
      <c r="AE13" s="1623"/>
      <c r="AF13" s="1623"/>
      <c r="AG13" s="1623"/>
      <c r="AH13" s="1623"/>
      <c r="AI13" s="1623"/>
      <c r="AJ13" s="1623"/>
      <c r="AK13" s="1623"/>
      <c r="AL13" s="1623"/>
      <c r="AM13" s="1623"/>
      <c r="AN13" s="1623">
        <f>面积!C14</f>
        <v>1977</v>
      </c>
      <c r="AO13" s="1623"/>
      <c r="AP13" s="1623">
        <f>面积!D17+面积!D18</f>
        <v>289.27999999999997</v>
      </c>
      <c r="AQ13" s="1623"/>
      <c r="AR13" s="1623">
        <f>13605.12-AN13</f>
        <v>11628.12</v>
      </c>
      <c r="AS13" s="1623"/>
      <c r="AT13" s="1624">
        <f>面积!C21+面积!E22+面积!D22</f>
        <v>6889.14</v>
      </c>
      <c r="AU13" s="1625"/>
      <c r="AV13" s="8">
        <f t="shared" ref="AV13:AX17" si="6">A13</f>
        <v>0</v>
      </c>
      <c r="AW13" s="8">
        <f t="shared" si="6"/>
        <v>0</v>
      </c>
      <c r="AX13" s="8" t="str">
        <f t="shared" si="6"/>
        <v>办公</v>
      </c>
      <c r="AY13" s="1345">
        <f>ROUND($AY$6*AZ13/$AZ$5,2)</f>
        <v>23495.01</v>
      </c>
      <c r="AZ13" s="13">
        <f>BA13+BL13</f>
        <v>86143</v>
      </c>
      <c r="BA13" s="13">
        <f>SUM(BB13:BK13)</f>
        <v>72248.599999999991</v>
      </c>
      <c r="BB13" s="13">
        <f>IF($D13="是",I13-J13,0)</f>
        <v>72248.599999999991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13894.400000000001</v>
      </c>
      <c r="BM13" s="13">
        <f>IF($D13="是",AD13-AE13,0)</f>
        <v>0</v>
      </c>
      <c r="BN13" s="13">
        <f>IF($D13="是",AF13-AG13,0)</f>
        <v>0</v>
      </c>
      <c r="BO13" s="13">
        <f>IF($D13="是",AH13-AI13,0)</f>
        <v>0</v>
      </c>
      <c r="BP13" s="13">
        <f>IF($D13="是",AJ13-AK13,0)</f>
        <v>0</v>
      </c>
      <c r="BQ13" s="13">
        <f>IF($D13="是",AL13-AM13,0)</f>
        <v>0</v>
      </c>
      <c r="BR13" s="13">
        <f>IF($D13="是",AN13-AO13,0)</f>
        <v>1977</v>
      </c>
      <c r="BS13" s="13">
        <f>IF($D13="是",AP13-AQ13,0)</f>
        <v>289.27999999999997</v>
      </c>
      <c r="BT13" s="19">
        <f>IF($D13="是",AR13-AS13,0)</f>
        <v>11628.12</v>
      </c>
    </row>
    <row r="14" spans="1:72" s="1575" customFormat="1" ht="12.75">
      <c r="A14" s="1047"/>
      <c r="B14" s="1047"/>
      <c r="C14" s="3461" t="s">
        <v>3409</v>
      </c>
      <c r="D14" s="1621" t="s">
        <v>3405</v>
      </c>
      <c r="E14" s="13">
        <f>IF($C$3="是",ROUND($A$3*G14/$B$3,2),ROUND($A$3*(G14-AT14)/$B$3,2))</f>
        <v>3290.91</v>
      </c>
      <c r="F14" s="29"/>
      <c r="G14" s="30">
        <f>H14+AC14+AT14</f>
        <v>12065.93</v>
      </c>
      <c r="H14" s="17">
        <f>SUMIF(I$12:AB$12,"总值",I14:AB14)</f>
        <v>12065.93</v>
      </c>
      <c r="I14" s="1622"/>
      <c r="J14" s="1622"/>
      <c r="K14" s="1622">
        <f>面积!C12</f>
        <v>12065.93</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t="str">
        <f t="shared" si="6"/>
        <v>地下商业</v>
      </c>
      <c r="AY14" s="1345">
        <f>ROUND($AY$6*AZ14/$AZ$5,2)</f>
        <v>3290.91</v>
      </c>
      <c r="AZ14" s="13">
        <f>BA14+BL14</f>
        <v>12065.93</v>
      </c>
      <c r="BA14" s="13">
        <f>SUM(BB14:BK14)</f>
        <v>12065.93</v>
      </c>
      <c r="BB14" s="13">
        <f>IF($D14="是",I14-J14,0)</f>
        <v>0</v>
      </c>
      <c r="BC14" s="13">
        <f>IF($D14="是",K14-L14,0)</f>
        <v>12065.93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3461" t="s">
        <v>3410</v>
      </c>
      <c r="D15" s="1621" t="s">
        <v>3405</v>
      </c>
      <c r="E15" s="13">
        <f>IF($C$3="是",ROUND($A$3*G15/$B$3,2),ROUND($A$3*(G15-AT15)/$B$3,2))</f>
        <v>8335.5400000000009</v>
      </c>
      <c r="F15" s="29"/>
      <c r="G15" s="30">
        <f>H15+AC15+AT15</f>
        <v>30561.740000000005</v>
      </c>
      <c r="H15" s="17">
        <f>SUMIF(I$12:AB$12,"总值",I15:AB15)</f>
        <v>30561.740000000005</v>
      </c>
      <c r="I15" s="1622"/>
      <c r="J15" s="1622"/>
      <c r="K15" s="1622"/>
      <c r="L15" s="1622"/>
      <c r="M15" s="1622">
        <f>37340.16-面积!E22-面积!C21</f>
        <v>30561.740000000005</v>
      </c>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t="str">
        <f t="shared" si="6"/>
        <v>地下车库</v>
      </c>
      <c r="AY15" s="1345">
        <f>ROUND($AY$6*AZ15/$AZ$5,2)</f>
        <v>8335.5400000000009</v>
      </c>
      <c r="AZ15" s="13">
        <f>BA15+BL15</f>
        <v>30561.740000000005</v>
      </c>
      <c r="BA15" s="13">
        <f>SUM(BB15:BK15)</f>
        <v>30561.740000000005</v>
      </c>
      <c r="BB15" s="13">
        <f>IF($D15="是",I15-J15,0)</f>
        <v>0</v>
      </c>
      <c r="BC15" s="13">
        <f>IF($D15="是",K15-L15,0)</f>
        <v>0</v>
      </c>
      <c r="BD15" s="13">
        <f>IF($D15="是",M15-N15,0)</f>
        <v>30561.740000000005</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3461" t="s">
        <v>3569</v>
      </c>
      <c r="D16" s="1621" t="s">
        <v>3405</v>
      </c>
      <c r="E16" s="13">
        <f>IF($C$3="是",ROUND($A$3*G16/$B$3,2),ROUND($A$3*(G16-AT16)/$B$3,2))</f>
        <v>811.48</v>
      </c>
      <c r="F16" s="29"/>
      <c r="G16" s="30">
        <f>H16+AC16+AT16</f>
        <v>2975.24</v>
      </c>
      <c r="H16" s="17">
        <f>SUMIF(I$12:AB$12,"总值",I16:AB16)</f>
        <v>2975.24</v>
      </c>
      <c r="I16" s="1622"/>
      <c r="J16" s="1622"/>
      <c r="K16" s="1622"/>
      <c r="L16" s="1622"/>
      <c r="M16" s="1622"/>
      <c r="N16" s="1622"/>
      <c r="O16" s="1622">
        <f>3264.52-AP13</f>
        <v>2975.24</v>
      </c>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t="str">
        <f t="shared" si="6"/>
        <v>地上商业</v>
      </c>
      <c r="AY16" s="1345">
        <f>ROUND($AY$6*AZ16/$AZ$5,2)</f>
        <v>811.48</v>
      </c>
      <c r="AZ16" s="13">
        <f>BA16+BL16</f>
        <v>2975.24</v>
      </c>
      <c r="BA16" s="13">
        <f>SUM(BB16:BK16)</f>
        <v>2975.24</v>
      </c>
      <c r="BB16" s="13">
        <f>IF($D16="是",I16-J16,0)</f>
        <v>0</v>
      </c>
      <c r="BC16" s="13">
        <f>IF($D16="是",K16-L16,0)</f>
        <v>0</v>
      </c>
      <c r="BD16" s="13">
        <f>IF($D16="是",M16-N16,0)</f>
        <v>0</v>
      </c>
      <c r="BE16" s="13">
        <f>IF($D16="是",O16-P16,0)</f>
        <v>2975.24</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0" sqref="E3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1129</v>
      </c>
      <c r="B1" s="1135"/>
      <c r="C1" s="1135"/>
      <c r="D1" s="1135"/>
      <c r="E1" s="1135"/>
      <c r="F1" s="1135"/>
      <c r="G1" s="1135"/>
      <c r="H1" s="1135"/>
      <c r="I1" s="1135"/>
      <c r="J1" s="1135"/>
      <c r="K1" s="1135"/>
      <c r="L1" s="1135"/>
      <c r="M1" s="1135"/>
      <c r="N1" s="1135"/>
      <c r="O1" s="1135"/>
      <c r="P1" s="1135"/>
    </row>
    <row r="2" spans="1:16" ht="15">
      <c r="A2" s="3573" t="s">
        <v>1130</v>
      </c>
      <c r="B2" s="3573"/>
      <c r="C2" s="3573"/>
      <c r="D2" s="792" t="s">
        <v>1106</v>
      </c>
      <c r="E2" s="1635" t="s">
        <v>1107</v>
      </c>
      <c r="F2" s="2655"/>
      <c r="G2" s="2646"/>
      <c r="H2" s="2647"/>
      <c r="I2" s="2321" t="s">
        <v>1131</v>
      </c>
      <c r="J2" s="2655"/>
      <c r="K2" s="2655"/>
      <c r="L2" s="2655"/>
      <c r="M2" s="2655"/>
      <c r="N2" s="2657"/>
      <c r="O2" s="2655"/>
      <c r="P2" s="2655"/>
    </row>
    <row r="3" spans="1:16" ht="15.75" thickBot="1">
      <c r="A3" s="3574" t="s">
        <v>1104</v>
      </c>
      <c r="B3" s="3574"/>
      <c r="C3" s="3574"/>
      <c r="D3" s="43">
        <f>'数据-基础表'!AY6</f>
        <v>35932.949999999997</v>
      </c>
      <c r="E3" s="43">
        <f>'数据-基础表'!AZ5</f>
        <v>131745.91</v>
      </c>
      <c r="F3" s="2655"/>
      <c r="G3" s="1141"/>
      <c r="H3" s="1022" t="s">
        <v>1105</v>
      </c>
      <c r="I3" s="851">
        <f>ROUND('数据-基础表'!B3/'数据-基础表'!A3,2)</f>
        <v>3.67</v>
      </c>
      <c r="J3" s="2655"/>
      <c r="K3" s="2655"/>
      <c r="L3" s="2655"/>
      <c r="M3" s="2655"/>
      <c r="N3" s="2657"/>
      <c r="O3" s="2655"/>
      <c r="P3" s="2655"/>
    </row>
    <row r="4" spans="1:16" ht="15">
      <c r="A4" s="3575"/>
      <c r="B4" s="3576"/>
      <c r="C4" s="3577"/>
      <c r="D4" s="1637" t="s">
        <v>1106</v>
      </c>
      <c r="E4" s="1638" t="s">
        <v>1107</v>
      </c>
      <c r="F4" s="2655"/>
      <c r="G4" s="2648" t="s">
        <v>1132</v>
      </c>
      <c r="H4" s="1022" t="s">
        <v>1112</v>
      </c>
      <c r="I4" s="851">
        <f>ROUND(SUMIF('数据-基础表'!I9:AS9,"地上",'数据-基础表'!I5:AS5)/'数据-基础表'!A3,2)</f>
        <v>2</v>
      </c>
      <c r="J4" s="2655"/>
      <c r="K4" s="2655"/>
      <c r="L4" s="2655"/>
      <c r="M4" s="2655"/>
      <c r="N4" s="2657"/>
      <c r="O4" s="2655"/>
      <c r="P4" s="2655"/>
    </row>
    <row r="5" spans="1:16">
      <c r="A5" s="44" t="s">
        <v>1108</v>
      </c>
      <c r="B5" s="3578" t="s">
        <v>1109</v>
      </c>
      <c r="C5" s="3578"/>
      <c r="D5" s="45">
        <f>ROUND($D$3*E5/$E$3,2)</f>
        <v>0</v>
      </c>
      <c r="E5" s="46">
        <f>SUMIF('数据-基础表'!$11:$11,"住宅",'数据-基础表'!$5:$5)</f>
        <v>0</v>
      </c>
      <c r="F5" s="2655"/>
      <c r="G5" s="1141"/>
      <c r="H5" s="1022" t="s">
        <v>1105</v>
      </c>
      <c r="I5" s="851">
        <f>ROUND(E31/D31,2)</f>
        <v>3.67</v>
      </c>
      <c r="J5" s="2655"/>
      <c r="K5" s="2655"/>
      <c r="L5" s="2655"/>
      <c r="M5" s="2655"/>
      <c r="N5" s="2655"/>
      <c r="O5" s="2655"/>
      <c r="P5" s="2655"/>
    </row>
    <row r="6" spans="1:16" ht="15" thickBot="1">
      <c r="A6" s="1640"/>
      <c r="B6" s="3578" t="s">
        <v>1110</v>
      </c>
      <c r="C6" s="3578"/>
      <c r="D6" s="45">
        <f>ROUND($D$3*E6/$E$3,2)</f>
        <v>35932.949999999997</v>
      </c>
      <c r="E6" s="46">
        <f>E3-E5</f>
        <v>131745.91</v>
      </c>
      <c r="F6" s="2655"/>
      <c r="G6" s="2649" t="s">
        <v>1111</v>
      </c>
      <c r="H6" s="1142" t="s">
        <v>1112</v>
      </c>
      <c r="I6" s="2650">
        <f>ROUND(F31/D31,2)</f>
        <v>2.1</v>
      </c>
      <c r="J6" s="2655"/>
      <c r="K6" s="2655"/>
      <c r="L6" s="2655"/>
      <c r="M6" s="2655"/>
      <c r="N6" s="2655"/>
      <c r="O6" s="2655"/>
      <c r="P6" s="2655"/>
    </row>
    <row r="7" spans="1:16" ht="15.75" thickBot="1">
      <c r="A7" s="3570"/>
      <c r="B7" s="3571"/>
      <c r="C7" s="3572"/>
      <c r="D7" s="1637" t="s">
        <v>1106</v>
      </c>
      <c r="E7" s="1641" t="s">
        <v>1113</v>
      </c>
      <c r="F7" s="2655"/>
      <c r="G7" s="2651" t="s">
        <v>1114</v>
      </c>
      <c r="H7" s="2652"/>
      <c r="I7" s="2653"/>
      <c r="J7" s="2655"/>
      <c r="K7" s="2655"/>
      <c r="L7" s="2655"/>
      <c r="M7" s="2655"/>
      <c r="N7" s="2655"/>
      <c r="O7" s="2655"/>
      <c r="P7" s="2655"/>
    </row>
    <row r="8" spans="1:16">
      <c r="A8" s="44" t="s">
        <v>1115</v>
      </c>
      <c r="B8" s="47" t="s">
        <v>1116</v>
      </c>
      <c r="C8" s="45" t="s">
        <v>1117</v>
      </c>
      <c r="D8" s="45">
        <f t="shared" ref="D8:D15" si="0">ROUND($D$3*E8/$E$3,2)</f>
        <v>20516.88</v>
      </c>
      <c r="E8" s="48">
        <f>SUMIF('数据-基础表'!BB10:BK10,"地上",'数据-基础表'!BB5:BK5)</f>
        <v>75223.839999999997</v>
      </c>
      <c r="F8" s="2655"/>
      <c r="G8" s="2656"/>
      <c r="H8" s="2656"/>
      <c r="I8" s="2655"/>
      <c r="J8" s="2655"/>
      <c r="K8" s="2655"/>
      <c r="L8" s="2655"/>
      <c r="M8" s="2655"/>
      <c r="N8" s="2655"/>
      <c r="O8" s="2655"/>
      <c r="P8" s="2655"/>
    </row>
    <row r="9" spans="1:16">
      <c r="A9" s="1642"/>
      <c r="B9" s="1643"/>
      <c r="C9" s="45" t="s">
        <v>1118</v>
      </c>
      <c r="D9" s="45">
        <f t="shared" si="0"/>
        <v>0</v>
      </c>
      <c r="E9" s="49">
        <v>0</v>
      </c>
      <c r="F9" s="2655"/>
      <c r="G9" s="2656"/>
      <c r="H9" s="2656"/>
      <c r="I9" s="2655"/>
      <c r="J9" s="2655"/>
      <c r="K9" s="2655"/>
      <c r="L9" s="2655"/>
      <c r="M9" s="2655"/>
      <c r="N9" s="2655"/>
      <c r="O9" s="2655"/>
      <c r="P9" s="2655"/>
    </row>
    <row r="10" spans="1:16">
      <c r="A10" s="1642"/>
      <c r="B10" s="1643"/>
      <c r="C10" s="45" t="s">
        <v>1127</v>
      </c>
      <c r="D10" s="45">
        <f t="shared" si="0"/>
        <v>3290.91</v>
      </c>
      <c r="E10" s="48">
        <f>SUMPRODUCT(('数据-基础表'!BB10:BK10="地下")*('数据-基础表'!BB11:BK11="商业")*('数据-基础表'!BB5:BK5))</f>
        <v>12065.93</v>
      </c>
      <c r="F10" s="2655"/>
      <c r="G10" s="2656"/>
      <c r="H10" s="2656"/>
      <c r="I10" s="2655"/>
      <c r="J10" s="2655"/>
      <c r="K10" s="2655"/>
      <c r="L10" s="2655"/>
      <c r="M10" s="2655"/>
      <c r="N10" s="2655"/>
      <c r="O10" s="2655"/>
      <c r="P10" s="2655"/>
    </row>
    <row r="11" spans="1:16">
      <c r="A11" s="1642"/>
      <c r="B11" s="1643"/>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1121</v>
      </c>
      <c r="D13" s="45">
        <f t="shared" si="0"/>
        <v>8335.5400000000009</v>
      </c>
      <c r="E13" s="48">
        <f>SUMPRODUCT(('数据-基础表'!BB10:BK10="地下")*('数据-基础表'!BB11:BK11="车库")*('数据-基础表'!BB5:BK5))</f>
        <v>30561.740000000005</v>
      </c>
      <c r="F13" s="2655"/>
      <c r="G13" s="2656"/>
      <c r="H13" s="2656"/>
      <c r="I13" s="2655"/>
      <c r="J13" s="2655"/>
      <c r="K13" s="2655"/>
      <c r="L13" s="2655"/>
      <c r="M13" s="2655"/>
      <c r="N13" s="2655"/>
      <c r="O13" s="2655"/>
      <c r="P13" s="2655"/>
    </row>
    <row r="14" spans="1:16">
      <c r="A14" s="1642"/>
      <c r="B14" s="1643"/>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1122</v>
      </c>
      <c r="D16" s="47">
        <f>SUM(D8:D15)</f>
        <v>32143.33</v>
      </c>
      <c r="E16" s="50">
        <f>SUM(E8:E15)</f>
        <v>117851.51</v>
      </c>
      <c r="F16" s="2655"/>
      <c r="G16" s="2656"/>
      <c r="H16" s="1644" t="s">
        <v>1134</v>
      </c>
      <c r="I16" s="1645"/>
      <c r="J16" s="1135"/>
      <c r="K16" s="3567" t="s">
        <v>1134</v>
      </c>
      <c r="L16" s="3568"/>
      <c r="M16" s="3568"/>
      <c r="N16" s="3568"/>
      <c r="O16" s="3568"/>
      <c r="P16" s="3569"/>
    </row>
    <row r="17" spans="1:19" ht="15">
      <c r="A17" s="1646" t="s">
        <v>1135</v>
      </c>
      <c r="B17" s="1647" t="s">
        <v>1136</v>
      </c>
      <c r="C17" s="1648" t="s">
        <v>1137</v>
      </c>
      <c r="D17" s="1649" t="s">
        <v>1125</v>
      </c>
      <c r="E17" s="1650" t="s">
        <v>1126</v>
      </c>
      <c r="F17" s="1651"/>
      <c r="G17" s="1652"/>
      <c r="H17" s="1653" t="s">
        <v>1138</v>
      </c>
      <c r="I17" s="1654" t="s">
        <v>1123</v>
      </c>
      <c r="J17" s="1135"/>
      <c r="K17" s="3564" t="s">
        <v>1139</v>
      </c>
      <c r="L17" s="3565"/>
      <c r="M17" s="3566"/>
      <c r="N17" s="3564" t="s">
        <v>1140</v>
      </c>
      <c r="O17" s="3565"/>
      <c r="P17" s="3566"/>
      <c r="R17" s="1636" t="s">
        <v>1141</v>
      </c>
      <c r="S17" s="56"/>
    </row>
    <row r="18" spans="1:19" ht="15">
      <c r="A18" s="1642"/>
      <c r="B18" s="1655"/>
      <c r="C18" s="1656"/>
      <c r="D18" s="1657"/>
      <c r="E18" s="1658" t="s">
        <v>1142</v>
      </c>
      <c r="F18" s="1659" t="s">
        <v>1143</v>
      </c>
      <c r="G18" s="1660" t="s">
        <v>1144</v>
      </c>
      <c r="H18" s="1037" t="s">
        <v>1145</v>
      </c>
      <c r="I18" s="1661" t="s">
        <v>1146</v>
      </c>
      <c r="J18" s="1135"/>
      <c r="K18" s="1037" t="s">
        <v>1147</v>
      </c>
      <c r="L18" s="1662" t="s">
        <v>1148</v>
      </c>
      <c r="M18" s="851" t="s">
        <v>1149</v>
      </c>
      <c r="N18" s="1037" t="s">
        <v>1147</v>
      </c>
      <c r="O18" s="1662" t="s">
        <v>1148</v>
      </c>
      <c r="P18" s="851" t="s">
        <v>1149</v>
      </c>
      <c r="R18" s="1022" t="s">
        <v>1150</v>
      </c>
      <c r="S18" s="1022" t="s">
        <v>1151</v>
      </c>
    </row>
    <row r="19" spans="1:19">
      <c r="A19" s="1663"/>
      <c r="B19" s="47" t="s">
        <v>1124</v>
      </c>
      <c r="C19" s="3413" t="s">
        <v>3412</v>
      </c>
      <c r="D19" s="45">
        <f>ROUND($D$3*E19/$E$3,2)</f>
        <v>19705.400000000001</v>
      </c>
      <c r="E19" s="53">
        <f t="shared" ref="E19:E26" si="1">SUM(F19:G19)</f>
        <v>72248.599999999991</v>
      </c>
      <c r="F19" s="2791">
        <f>'数据-基础表'!I13</f>
        <v>72248.599999999991</v>
      </c>
      <c r="G19" s="2792"/>
      <c r="H19" s="670">
        <f>ROUND($D$3*I19/$E$3,2)</f>
        <v>2323.2199999999998</v>
      </c>
      <c r="I19" s="48">
        <f t="shared" ref="I19:I26" si="2">IF($I$17="自定义",P19,M19)</f>
        <v>8517.93</v>
      </c>
      <c r="J19" s="1135"/>
      <c r="K19" s="1134">
        <f t="shared" ref="K19:K26" si="3">ROUND(E$28*E19/E$27,2)</f>
        <v>8517.93</v>
      </c>
      <c r="L19" s="1022">
        <f t="shared" ref="L19:L26" si="4">ROUND(IF(COUNTIF(C19,"*住宅*")&gt;0,E$29*E19/E$32,0),2)</f>
        <v>0</v>
      </c>
      <c r="M19" s="1146">
        <f>K19+L19</f>
        <v>8517.93</v>
      </c>
      <c r="N19" s="1664"/>
      <c r="O19" s="1665"/>
      <c r="P19" s="1146">
        <f>N19+O19</f>
        <v>0</v>
      </c>
      <c r="R19" s="1022">
        <f t="shared" ref="R19:S26" si="5">D19+H19</f>
        <v>22028.620000000003</v>
      </c>
      <c r="S19" s="1023">
        <f t="shared" si="5"/>
        <v>80766.53</v>
      </c>
    </row>
    <row r="20" spans="1:19">
      <c r="A20" s="1666"/>
      <c r="B20" s="47" t="s">
        <v>1152</v>
      </c>
      <c r="C20" s="3413" t="s">
        <v>3570</v>
      </c>
      <c r="D20" s="45">
        <f t="shared" ref="D20:D26" si="6">ROUND($D$3*E20/$E$3,2)</f>
        <v>4102.3900000000003</v>
      </c>
      <c r="E20" s="53">
        <f t="shared" si="1"/>
        <v>15041.17</v>
      </c>
      <c r="F20" s="2791">
        <f>'数据-基础表'!O16</f>
        <v>2975.24</v>
      </c>
      <c r="G20" s="2792">
        <f>'数据-基础表'!K14</f>
        <v>12065.93</v>
      </c>
      <c r="H20" s="670">
        <f t="shared" ref="H20:H26" si="7">ROUND($D$3*I20/$E$3,2)</f>
        <v>483.66</v>
      </c>
      <c r="I20" s="48">
        <f t="shared" si="2"/>
        <v>1773.32</v>
      </c>
      <c r="J20" s="1135"/>
      <c r="K20" s="1134">
        <f t="shared" si="3"/>
        <v>1773.32</v>
      </c>
      <c r="L20" s="1022">
        <f t="shared" si="4"/>
        <v>0</v>
      </c>
      <c r="M20" s="1146">
        <f t="shared" ref="M20:M26" si="8">K20+L20</f>
        <v>1773.32</v>
      </c>
      <c r="N20" s="1664"/>
      <c r="O20" s="1665"/>
      <c r="P20" s="1146">
        <f t="shared" ref="P20:P26" si="9">N20+O20</f>
        <v>0</v>
      </c>
      <c r="R20" s="1022">
        <f t="shared" si="5"/>
        <v>4586.05</v>
      </c>
      <c r="S20" s="1023">
        <f t="shared" si="5"/>
        <v>16814.490000000002</v>
      </c>
    </row>
    <row r="21" spans="1:19">
      <c r="A21" s="1666"/>
      <c r="B21" s="47" t="s">
        <v>1152</v>
      </c>
      <c r="C21" s="3413" t="s">
        <v>3413</v>
      </c>
      <c r="D21" s="45">
        <f t="shared" si="6"/>
        <v>8335.5400000000009</v>
      </c>
      <c r="E21" s="53">
        <f t="shared" si="1"/>
        <v>30561.740000000005</v>
      </c>
      <c r="F21" s="2791"/>
      <c r="G21" s="2792">
        <f>'数据-基础表'!M15</f>
        <v>30561.740000000005</v>
      </c>
      <c r="H21" s="670">
        <f t="shared" si="7"/>
        <v>982.74</v>
      </c>
      <c r="I21" s="48">
        <f t="shared" si="2"/>
        <v>3603.15</v>
      </c>
      <c r="J21" s="1135"/>
      <c r="K21" s="1134">
        <f t="shared" si="3"/>
        <v>3603.15</v>
      </c>
      <c r="L21" s="1022">
        <f t="shared" si="4"/>
        <v>0</v>
      </c>
      <c r="M21" s="1146">
        <f t="shared" si="8"/>
        <v>3603.15</v>
      </c>
      <c r="N21" s="1664"/>
      <c r="O21" s="1665"/>
      <c r="P21" s="1146">
        <f t="shared" si="9"/>
        <v>0</v>
      </c>
      <c r="R21" s="1022">
        <f t="shared" si="5"/>
        <v>9318.2800000000007</v>
      </c>
      <c r="S21" s="1023">
        <f t="shared" si="5"/>
        <v>34164.890000000007</v>
      </c>
    </row>
    <row r="22" spans="1:19">
      <c r="A22" s="1666"/>
      <c r="B22" s="47" t="s">
        <v>1152</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1152</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1152</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1152</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1152</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1153</v>
      </c>
      <c r="D27" s="1136">
        <f>SUM(D19:D26)</f>
        <v>32143.33</v>
      </c>
      <c r="E27" s="1137">
        <f>IF(SUM(E19:E26)='数据-基础表'!BA5,SUM(E19:E26),IF(F27="地上面积有误","面积有误","地下面积有误"))</f>
        <v>117851.51</v>
      </c>
      <c r="F27" s="1136">
        <f>IF(SUM(F19:F26)=E8,SUM(F19:F26),"地上面积有误")</f>
        <v>75223.839999999997</v>
      </c>
      <c r="G27" s="1138">
        <f>SUM(G19:G26)</f>
        <v>42627.670000000006</v>
      </c>
      <c r="H27" s="1139">
        <f>SUM(H19:H26)</f>
        <v>3789.62</v>
      </c>
      <c r="I27" s="1140">
        <f>SUM(I19:I26)</f>
        <v>13894.4</v>
      </c>
      <c r="J27" s="1135"/>
      <c r="K27" s="1143">
        <f>SUM(K19:K26)</f>
        <v>13894.4</v>
      </c>
      <c r="L27" s="1144">
        <f>SUM(L19:L26)</f>
        <v>0</v>
      </c>
      <c r="M27" s="1147">
        <f>SUM(M19:M26)</f>
        <v>13894.4</v>
      </c>
      <c r="N27" s="1143">
        <f t="shared" ref="N27:O27" si="10">SUM(N19:N26)</f>
        <v>0</v>
      </c>
      <c r="O27" s="1144">
        <f t="shared" si="10"/>
        <v>0</v>
      </c>
      <c r="P27" s="1145">
        <f>SUM(P19:P26)</f>
        <v>0</v>
      </c>
      <c r="R27" s="1024">
        <f>IF(SUM(R19:R26)=$D$3,SUM(R19:R26),SUM(R19:R26)&amp;"误差"&amp;ROUND(SUM(R19:R26)-$D$3,2))</f>
        <v>35932.950000000004</v>
      </c>
      <c r="S27" s="1022">
        <f>IF(SUM(S19:S26)=$E$3,SUM(S19:S26),SUM(S19:S26)&amp;"误差"&amp;ROUND(SUM(S19:S26)-E3,2))</f>
        <v>131745.91</v>
      </c>
    </row>
    <row r="28" spans="1:19">
      <c r="A28" s="1666"/>
      <c r="B28" s="47" t="s">
        <v>1154</v>
      </c>
      <c r="C28" s="1034" t="s">
        <v>1155</v>
      </c>
      <c r="D28" s="45">
        <f>ROUND($D$3*E28/$E$3,2)</f>
        <v>3789.62</v>
      </c>
      <c r="E28" s="53">
        <f>SUM(F28:G28)</f>
        <v>13894.400000000001</v>
      </c>
      <c r="F28" s="56">
        <f>'数据-基础表'!BQ5+'数据-基础表'!BS5</f>
        <v>289.27999999999997</v>
      </c>
      <c r="G28" s="57">
        <f>'数据-基础表'!BR5+'数据-基础表'!BT5</f>
        <v>13605.12</v>
      </c>
      <c r="H28" s="2655"/>
      <c r="I28" s="2655"/>
      <c r="J28" s="2655"/>
      <c r="K28" s="2655"/>
      <c r="L28" s="2655"/>
      <c r="M28" s="2655"/>
      <c r="N28" s="2655"/>
      <c r="O28" s="2655"/>
      <c r="P28" s="2655"/>
    </row>
    <row r="29" spans="1:19">
      <c r="A29" s="1666"/>
      <c r="B29" s="47" t="s">
        <v>1154</v>
      </c>
      <c r="C29" s="1670"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1153</v>
      </c>
      <c r="D30" s="1136">
        <f>SUM(D28:D29)</f>
        <v>3789.62</v>
      </c>
      <c r="E30" s="1136">
        <f>SUM(E28:E29)</f>
        <v>13894.400000000001</v>
      </c>
      <c r="F30" s="1136">
        <f>SUM(F28:F29)</f>
        <v>289.27999999999997</v>
      </c>
      <c r="G30" s="1138">
        <f>SUM(G28:G29)</f>
        <v>13605.12</v>
      </c>
      <c r="H30" s="2655"/>
      <c r="I30" s="2655"/>
      <c r="J30" s="2655"/>
      <c r="K30" s="2655"/>
      <c r="L30" s="2655"/>
      <c r="M30" s="2655"/>
      <c r="N30" s="2655"/>
      <c r="O30" s="2655"/>
      <c r="P30" s="2655"/>
    </row>
    <row r="31" spans="1:19" ht="15.75" thickBot="1">
      <c r="A31" s="1672"/>
      <c r="B31" s="1673"/>
      <c r="C31" s="831" t="s">
        <v>1157</v>
      </c>
      <c r="D31" s="676">
        <f>D27+D30</f>
        <v>35932.950000000004</v>
      </c>
      <c r="E31" s="676">
        <f>E27+E30</f>
        <v>131745.91</v>
      </c>
      <c r="F31" s="677">
        <f>F27+F30</f>
        <v>75513.119999999995</v>
      </c>
      <c r="G31" s="678">
        <f>G27+G30</f>
        <v>56232.790000000008</v>
      </c>
      <c r="H31" s="2655"/>
      <c r="I31" s="2655"/>
      <c r="J31" s="2655"/>
      <c r="K31" s="2655"/>
      <c r="L31" s="2655"/>
      <c r="M31" s="2655"/>
      <c r="N31" s="2655"/>
      <c r="O31" s="2655"/>
      <c r="P31" s="2655"/>
    </row>
    <row r="32" spans="1:19">
      <c r="A32" s="1639"/>
      <c r="B32" s="1639" t="s">
        <v>1158</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24" sqref="AM24"/>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1159</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1160</v>
      </c>
      <c r="B2" s="1041">
        <f>项目基本情况!D3</f>
        <v>45147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1161</v>
      </c>
      <c r="B4" s="1684"/>
      <c r="C4" s="1685"/>
      <c r="D4" s="1686"/>
      <c r="E4" s="1685" t="s">
        <v>1162</v>
      </c>
      <c r="F4" s="1685"/>
      <c r="G4" s="1685"/>
      <c r="H4" s="1685"/>
      <c r="I4" s="1685"/>
      <c r="J4" s="1687"/>
      <c r="K4" s="1688"/>
      <c r="L4" s="1689"/>
      <c r="M4" s="1685"/>
      <c r="N4" s="1685" t="s">
        <v>1163</v>
      </c>
      <c r="O4" s="1685"/>
      <c r="P4" s="1685"/>
      <c r="Q4" s="1685"/>
      <c r="R4" s="1685"/>
      <c r="S4" s="1687"/>
      <c r="T4" s="2654" t="str">
        <f>'数据-汇总表'!I17</f>
        <v>按面积比例</v>
      </c>
      <c r="U4" s="1684" t="s">
        <v>1164</v>
      </c>
      <c r="V4" s="1685"/>
      <c r="W4" s="1685"/>
      <c r="X4" s="1685"/>
      <c r="Y4" s="1687"/>
      <c r="Z4" s="1648" t="s">
        <v>1165</v>
      </c>
      <c r="AA4" s="1648"/>
      <c r="AB4" s="1648"/>
      <c r="AC4" s="1648"/>
      <c r="AD4" s="1648"/>
      <c r="AE4" s="1646" t="s">
        <v>1166</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1167</v>
      </c>
      <c r="B5" s="1692" t="s">
        <v>1168</v>
      </c>
      <c r="C5" s="1693" t="s">
        <v>1169</v>
      </c>
      <c r="D5" s="1694" t="s">
        <v>1170</v>
      </c>
      <c r="E5" s="1043" t="s">
        <v>1171</v>
      </c>
      <c r="F5" s="1695" t="s">
        <v>1172</v>
      </c>
      <c r="G5" s="1043" t="s">
        <v>1173</v>
      </c>
      <c r="H5" s="1043" t="s">
        <v>1174</v>
      </c>
      <c r="I5" s="1043" t="s">
        <v>1175</v>
      </c>
      <c r="J5" s="1696" t="s">
        <v>1176</v>
      </c>
      <c r="K5" s="1697" t="s">
        <v>1177</v>
      </c>
      <c r="L5" s="1698" t="s">
        <v>1178</v>
      </c>
      <c r="M5" s="1699" t="s">
        <v>1179</v>
      </c>
      <c r="N5" s="1700" t="s">
        <v>3520</v>
      </c>
      <c r="O5" s="1698" t="s">
        <v>1180</v>
      </c>
      <c r="P5" s="1701" t="s">
        <v>1181</v>
      </c>
      <c r="Q5" s="61" t="s">
        <v>1182</v>
      </c>
      <c r="R5" s="1702" t="s">
        <v>1183</v>
      </c>
      <c r="S5" s="1703" t="s">
        <v>1184</v>
      </c>
      <c r="T5" s="1704" t="s">
        <v>1185</v>
      </c>
      <c r="U5" s="1042" t="s">
        <v>1186</v>
      </c>
      <c r="V5" s="1043" t="s">
        <v>1187</v>
      </c>
      <c r="W5" s="1043" t="s">
        <v>1188</v>
      </c>
      <c r="X5" s="63"/>
      <c r="Y5" s="62" t="s">
        <v>1189</v>
      </c>
      <c r="Z5" s="1705" t="s">
        <v>1186</v>
      </c>
      <c r="AA5" s="1043" t="s">
        <v>1187</v>
      </c>
      <c r="AB5" s="1043" t="s">
        <v>1188</v>
      </c>
      <c r="AC5" s="63"/>
      <c r="AD5" s="63" t="s">
        <v>1189</v>
      </c>
      <c r="AE5" s="1042" t="s">
        <v>1190</v>
      </c>
      <c r="AF5" s="1043" t="s">
        <v>1191</v>
      </c>
      <c r="AG5" s="62" t="s">
        <v>1192</v>
      </c>
      <c r="AH5" s="1042" t="s">
        <v>1193</v>
      </c>
      <c r="AI5" s="1705" t="s">
        <v>1194</v>
      </c>
      <c r="AJ5" s="1705" t="s">
        <v>1195</v>
      </c>
      <c r="AK5" s="1043" t="s">
        <v>1196</v>
      </c>
      <c r="AL5" s="1043" t="s">
        <v>1197</v>
      </c>
      <c r="AM5" s="62" t="s">
        <v>1198</v>
      </c>
      <c r="AN5" s="1706" t="s">
        <v>1199</v>
      </c>
      <c r="AO5" s="1558" t="s">
        <v>1200</v>
      </c>
      <c r="AP5" s="1024" t="s">
        <v>1201</v>
      </c>
      <c r="AQ5" s="1707" t="s">
        <v>1202</v>
      </c>
      <c r="AR5" s="1707" t="s">
        <v>1203</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3530</v>
      </c>
      <c r="D6" s="854">
        <f>SUMIF(项目基本情况!C$12:I$12,C6,项目基本情况!C$14:I$14)</f>
        <v>50</v>
      </c>
      <c r="E6" s="853">
        <f>IF(B6="","",SUMIF(项目基本情况!C$12:I$12,C6,项目基本情况!C$13:I$13))</f>
        <v>57648</v>
      </c>
      <c r="F6" s="64">
        <f>SUMIF(项目基本情况!C$12:I$12,C6,项目基本情况!C$15:I$15)</f>
        <v>34.24</v>
      </c>
      <c r="G6" s="65">
        <f>IF(ISERROR(ROUND(POWER(1+H6,D6-F6)*(POWER(1+H6,F6)-1)/(POWER(1+H6,D6)-1),3)),0,ROUND(POWER(1+H6,D6-F6)*(POWER(1+H6,F6)-1)/(POWER(1+H6,D6)-1),3))</f>
        <v>0.88900000000000001</v>
      </c>
      <c r="H6" s="732">
        <v>0.05</v>
      </c>
      <c r="I6" s="732">
        <v>5.5E-2</v>
      </c>
      <c r="J6" s="66">
        <v>7.0000000000000007E-2</v>
      </c>
      <c r="K6" s="1026">
        <f>SUMIF('数据-汇总表'!C$19:C$33,A6,'数据-汇总表'!E$19:E$33)</f>
        <v>72248.599999999991</v>
      </c>
      <c r="L6" s="733">
        <v>7000</v>
      </c>
      <c r="M6" s="67">
        <f t="shared" ref="M6:M14" si="0">ROUND(K6*L6/10000,0)</f>
        <v>50574</v>
      </c>
      <c r="N6" s="731">
        <v>0.95</v>
      </c>
      <c r="O6" s="67">
        <f>IF($N$5="成新度","——",ROUND(M6*N6,0))</f>
        <v>48045</v>
      </c>
      <c r="P6" s="68">
        <f>IF($N$5="成新度","——",M6-O6)</f>
        <v>2529</v>
      </c>
      <c r="Q6" s="734">
        <v>0.15</v>
      </c>
      <c r="R6" s="69">
        <f ca="1">SUMIF('数据-汇总表'!C$19:C$33,A6,'数据-汇总表'!R$19:R$27)</f>
        <v>22028.620000000003</v>
      </c>
      <c r="S6" s="51">
        <f>IF('数据-汇总表'!$I$17="按面积比例",SUMIF('数据-汇总表'!C$19:C$33,A6,'数据-汇总表'!K$19:K$33),SUMIF('数据-汇总表'!C$19:C$33,A6,'数据-汇总表'!N$19:N$33))</f>
        <v>8517.93</v>
      </c>
      <c r="T6" s="1168">
        <f>ROUND($L$14*S6/10000,0)</f>
        <v>5111</v>
      </c>
      <c r="U6" s="3424">
        <v>4.5</v>
      </c>
      <c r="V6" s="70">
        <v>2.5000000000000001E-2</v>
      </c>
      <c r="W6" s="70">
        <v>0.1</v>
      </c>
      <c r="X6" s="1036"/>
      <c r="Y6" s="71">
        <v>1</v>
      </c>
      <c r="Z6" s="72"/>
      <c r="AA6" s="66"/>
      <c r="AB6" s="66"/>
      <c r="AC6" s="1036"/>
      <c r="AD6" s="73"/>
      <c r="AE6" s="1037">
        <f ca="1">IF(AN6="",0,SUMIF(INDIRECT("'"&amp;AN6&amp;"'"&amp;"!E:E"),$AE$5,INDIRECT("'"&amp;AN6&amp;"'"&amp;"!F:F")))</f>
        <v>34.04</v>
      </c>
      <c r="AF6" s="1344"/>
      <c r="AG6" s="138">
        <f>IF(AF6="",0,AE6-AF6)</f>
        <v>0</v>
      </c>
      <c r="AH6" s="74"/>
      <c r="AI6" s="76">
        <v>365</v>
      </c>
      <c r="AJ6" s="77"/>
      <c r="AK6" s="78">
        <v>5.0000000000000001E-3</v>
      </c>
      <c r="AL6" s="79">
        <v>1E-3</v>
      </c>
      <c r="AM6" s="80">
        <v>0.01</v>
      </c>
      <c r="AN6" s="1711" t="s">
        <v>3521</v>
      </c>
      <c r="AO6" s="52">
        <f ca="1">SUMIF(INDIRECT("'"&amp;AN6&amp;"'"&amp;"!A:A"),"总价",INDIRECT("'"&amp;AN6&amp;"'"&amp;"!B:B"))</f>
        <v>173246</v>
      </c>
      <c r="AP6" s="1712">
        <f>IF(C6="住宅",K6*L6,0)</f>
        <v>0</v>
      </c>
      <c r="AQ6" s="52">
        <f>ROUND($L$14*$N$14*S6/10000,0)</f>
        <v>4855</v>
      </c>
      <c r="AR6" s="52">
        <f>ROUND($L$14*(1-$N$14)*S6/10000,0)</f>
        <v>256</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673</v>
      </c>
      <c r="D7" s="854">
        <f>SUMIF(项目基本情况!C$12:I$12,C7,项目基本情况!C$14:I$14)</f>
        <v>40</v>
      </c>
      <c r="E7" s="853">
        <f>IF(B7="","",SUMIF(项目基本情况!C$12:I$12,C7,项目基本情况!C$13:I$13))</f>
        <v>53995</v>
      </c>
      <c r="F7" s="64">
        <f>SUMIF(项目基本情况!C$12:I$12,C7,项目基本情况!C$15:I$15)</f>
        <v>24.24</v>
      </c>
      <c r="G7" s="65">
        <f t="shared" ref="G7:G11" si="2">IF(ISERROR(ROUND(POWER(1+H7,D7-F7)*(POWER(1+H7,F7)-1)/(POWER(1+H7,D7)-1),3)),0,ROUND(POWER(1+H7,D7-F7)*(POWER(1+H7,F7)-1)/(POWER(1+H7,D7)-1),3))</f>
        <v>0.80800000000000005</v>
      </c>
      <c r="H7" s="732">
        <v>0.05</v>
      </c>
      <c r="I7" s="732">
        <v>5.5E-2</v>
      </c>
      <c r="J7" s="66">
        <v>7.0000000000000007E-2</v>
      </c>
      <c r="K7" s="1026">
        <f>SUMIF('数据-汇总表'!C$19:C$33,A7,'数据-汇总表'!E$19:E$33)</f>
        <v>15041.17</v>
      </c>
      <c r="L7" s="733">
        <v>7000</v>
      </c>
      <c r="M7" s="67">
        <f t="shared" si="0"/>
        <v>10529</v>
      </c>
      <c r="N7" s="731">
        <v>0.95</v>
      </c>
      <c r="O7" s="67">
        <f t="shared" ref="O7:O14" si="3">IF($N$5="成新度","——",ROUND(M7*N7,0))</f>
        <v>10003</v>
      </c>
      <c r="P7" s="68">
        <f t="shared" ref="P7:P14" si="4">IF($N$5="成新度","——",M7-O7)</f>
        <v>526</v>
      </c>
      <c r="Q7" s="734">
        <v>0.15</v>
      </c>
      <c r="R7" s="69">
        <f ca="1">SUMIF('数据-汇总表'!C$19:C$33,A7,'数据-汇总表'!R$19:R$27)</f>
        <v>4586.05</v>
      </c>
      <c r="S7" s="51">
        <f>IF('数据-汇总表'!$I$17="按面积比例",SUMIF('数据-汇总表'!C$19:C$33,A7,'数据-汇总表'!K$19:K$33),SUMIF('数据-汇总表'!C$19:C$33,A7,'数据-汇总表'!N$19:N$33))</f>
        <v>1773.32</v>
      </c>
      <c r="T7" s="1168">
        <f t="shared" ref="T7:T13" si="5">ROUND($L$14*S7/10000,0)</f>
        <v>1064</v>
      </c>
      <c r="U7" s="3424">
        <v>3.5</v>
      </c>
      <c r="V7" s="70">
        <v>2.5000000000000001E-2</v>
      </c>
      <c r="W7" s="70">
        <v>0.1</v>
      </c>
      <c r="X7" s="1036"/>
      <c r="Y7" s="71">
        <v>1</v>
      </c>
      <c r="Z7" s="72"/>
      <c r="AA7" s="66"/>
      <c r="AB7" s="66"/>
      <c r="AC7" s="1036"/>
      <c r="AD7" s="73"/>
      <c r="AE7" s="1037">
        <f t="shared" ref="AE7:AE13" ca="1" si="6">IF(AN7="",0,SUMIF(INDIRECT("'"&amp;AN7&amp;"'"&amp;"!E:E"),$AE$5,INDIRECT("'"&amp;AN7&amp;"'"&amp;"!F:F")))</f>
        <v>24.04</v>
      </c>
      <c r="AF7" s="1344"/>
      <c r="AG7" s="138">
        <f t="shared" ref="AG7:AG13" si="7">IF(AF7="",0,AE7-AF7)</f>
        <v>0</v>
      </c>
      <c r="AH7" s="74"/>
      <c r="AI7" s="76">
        <v>365</v>
      </c>
      <c r="AJ7" s="77"/>
      <c r="AK7" s="78">
        <v>5.0000000000000001E-3</v>
      </c>
      <c r="AL7" s="79">
        <v>1E-3</v>
      </c>
      <c r="AM7" s="80">
        <v>0.01</v>
      </c>
      <c r="AN7" s="1711" t="s">
        <v>3523</v>
      </c>
      <c r="AO7" s="52">
        <f t="shared" ref="AO7:AO13" ca="1" si="8">SUMIF(INDIRECT("'"&amp;AN7&amp;"'"&amp;"!A:A"),"总价",INDIRECT("'"&amp;AN7&amp;"'"&amp;"!B:B"))</f>
        <v>22058</v>
      </c>
      <c r="AP7" s="1712">
        <f t="shared" ref="AP7:AP13" si="9">IF(C7="住宅",K7*L7,0)</f>
        <v>0</v>
      </c>
      <c r="AQ7" s="52">
        <f t="shared" ref="AQ7:AQ13" si="10">ROUND($L$14*$N$14*S7/10000,0)</f>
        <v>1011</v>
      </c>
      <c r="AR7" s="52">
        <f t="shared" ref="AR7:AR13" si="11">ROUND($L$14*(1-$N$14)*S7/10000,0)</f>
        <v>53</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3338</v>
      </c>
      <c r="D8" s="854">
        <f>SUMIF(项目基本情况!C$12:I$12,C8,项目基本情况!C$14:I$14)</f>
        <v>50</v>
      </c>
      <c r="E8" s="853">
        <f>IF(B8="","",SUMIF(项目基本情况!C$12:I$12,C8,项目基本情况!C$13:I$13))</f>
        <v>57648</v>
      </c>
      <c r="F8" s="64">
        <f>SUMIF(项目基本情况!C$12:I$12,C8,项目基本情况!C$15:I$15)</f>
        <v>34.24</v>
      </c>
      <c r="G8" s="65">
        <f t="shared" si="2"/>
        <v>0.875</v>
      </c>
      <c r="H8" s="732">
        <v>4.4999999999999998E-2</v>
      </c>
      <c r="I8" s="732">
        <v>0.05</v>
      </c>
      <c r="J8" s="66">
        <v>7.0000000000000007E-2</v>
      </c>
      <c r="K8" s="1026">
        <f>SUMIF('数据-汇总表'!C$19:C$33,A8,'数据-汇总表'!E$19:E$33)</f>
        <v>30561.740000000005</v>
      </c>
      <c r="L8" s="733">
        <v>6000</v>
      </c>
      <c r="M8" s="67">
        <f>ROUND(K8*L8/10000,0)</f>
        <v>18337</v>
      </c>
      <c r="N8" s="731">
        <v>0.95</v>
      </c>
      <c r="O8" s="67">
        <f t="shared" si="3"/>
        <v>17420</v>
      </c>
      <c r="P8" s="68">
        <f t="shared" si="4"/>
        <v>917</v>
      </c>
      <c r="Q8" s="734">
        <v>0.05</v>
      </c>
      <c r="R8" s="69">
        <f ca="1">SUMIF('数据-汇总表'!C$19:C$33,A8,'数据-汇总表'!R$19:R$27)</f>
        <v>9318.2800000000007</v>
      </c>
      <c r="S8" s="51">
        <f>IF('数据-汇总表'!$I$17="按面积比例",SUMIF('数据-汇总表'!C$19:C$33,A8,'数据-汇总表'!K$19:K$33),SUMIF('数据-汇总表'!C$19:C$33,A8,'数据-汇总表'!N$19:N$33))</f>
        <v>3603.15</v>
      </c>
      <c r="T8" s="1168">
        <f t="shared" si="5"/>
        <v>2162</v>
      </c>
      <c r="U8" s="3425">
        <v>600</v>
      </c>
      <c r="V8" s="735">
        <v>0.02</v>
      </c>
      <c r="W8" s="735">
        <v>0.1</v>
      </c>
      <c r="X8" s="1036"/>
      <c r="Y8" s="71">
        <v>1</v>
      </c>
      <c r="Z8" s="72"/>
      <c r="AA8" s="66"/>
      <c r="AB8" s="66"/>
      <c r="AC8" s="1036"/>
      <c r="AD8" s="73"/>
      <c r="AE8" s="1037">
        <f t="shared" ca="1" si="6"/>
        <v>34.04</v>
      </c>
      <c r="AF8" s="1344"/>
      <c r="AG8" s="138">
        <f t="shared" si="7"/>
        <v>0</v>
      </c>
      <c r="AH8" s="3488">
        <f>面积!D26</f>
        <v>654</v>
      </c>
      <c r="AI8" s="76">
        <v>12</v>
      </c>
      <c r="AJ8" s="77"/>
      <c r="AK8" s="3483">
        <v>5.0000000000000001E-4</v>
      </c>
      <c r="AL8" s="3484">
        <v>5.0000000000000001E-4</v>
      </c>
      <c r="AM8" s="3485">
        <v>5.0000000000000001E-3</v>
      </c>
      <c r="AN8" s="1711" t="s">
        <v>3524</v>
      </c>
      <c r="AO8" s="52">
        <f t="shared" ca="1" si="8"/>
        <v>6753</v>
      </c>
      <c r="AP8" s="1712">
        <f t="shared" si="9"/>
        <v>0</v>
      </c>
      <c r="AQ8" s="52">
        <f t="shared" si="10"/>
        <v>2054</v>
      </c>
      <c r="AR8" s="52">
        <f t="shared" si="11"/>
        <v>108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1204</v>
      </c>
      <c r="B14" s="1709" t="s">
        <v>1205</v>
      </c>
      <c r="C14" s="1714" t="s">
        <v>1204</v>
      </c>
      <c r="D14" s="854"/>
      <c r="E14" s="853"/>
      <c r="F14" s="64"/>
      <c r="G14" s="65"/>
      <c r="H14" s="1025"/>
      <c r="I14" s="1025"/>
      <c r="J14" s="1025"/>
      <c r="K14" s="1026">
        <f>SUMIF('数据-汇总表'!C$19:C$33,A14,'数据-汇总表'!E$19:E$33)</f>
        <v>13894.400000000001</v>
      </c>
      <c r="L14" s="82">
        <f>L8</f>
        <v>6000</v>
      </c>
      <c r="M14" s="67">
        <f t="shared" si="0"/>
        <v>8337</v>
      </c>
      <c r="N14" s="83">
        <v>0.95</v>
      </c>
      <c r="O14" s="67">
        <f t="shared" si="3"/>
        <v>7920</v>
      </c>
      <c r="P14" s="68">
        <f t="shared" si="4"/>
        <v>417</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1206</v>
      </c>
      <c r="B15" s="1709" t="s">
        <v>1205</v>
      </c>
      <c r="C15" s="1714" t="s">
        <v>1207</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1208</v>
      </c>
      <c r="B16" s="88"/>
      <c r="C16" s="829"/>
      <c r="D16" s="1716"/>
      <c r="E16" s="88"/>
      <c r="F16" s="88"/>
      <c r="G16" s="89">
        <f>ROUND(SUMPRODUCT(G6:G13,K6:K13)/SUMPRODUCT((G6:G13&gt;0)*(K6:K13)),3)</f>
        <v>0.875</v>
      </c>
      <c r="H16" s="90">
        <f>ROUND(SUMPRODUCT(H6:H13,K6:K13)/SUMPRODUCT((H6:H13&gt;0)*(K6:K13)),3)</f>
        <v>4.9000000000000002E-2</v>
      </c>
      <c r="I16" s="91"/>
      <c r="J16" s="91"/>
      <c r="K16" s="92">
        <f>SUM(K6:K15)</f>
        <v>131745.91</v>
      </c>
      <c r="L16" s="93">
        <f>ROUND(M16*10000/SUM(K6:K14),0)</f>
        <v>6663</v>
      </c>
      <c r="M16" s="93">
        <f>SUM(M6:M14)</f>
        <v>87777</v>
      </c>
      <c r="N16" s="94">
        <f>ROUND(SUMPRODUCT(M6:M14,N6:N14)/M16,3)</f>
        <v>0.95</v>
      </c>
      <c r="O16" s="93">
        <f>SUM(O6:O14)</f>
        <v>83388</v>
      </c>
      <c r="P16" s="93">
        <f>SUM(P6:P14)</f>
        <v>4389</v>
      </c>
      <c r="Q16" s="95">
        <f>ROUND(SUMPRODUCT(Q6:Q13,K6:K13)/SUMPRODUCT((Q6:Q13&gt;0)*(K6:K13)),2)</f>
        <v>0.12</v>
      </c>
      <c r="R16" s="1030">
        <f ca="1">SUM(R6:R13)</f>
        <v>35932.950000000004</v>
      </c>
      <c r="S16" s="96">
        <f>SUM(S6:S13)</f>
        <v>13894.4</v>
      </c>
      <c r="T16" s="97">
        <f>IF(SUMIF(T6:T13,"&lt;9E307")=M14,SUMIF(T6:T13,"&lt;9E307"),"有误，请检查")</f>
        <v>8337</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1210</v>
      </c>
      <c r="B19" s="103"/>
      <c r="C19" s="2795" t="s">
        <v>2304</v>
      </c>
      <c r="D19" s="2672"/>
      <c r="E19" s="2669"/>
      <c r="F19" s="2669"/>
      <c r="G19" s="2669"/>
      <c r="H19" s="2669"/>
      <c r="I19" s="2669"/>
      <c r="J19" s="2669"/>
      <c r="K19" s="2668"/>
      <c r="L19" s="2668"/>
      <c r="M19" s="2667"/>
      <c r="N19" s="2667"/>
      <c r="O19" s="2667"/>
      <c r="P19" s="2667"/>
      <c r="Q19" s="2667"/>
      <c r="R19" s="2667"/>
      <c r="S19" s="2667"/>
      <c r="T19" s="3486" t="s">
        <v>3566</v>
      </c>
      <c r="U19" s="2667">
        <f ca="1">'收益法-地下车库'!C5+'收益法-商业'!C5+'收益法-办公'!C5</f>
        <v>12849</v>
      </c>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1211</v>
      </c>
      <c r="B20" s="104">
        <v>2.5</v>
      </c>
      <c r="C20" s="2796" t="s">
        <v>2302</v>
      </c>
      <c r="D20" s="2672"/>
      <c r="E20" s="2669"/>
      <c r="F20" s="2669"/>
      <c r="G20" s="2669"/>
      <c r="H20" s="2669"/>
      <c r="I20" s="2669"/>
      <c r="J20" s="2669"/>
      <c r="K20" s="2668"/>
      <c r="L20" s="2668"/>
      <c r="M20" s="2667"/>
      <c r="N20" s="2667"/>
      <c r="O20" s="2667"/>
      <c r="P20" s="2667"/>
      <c r="Q20" s="2667"/>
      <c r="R20" s="2667"/>
      <c r="S20" s="2667"/>
      <c r="T20" s="3486" t="s">
        <v>3567</v>
      </c>
      <c r="U20" s="2667">
        <f ca="1">ROUND(U19/'数据-汇总表'!E27/365*10000,2)</f>
        <v>2.99</v>
      </c>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1212</v>
      </c>
      <c r="B21" s="104">
        <f>ROUNDDOWN(B20*N16,1)</f>
        <v>2.2999999999999998</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1213</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1214</v>
      </c>
      <c r="B23" s="105">
        <f>B19+B21</f>
        <v>2.2999999999999998</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1215</v>
      </c>
      <c r="B24" s="106">
        <f>B20-B21</f>
        <v>0.20000000000000018</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1216</v>
      </c>
      <c r="B26" s="1722"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1219</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1221</v>
      </c>
      <c r="B29" s="112">
        <f ca="1">成本法!C10</f>
        <v>2635</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1222</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1224</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1225</v>
      </c>
      <c r="B33" s="673">
        <v>0.05</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1226</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1227</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1228</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1229</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1230</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4">
        <f ca="1">IF(A40="利息：取LPR",存贷款利率!G1,存贷款利率!G1+C40)</f>
        <v>3.5499999999999997E-2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1232</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1234</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1235</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1236</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1237</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1238</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1239</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1240</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1243</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1244</v>
      </c>
      <c r="B53" s="1734" t="s">
        <v>29</v>
      </c>
      <c r="C53" s="2657" t="s">
        <v>1245</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1251</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79" t="s">
        <v>2285</v>
      </c>
      <c r="B1" s="3580"/>
      <c r="C1" s="3580"/>
      <c r="D1" s="3580"/>
      <c r="E1" s="3580"/>
      <c r="F1" s="3580"/>
      <c r="G1" s="358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5"/>
      <c r="I2" s="795"/>
      <c r="J2" s="795"/>
      <c r="K2" s="795"/>
      <c r="L2" s="795"/>
      <c r="M2" s="795"/>
      <c r="N2" s="795"/>
      <c r="O2" s="795"/>
      <c r="P2" s="795"/>
      <c r="Q2" s="795"/>
      <c r="R2" s="795"/>
    </row>
    <row r="3" spans="1:29" ht="48">
      <c r="A3" s="2437" t="s">
        <v>2282</v>
      </c>
      <c r="B3" s="2459" t="s">
        <v>2251</v>
      </c>
      <c r="C3" s="2460" t="s">
        <v>2283</v>
      </c>
      <c r="D3" s="2461"/>
      <c r="E3" s="2438" t="s">
        <v>2282</v>
      </c>
      <c r="F3" s="2462" t="s">
        <v>2252</v>
      </c>
      <c r="G3" s="2463" t="s">
        <v>2284</v>
      </c>
      <c r="H3" s="795"/>
      <c r="I3" s="795"/>
      <c r="J3" s="795"/>
      <c r="K3" s="795"/>
      <c r="L3" s="795"/>
      <c r="M3" s="795"/>
      <c r="N3" s="795"/>
      <c r="O3" s="795"/>
      <c r="P3" s="795"/>
      <c r="Q3" s="795"/>
      <c r="R3" s="795"/>
    </row>
    <row r="4" spans="1:29" ht="36.75">
      <c r="A4" s="2438"/>
      <c r="B4" s="323" t="s">
        <v>2253</v>
      </c>
      <c r="C4" s="2464" t="s">
        <v>2254</v>
      </c>
      <c r="D4" s="2461"/>
      <c r="E4" s="2465"/>
      <c r="F4" s="1369" t="s">
        <v>2255</v>
      </c>
      <c r="G4" s="2466" t="s">
        <v>2256</v>
      </c>
      <c r="H4" s="795"/>
      <c r="I4" s="795"/>
      <c r="J4" s="795"/>
      <c r="K4" s="795"/>
      <c r="L4" s="795"/>
      <c r="M4" s="795"/>
      <c r="N4" s="795"/>
      <c r="O4" s="795"/>
      <c r="P4" s="795"/>
      <c r="Q4" s="795"/>
      <c r="R4" s="795"/>
    </row>
    <row r="5" spans="1:29" ht="36.75">
      <c r="A5" s="2438"/>
      <c r="B5" s="323" t="s">
        <v>2257</v>
      </c>
      <c r="C5" s="2464" t="s">
        <v>2258</v>
      </c>
      <c r="D5" s="2461"/>
      <c r="E5" s="2465"/>
      <c r="F5" s="323" t="s">
        <v>2259</v>
      </c>
      <c r="G5" s="2466" t="s">
        <v>2260</v>
      </c>
      <c r="H5" s="795"/>
      <c r="I5" s="795"/>
      <c r="J5" s="795"/>
      <c r="K5" s="795"/>
      <c r="L5" s="795"/>
      <c r="M5" s="795"/>
      <c r="N5" s="795"/>
      <c r="O5" s="795"/>
      <c r="P5" s="795"/>
      <c r="Q5" s="795"/>
      <c r="R5" s="795"/>
    </row>
    <row r="6" spans="1:29" ht="36">
      <c r="A6" s="2438"/>
      <c r="B6" s="323" t="s">
        <v>2261</v>
      </c>
      <c r="C6" s="2466" t="s">
        <v>2256</v>
      </c>
      <c r="D6" s="2461"/>
      <c r="E6" s="2465"/>
      <c r="F6" s="323" t="s">
        <v>2262</v>
      </c>
      <c r="G6" s="2466" t="s">
        <v>2263</v>
      </c>
      <c r="H6" s="795"/>
      <c r="I6" s="795"/>
      <c r="J6" s="795"/>
      <c r="K6" s="795"/>
      <c r="L6" s="795"/>
      <c r="M6" s="795"/>
      <c r="N6" s="795"/>
      <c r="O6" s="795"/>
      <c r="P6" s="795"/>
      <c r="Q6" s="795"/>
      <c r="R6" s="795"/>
    </row>
    <row r="7" spans="1:29" ht="24.75" thickBot="1">
      <c r="A7" s="2438"/>
      <c r="B7" s="323" t="s">
        <v>2259</v>
      </c>
      <c r="C7" s="2466" t="s">
        <v>2260</v>
      </c>
      <c r="D7" s="2467"/>
      <c r="E7" s="2468"/>
      <c r="F7" s="2469" t="s">
        <v>2264</v>
      </c>
      <c r="G7" s="2470" t="s">
        <v>2265</v>
      </c>
      <c r="H7" s="795"/>
      <c r="I7" s="795"/>
      <c r="J7" s="795"/>
      <c r="K7" s="795"/>
      <c r="L7" s="795"/>
      <c r="M7" s="795"/>
      <c r="N7" s="795"/>
      <c r="O7" s="795"/>
      <c r="P7" s="795"/>
      <c r="Q7" s="795"/>
      <c r="R7" s="795"/>
    </row>
    <row r="8" spans="1:29">
      <c r="A8" s="2438"/>
      <c r="B8" s="323" t="s">
        <v>2262</v>
      </c>
      <c r="C8" s="2466" t="s">
        <v>2263</v>
      </c>
      <c r="D8" s="2467"/>
      <c r="E8" s="2467"/>
      <c r="F8" s="2471"/>
      <c r="G8" s="2471"/>
      <c r="H8" s="795"/>
      <c r="I8" s="795"/>
      <c r="J8" s="795"/>
      <c r="K8" s="795"/>
      <c r="L8" s="795"/>
      <c r="M8" s="795"/>
      <c r="N8" s="795"/>
      <c r="O8" s="795"/>
      <c r="P8" s="795"/>
      <c r="Q8" s="795"/>
      <c r="R8" s="795"/>
    </row>
    <row r="9" spans="1:29" ht="24">
      <c r="A9" s="2438"/>
      <c r="B9" s="323" t="s">
        <v>2266</v>
      </c>
      <c r="C9" s="2464" t="s">
        <v>2267</v>
      </c>
      <c r="D9" s="2461"/>
      <c r="E9" s="2467"/>
      <c r="F9" s="2471"/>
      <c r="G9" s="2471"/>
      <c r="H9" s="795"/>
      <c r="I9" s="795"/>
      <c r="J9" s="795"/>
      <c r="K9" s="795"/>
      <c r="L9" s="795"/>
      <c r="M9" s="795"/>
      <c r="N9" s="795"/>
      <c r="O9" s="795"/>
      <c r="P9" s="795"/>
      <c r="Q9" s="795"/>
      <c r="R9" s="795"/>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5"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5"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40" sqref="J40"/>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131745.91</v>
      </c>
      <c r="C1" s="2682"/>
      <c r="D1" s="2682"/>
      <c r="E1" s="2682"/>
      <c r="F1" s="2682"/>
      <c r="G1" s="2683"/>
      <c r="H1" s="2684"/>
      <c r="I1" s="2684"/>
      <c r="J1" s="2684"/>
      <c r="K1" s="2684"/>
    </row>
    <row r="2" spans="1:11" ht="16.5">
      <c r="A2" s="2508" t="s">
        <v>653</v>
      </c>
      <c r="B2" s="2508">
        <f>SUM(C14:C23)</f>
        <v>37811.919999999998</v>
      </c>
      <c r="C2" s="2682"/>
      <c r="D2" s="2682"/>
      <c r="E2" s="2682"/>
      <c r="F2" s="2682"/>
      <c r="G2" s="2683"/>
      <c r="H2" s="2684"/>
      <c r="I2" s="2684"/>
      <c r="J2" s="2684"/>
      <c r="K2" s="2684"/>
    </row>
    <row r="3" spans="1:11" ht="16.5">
      <c r="A3" s="2508" t="s">
        <v>662</v>
      </c>
      <c r="B3" s="2510">
        <f>项目基本情况!D3</f>
        <v>45147</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202949</v>
      </c>
      <c r="C5" s="2508">
        <f ca="1">IF(B5=D14,结果表!H102,ROUND(B5*10000/$B$1,0))</f>
        <v>15405</v>
      </c>
      <c r="D5" s="2508">
        <f ca="1">ROUND(B5*10000/$B$2,0)</f>
        <v>53673</v>
      </c>
      <c r="E5" s="2682"/>
      <c r="F5" s="2683"/>
      <c r="G5" s="2683"/>
      <c r="H5" s="2684"/>
      <c r="I5" s="2684"/>
      <c r="J5" s="2684"/>
      <c r="K5" s="2684"/>
    </row>
    <row r="6" spans="1:11" ht="16.5">
      <c r="A6" s="2508" t="s">
        <v>656</v>
      </c>
      <c r="B6" s="2508">
        <f ca="1">SUM(G14:G23)</f>
        <v>202949</v>
      </c>
      <c r="C6" s="2508">
        <f ca="1">IF(B6=G14,结果表!H108,ROUND(B6*10000/$B$1,0))</f>
        <v>15405</v>
      </c>
      <c r="D6" s="2508">
        <f ca="1">ROUND(B6*10000/$B$2,0)</f>
        <v>53673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131745.91</v>
      </c>
      <c r="C14" s="2514">
        <f>'数据-基础表'!A3</f>
        <v>37811.919999999998</v>
      </c>
      <c r="D14" s="2514">
        <f ca="1">结果表!G19</f>
        <v>202949</v>
      </c>
      <c r="E14" s="2514">
        <f ca="1">ROUND(D14*10000/B14,0)</f>
        <v>15405</v>
      </c>
      <c r="F14" s="2514">
        <f ca="1">ROUND(D14*10000/C14,0)</f>
        <v>53673</v>
      </c>
      <c r="G14" s="2514">
        <f ca="1">D14</f>
        <v>202949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5" zoomScaleNormal="100" zoomScaleSheetLayoutView="100" zoomScalePageLayoutView="80" workbookViewId="0">
      <selection activeCell="H132" sqref="H132"/>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1261</v>
      </c>
      <c r="B1" s="1743"/>
      <c r="C1" s="1744"/>
      <c r="D1" s="1743"/>
      <c r="E1" s="1743"/>
      <c r="F1" s="1745" t="s">
        <v>1262</v>
      </c>
      <c r="G1" s="1557" t="s">
        <v>3564</v>
      </c>
      <c r="H1" s="1746" t="str">
        <f>IF(G1="现房","——","估价对象范围")</f>
        <v>估价对象范围</v>
      </c>
      <c r="I1" s="1747" t="s">
        <v>3565</v>
      </c>
    </row>
    <row r="2" spans="1:12" ht="21.75" customHeight="1" thickBot="1">
      <c r="A2" s="3648" t="str">
        <f>项目基本情况!S2</f>
        <v>北京市出让国有建设用地使用权及在建建筑物房地产</v>
      </c>
      <c r="B2" s="3649"/>
      <c r="C2" s="3649"/>
      <c r="D2" s="3649"/>
      <c r="E2" s="3649"/>
      <c r="F2" s="3649"/>
      <c r="G2" s="3649"/>
      <c r="H2" s="3649"/>
      <c r="I2" s="3650"/>
    </row>
    <row r="3" spans="1:12" ht="12.75">
      <c r="A3" s="3652" t="s">
        <v>1263</v>
      </c>
      <c r="B3" s="3653"/>
      <c r="C3" s="3653"/>
      <c r="D3" s="3653"/>
      <c r="E3" s="3653"/>
      <c r="F3" s="3653"/>
      <c r="G3" s="3653"/>
      <c r="H3" s="3653"/>
      <c r="I3" s="3653"/>
    </row>
    <row r="4" spans="1:12" ht="14.25">
      <c r="A4" s="1750" t="s">
        <v>1264</v>
      </c>
      <c r="B4" s="1751" t="s">
        <v>1265</v>
      </c>
      <c r="C4" s="1752" t="s">
        <v>3543</v>
      </c>
      <c r="D4" s="1752" t="s">
        <v>3544</v>
      </c>
      <c r="E4" s="3657" t="s">
        <v>1266</v>
      </c>
      <c r="F4" s="3658"/>
      <c r="G4" s="3658"/>
      <c r="H4" s="3658"/>
      <c r="I4" s="365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96" t="s">
        <v>1267</v>
      </c>
      <c r="B5" s="3651">
        <v>25</v>
      </c>
      <c r="C5" s="3654"/>
      <c r="D5" s="3642"/>
      <c r="E5" s="131" t="s">
        <v>1268</v>
      </c>
      <c r="F5" s="1753"/>
      <c r="G5" s="1753"/>
      <c r="H5" s="1753"/>
      <c r="I5" s="1369"/>
    </row>
    <row r="6" spans="1:12" ht="12.75">
      <c r="A6" s="3596"/>
      <c r="B6" s="3651"/>
      <c r="C6" s="3656"/>
      <c r="D6" s="3642"/>
      <c r="E6" s="131" t="s">
        <v>1269</v>
      </c>
      <c r="F6" s="1753"/>
      <c r="G6" s="1753"/>
      <c r="H6" s="1753"/>
      <c r="I6" s="1369"/>
    </row>
    <row r="7" spans="1:12" ht="12.75">
      <c r="A7" s="3596"/>
      <c r="B7" s="3651"/>
      <c r="C7" s="3655"/>
      <c r="D7" s="3642"/>
      <c r="E7" s="131" t="s">
        <v>1270</v>
      </c>
      <c r="F7" s="1753"/>
      <c r="G7" s="1753"/>
      <c r="H7" s="1753"/>
      <c r="I7" s="1369"/>
    </row>
    <row r="8" spans="1:12" ht="12.75">
      <c r="A8" s="3596" t="s">
        <v>1271</v>
      </c>
      <c r="B8" s="3651">
        <v>15</v>
      </c>
      <c r="C8" s="3654"/>
      <c r="D8" s="3642"/>
      <c r="E8" s="131" t="s">
        <v>1272</v>
      </c>
      <c r="F8" s="1753"/>
      <c r="G8" s="1753"/>
      <c r="H8" s="1753"/>
      <c r="I8" s="1369"/>
    </row>
    <row r="9" spans="1:12" ht="12.75">
      <c r="A9" s="3596"/>
      <c r="B9" s="3651"/>
      <c r="C9" s="3655"/>
      <c r="D9" s="3642"/>
      <c r="E9" s="131" t="s">
        <v>1273</v>
      </c>
      <c r="F9" s="1753"/>
      <c r="G9" s="1753"/>
      <c r="H9" s="1753"/>
      <c r="I9" s="1369"/>
    </row>
    <row r="10" spans="1:12" ht="12.75">
      <c r="A10" s="3596" t="s">
        <v>1274</v>
      </c>
      <c r="B10" s="3651">
        <v>15</v>
      </c>
      <c r="C10" s="3654"/>
      <c r="D10" s="3642"/>
      <c r="E10" s="131" t="s">
        <v>1275</v>
      </c>
      <c r="F10" s="1753"/>
      <c r="G10" s="1753"/>
      <c r="H10" s="1753"/>
      <c r="I10" s="1369"/>
    </row>
    <row r="11" spans="1:12" ht="12.75">
      <c r="A11" s="3596"/>
      <c r="B11" s="3651"/>
      <c r="C11" s="3655"/>
      <c r="D11" s="3642"/>
      <c r="E11" s="131" t="s">
        <v>1276</v>
      </c>
      <c r="F11" s="1753"/>
      <c r="G11" s="1753"/>
      <c r="H11" s="1753"/>
      <c r="I11" s="1369"/>
    </row>
    <row r="12" spans="1:12" ht="12.75">
      <c r="A12" s="3596" t="s">
        <v>1277</v>
      </c>
      <c r="B12" s="3651">
        <v>15</v>
      </c>
      <c r="C12" s="3654"/>
      <c r="D12" s="3642"/>
      <c r="E12" s="131" t="s">
        <v>1278</v>
      </c>
      <c r="F12" s="1753"/>
      <c r="G12" s="1753"/>
      <c r="H12" s="1753"/>
      <c r="I12" s="1369"/>
    </row>
    <row r="13" spans="1:12" ht="12.75">
      <c r="A13" s="3596"/>
      <c r="B13" s="3651"/>
      <c r="C13" s="3655"/>
      <c r="D13" s="3642"/>
      <c r="E13" s="131" t="s">
        <v>1279</v>
      </c>
      <c r="F13" s="1753"/>
      <c r="G13" s="1753"/>
      <c r="H13" s="1753"/>
      <c r="I13" s="1369"/>
    </row>
    <row r="14" spans="1:12" ht="12.75">
      <c r="A14" s="3596" t="s">
        <v>1280</v>
      </c>
      <c r="B14" s="3651">
        <v>30</v>
      </c>
      <c r="C14" s="3654">
        <v>5</v>
      </c>
      <c r="D14" s="3642">
        <v>5</v>
      </c>
      <c r="E14" s="131" t="s">
        <v>1281</v>
      </c>
      <c r="F14" s="1753"/>
      <c r="G14" s="1753"/>
      <c r="H14" s="1753"/>
      <c r="I14" s="1369"/>
    </row>
    <row r="15" spans="1:12" ht="12.75">
      <c r="A15" s="3596"/>
      <c r="B15" s="3651"/>
      <c r="C15" s="3656"/>
      <c r="D15" s="3642"/>
      <c r="E15" s="131" t="s">
        <v>1282</v>
      </c>
      <c r="F15" s="1753"/>
      <c r="G15" s="1753"/>
      <c r="H15" s="1753"/>
      <c r="I15" s="1369"/>
    </row>
    <row r="16" spans="1:12" ht="12.75">
      <c r="A16" s="3596"/>
      <c r="B16" s="3651"/>
      <c r="C16" s="3655"/>
      <c r="D16" s="3642"/>
      <c r="E16" s="131" t="s">
        <v>1283</v>
      </c>
      <c r="F16" s="1753"/>
      <c r="G16" s="1753"/>
      <c r="H16" s="1753"/>
      <c r="I16" s="1369"/>
    </row>
    <row r="17" spans="1:36" ht="15">
      <c r="A17" s="1754" t="s">
        <v>1284</v>
      </c>
      <c r="B17" s="56"/>
      <c r="C17" s="132">
        <f>SUM(C5:C16)</f>
        <v>5</v>
      </c>
      <c r="D17" s="132">
        <f>SUM(D5:D16)</f>
        <v>5</v>
      </c>
      <c r="E17" s="129"/>
      <c r="F17" s="129"/>
      <c r="G17" s="129"/>
      <c r="H17" s="129"/>
      <c r="I17" s="129"/>
      <c r="K17" s="302"/>
      <c r="L17" s="302" t="s">
        <v>1285</v>
      </c>
      <c r="M17" s="302" t="s">
        <v>1286</v>
      </c>
    </row>
    <row r="18" spans="1:36" ht="31.9" customHeight="1" thickBot="1">
      <c r="A18" s="1755" t="s">
        <v>1287</v>
      </c>
      <c r="B18" s="1756"/>
      <c r="C18" s="133">
        <f>ROUND(C17/SUM(C17:D17),2)</f>
        <v>0.5</v>
      </c>
      <c r="D18" s="133">
        <f>1-C18</f>
        <v>0.5</v>
      </c>
      <c r="E18" s="3673" t="s">
        <v>2130</v>
      </c>
      <c r="F18" s="3674"/>
      <c r="G18" s="3674"/>
      <c r="H18" s="3674"/>
      <c r="I18" s="3674"/>
      <c r="K18" s="302" t="s">
        <v>1288</v>
      </c>
      <c r="L18" s="302">
        <f>IF(C1="",'数据-汇总表'!E3,SUMIF(项目类型,C1,'数据-汇总表'!E17:E26)+SUMIF(项目类型,C1,'数据-汇总表'!I17:I26))</f>
        <v>131745.91</v>
      </c>
      <c r="M18" s="302">
        <f>IF(C1="",'数据-汇总表'!E3,SUMIF(项目类型,C1,'数据-汇总表'!E17:E26))</f>
        <v>131745.91</v>
      </c>
    </row>
    <row r="19" spans="1:36" ht="15">
      <c r="A19" s="1757" t="s">
        <v>1289</v>
      </c>
      <c r="B19" s="1758" t="s">
        <v>1290</v>
      </c>
      <c r="C19" s="134">
        <f ca="1">SUMIF(INDIRECT("'"&amp;C4&amp;"'"&amp;"!A:A"),结果表!B19,INDIRECT("'"&amp;C4&amp;"'"&amp;"!B:B"))</f>
        <v>228528</v>
      </c>
      <c r="D19" s="135">
        <f ca="1">SUMIF(INDIRECT("'"&amp;D4&amp;"'"&amp;"!A:A"),结果表!B19,INDIRECT("'"&amp;D4&amp;"'"&amp;"!B:B"))</f>
        <v>177370</v>
      </c>
      <c r="E19" s="1757" t="s">
        <v>1291</v>
      </c>
      <c r="F19" s="1758" t="s">
        <v>1290</v>
      </c>
      <c r="G19" s="136">
        <f ca="1">ROUND(C19*$C$18+D19*$D$18,0)</f>
        <v>202949</v>
      </c>
      <c r="H19" s="1759" t="s">
        <v>1292</v>
      </c>
      <c r="I19" s="129"/>
      <c r="K19" s="302" t="s">
        <v>1293</v>
      </c>
      <c r="L19" s="302">
        <f>IF(C1="",'数据-汇总表'!D3,SUMIF(项目类型,C1,'数据-汇总表'!D17:D26)+SUMIF(项目类型,C1,'数据-汇总表'!H17:H27))</f>
        <v>35932.949999999997</v>
      </c>
      <c r="M19" s="302">
        <f>IF(C1="",'数据-汇总表'!D3,SUMIF(项目类型,C1,'数据-汇总表'!D17:D26))</f>
        <v>35932.949999999997</v>
      </c>
    </row>
    <row r="20" spans="1:36" ht="15">
      <c r="A20" s="1760"/>
      <c r="B20" s="1022" t="s">
        <v>1294</v>
      </c>
      <c r="C20" s="137">
        <f ca="1">SUMIF(INDIRECT("'"&amp;C4&amp;"'"&amp;"!A:A"),结果表!B20,INDIRECT("'"&amp;C4&amp;"'"&amp;"!B:B"))</f>
        <v>17346</v>
      </c>
      <c r="D20" s="138">
        <f ca="1">SUMIF(INDIRECT("'"&amp;D4&amp;"'"&amp;"!A:A"),结果表!B20,INDIRECT("'"&amp;D4&amp;"'"&amp;"!B:B"))</f>
        <v>13463</v>
      </c>
      <c r="E20" s="1760"/>
      <c r="F20" s="1022" t="s">
        <v>1294</v>
      </c>
      <c r="G20" s="139">
        <f ca="1">ROUND(C20*$C$18+D20*$D$18,0)</f>
        <v>15405</v>
      </c>
      <c r="H20" s="804" t="s">
        <v>1295</v>
      </c>
      <c r="I20" s="129"/>
    </row>
    <row r="21" spans="1:36" ht="15" customHeight="1" thickBot="1">
      <c r="A21" s="824"/>
      <c r="B21" s="1761" t="s">
        <v>1296</v>
      </c>
      <c r="C21" s="719">
        <f ca="1">ROUND(C19*10000/L19,0)</f>
        <v>63598</v>
      </c>
      <c r="D21" s="720">
        <f ca="1">ROUND(D19*10000/L19,0)</f>
        <v>49361</v>
      </c>
      <c r="E21" s="824"/>
      <c r="F21" s="1761" t="s">
        <v>1296</v>
      </c>
      <c r="G21" s="140">
        <f ca="1">ROUND(G19*10000/L19,0)</f>
        <v>56480</v>
      </c>
      <c r="H21" s="1762" t="s">
        <v>1295</v>
      </c>
      <c r="I21" s="129"/>
    </row>
    <row r="22" spans="1:36" ht="15" thickBot="1">
      <c r="A22" s="1684" t="s">
        <v>1297</v>
      </c>
      <c r="B22" s="1763"/>
      <c r="C22" s="1764"/>
      <c r="D22" s="721">
        <f ca="1">IF(C19&lt;D19,D19/C19-1,C19/D19-1)</f>
        <v>0.28842532559057332</v>
      </c>
      <c r="E22" s="129"/>
      <c r="F22" s="129"/>
      <c r="G22" s="129"/>
      <c r="H22" s="129"/>
      <c r="I22" s="129"/>
    </row>
    <row r="23" spans="1:36" ht="13.5" thickBot="1">
      <c r="A23" s="1743"/>
      <c r="B23" s="1743"/>
      <c r="C23" s="1743"/>
      <c r="D23" s="1743"/>
      <c r="E23" s="129"/>
      <c r="F23" s="129"/>
      <c r="G23" s="129"/>
      <c r="H23" s="129"/>
      <c r="I23" s="129"/>
    </row>
    <row r="24" spans="1:36" ht="14.25">
      <c r="A24" s="3666" t="s">
        <v>1298</v>
      </c>
      <c r="B24" s="1758" t="s">
        <v>1290</v>
      </c>
      <c r="C24" s="136">
        <f>IF(B30=0,0,D30)</f>
        <v>0</v>
      </c>
      <c r="D24" s="1765"/>
      <c r="E24" s="129"/>
      <c r="F24" s="129"/>
      <c r="G24" s="129"/>
      <c r="H24" s="129"/>
      <c r="I24" s="129"/>
    </row>
    <row r="25" spans="1:36" ht="14.25">
      <c r="A25" s="3667"/>
      <c r="B25" s="1022" t="s">
        <v>1294</v>
      </c>
      <c r="C25" s="141">
        <f>IF(B30=0,0,C30)</f>
        <v>0</v>
      </c>
      <c r="D25" s="1766"/>
      <c r="E25" s="129"/>
      <c r="F25" s="129"/>
      <c r="G25" s="129"/>
      <c r="H25" s="129"/>
      <c r="I25" s="129"/>
    </row>
    <row r="26" spans="1:36" ht="13.5" customHeight="1">
      <c r="A26" s="1767" t="s">
        <v>1299</v>
      </c>
      <c r="B26" s="142" t="s">
        <v>1300</v>
      </c>
      <c r="C26" s="142" t="s">
        <v>1301</v>
      </c>
      <c r="D26" s="143" t="s">
        <v>1302</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1303</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1304</v>
      </c>
      <c r="B32" s="1770"/>
      <c r="C32" s="144">
        <f ca="1">IF(D32="总价",G19-C24,G20-C25)</f>
        <v>202949</v>
      </c>
      <c r="D32" s="1771" t="s">
        <v>3576</v>
      </c>
      <c r="E32" s="129"/>
      <c r="F32" s="129"/>
      <c r="G32" s="129"/>
      <c r="H32" s="129"/>
      <c r="I32" s="129"/>
    </row>
    <row r="33" spans="1:15" ht="15">
      <c r="A33" s="782" t="s">
        <v>1305</v>
      </c>
      <c r="B33" s="1772"/>
      <c r="C33" s="1773"/>
      <c r="D33" s="1774"/>
      <c r="E33" s="1775" t="s">
        <v>1306</v>
      </c>
      <c r="F33" s="1776" t="str">
        <f>IF(D32="楼面单价","取值（单价）","取值（总价）")</f>
        <v>取值（总价）</v>
      </c>
      <c r="G33" s="129"/>
      <c r="H33" s="129"/>
      <c r="I33" s="129"/>
    </row>
    <row r="34" spans="1:15" ht="15">
      <c r="A34" s="1777"/>
      <c r="B34" s="1778" t="s">
        <v>1307</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1308</v>
      </c>
      <c r="F34" s="1326"/>
      <c r="G34" s="129"/>
      <c r="H34" s="129"/>
      <c r="I34" s="129"/>
    </row>
    <row r="35" spans="1:15" ht="15.75" thickBot="1">
      <c r="A35" s="1780"/>
      <c r="B35" s="1781" t="s">
        <v>1309</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1310</v>
      </c>
      <c r="F35" s="154"/>
      <c r="G35" s="129"/>
      <c r="H35" s="129"/>
      <c r="I35" s="129"/>
    </row>
    <row r="36" spans="1:15" ht="15.75" thickBot="1">
      <c r="A36" s="3643" t="s">
        <v>1311</v>
      </c>
      <c r="B36" s="1783" t="s">
        <v>1312</v>
      </c>
      <c r="C36" s="145"/>
      <c r="D36" s="1784"/>
      <c r="E36" s="1785"/>
      <c r="F36" s="1786"/>
      <c r="G36" s="129"/>
      <c r="H36" s="129"/>
      <c r="I36" s="129"/>
    </row>
    <row r="37" spans="1:15" ht="15.75" thickBot="1">
      <c r="A37" s="3644"/>
      <c r="B37" s="1670" t="s">
        <v>1313</v>
      </c>
      <c r="C37" s="147"/>
      <c r="D37" s="1135"/>
      <c r="E37" s="1135"/>
      <c r="F37" s="1786"/>
      <c r="G37" s="129"/>
      <c r="H37" s="129"/>
      <c r="I37" s="129"/>
    </row>
    <row r="38" spans="1:15" ht="15.75" thickBot="1">
      <c r="A38" s="3645"/>
      <c r="B38" s="1787" t="s">
        <v>1314</v>
      </c>
      <c r="C38" s="674"/>
      <c r="D38" s="1788" t="s">
        <v>1315</v>
      </c>
      <c r="E38" s="1135"/>
      <c r="F38" s="1786"/>
      <c r="G38" s="129"/>
      <c r="H38" s="129"/>
      <c r="I38" s="129"/>
    </row>
    <row r="39" spans="1:15" ht="15">
      <c r="A39" s="1760" t="s">
        <v>1316</v>
      </c>
      <c r="B39" s="1789" t="s">
        <v>1317</v>
      </c>
      <c r="C39" s="1790" t="s">
        <v>1318</v>
      </c>
      <c r="D39" s="1790" t="s">
        <v>1319</v>
      </c>
      <c r="E39" s="1791" t="s">
        <v>1320</v>
      </c>
      <c r="F39" s="1786"/>
      <c r="G39" s="129"/>
      <c r="H39" s="129"/>
      <c r="I39" s="129"/>
    </row>
    <row r="40" spans="1:15" ht="14.25">
      <c r="A40" s="1792" t="s">
        <v>1321</v>
      </c>
      <c r="B40" s="149"/>
      <c r="C40" s="150"/>
      <c r="D40" s="150"/>
      <c r="E40" s="151"/>
      <c r="F40" s="1786"/>
      <c r="G40" s="129"/>
      <c r="H40" s="129"/>
      <c r="I40" s="129"/>
    </row>
    <row r="41" spans="1:15" ht="14.25">
      <c r="A41" s="1792" t="s">
        <v>1322</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1323</v>
      </c>
      <c r="B44" s="1797"/>
      <c r="C44" s="1797"/>
      <c r="D44" s="1798"/>
      <c r="E44" s="1798"/>
      <c r="F44" s="1799"/>
      <c r="G44" s="1799"/>
      <c r="H44" s="1799"/>
      <c r="I44" s="1799"/>
      <c r="J44" s="1800" t="s">
        <v>1324</v>
      </c>
      <c r="K44" s="1801"/>
      <c r="L44" s="1801"/>
      <c r="M44" s="1801"/>
      <c r="N44" s="1801"/>
      <c r="O44" s="1801"/>
    </row>
    <row r="45" spans="1:15" ht="14.25" customHeight="1" thickBot="1">
      <c r="A45" s="3663" t="s">
        <v>1325</v>
      </c>
      <c r="B45" s="3664"/>
      <c r="C45" s="3665"/>
      <c r="D45" s="155">
        <f ca="1">ROUND(H101*F45,0)</f>
        <v>202949</v>
      </c>
      <c r="E45" s="156" t="s">
        <v>1326</v>
      </c>
      <c r="F45" s="157">
        <v>1</v>
      </c>
      <c r="G45" s="158" t="s">
        <v>1327</v>
      </c>
      <c r="H45" s="129"/>
      <c r="I45" s="129"/>
      <c r="J45" s="3583" t="s">
        <v>1328</v>
      </c>
      <c r="K45" s="3583"/>
      <c r="L45" s="3583"/>
      <c r="M45" s="3583"/>
      <c r="N45" s="3583"/>
      <c r="O45" s="3583"/>
    </row>
    <row r="46" spans="1:15" ht="14.25" customHeight="1">
      <c r="A46" s="3660" t="s">
        <v>1329</v>
      </c>
      <c r="B46" s="3661"/>
      <c r="C46" s="3661"/>
      <c r="D46" s="3661"/>
      <c r="E46" s="3661"/>
      <c r="F46" s="3661"/>
      <c r="G46" s="3662"/>
      <c r="H46" s="1802"/>
      <c r="I46" s="159"/>
      <c r="J46" s="2519">
        <v>1</v>
      </c>
      <c r="K46" s="3584" t="s">
        <v>1330</v>
      </c>
      <c r="L46" s="3584"/>
      <c r="M46" s="3585"/>
      <c r="N46" s="3585"/>
      <c r="O46" s="3585"/>
    </row>
    <row r="47" spans="1:15" ht="12" customHeight="1">
      <c r="A47" s="160" t="s">
        <v>1331</v>
      </c>
      <c r="B47" s="161"/>
      <c r="C47" s="162"/>
      <c r="D47" s="1083" t="s">
        <v>1332</v>
      </c>
      <c r="E47" s="302" t="s">
        <v>1333</v>
      </c>
      <c r="F47" s="163" t="s">
        <v>1334</v>
      </c>
      <c r="G47" s="2542" t="s">
        <v>1335</v>
      </c>
      <c r="H47" s="2543"/>
      <c r="I47" s="159"/>
      <c r="J47" s="2519">
        <v>2</v>
      </c>
      <c r="K47" s="3584" t="s">
        <v>1336</v>
      </c>
      <c r="L47" s="3584"/>
      <c r="M47" s="3586">
        <f>'数据-取费表'!B2</f>
        <v>45147</v>
      </c>
      <c r="N47" s="3586"/>
      <c r="O47" s="3586"/>
    </row>
    <row r="48" spans="1:15" ht="25.5">
      <c r="A48" s="3646" t="s">
        <v>1337</v>
      </c>
      <c r="B48" s="3647"/>
      <c r="C48" s="3647"/>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1338</v>
      </c>
      <c r="H48" s="2546"/>
      <c r="I48" s="1802"/>
      <c r="J48" s="2519">
        <v>3</v>
      </c>
      <c r="K48" s="3584" t="s">
        <v>1339</v>
      </c>
      <c r="L48" s="3584"/>
      <c r="M48" s="3587">
        <f ca="1">H101</f>
        <v>202949</v>
      </c>
      <c r="N48" s="3587"/>
      <c r="O48" s="3587"/>
    </row>
    <row r="49" spans="1:35" ht="25.5" customHeight="1">
      <c r="A49" s="2329" t="s">
        <v>1340</v>
      </c>
      <c r="B49" s="3632" t="s">
        <v>1341</v>
      </c>
      <c r="C49" s="3632"/>
      <c r="D49" s="1586">
        <v>0</v>
      </c>
      <c r="E49" s="324" t="s">
        <v>1342</v>
      </c>
      <c r="F49" s="2420" t="s">
        <v>28</v>
      </c>
      <c r="G49" s="3615"/>
      <c r="H49" s="2306" t="s">
        <v>2133</v>
      </c>
      <c r="I49" s="2307"/>
      <c r="J49" s="2519">
        <v>4</v>
      </c>
      <c r="K49" s="3584" t="str">
        <f>IF(项目基本情况!E8="房地产抵押价值","房地产抵押价值","抵押担保权已注销时的房地产抵押价值")</f>
        <v>房地产抵押价值</v>
      </c>
      <c r="L49" s="3584"/>
      <c r="M49" s="3587">
        <f ca="1">IF(项目基本情况!E8="房地产抵押价值",H107,H109)</f>
        <v>202949</v>
      </c>
      <c r="N49" s="3587"/>
      <c r="O49" s="3587"/>
    </row>
    <row r="50" spans="1:35" ht="25.5" customHeight="1">
      <c r="A50" s="2547"/>
      <c r="B50" s="3632" t="s">
        <v>1343</v>
      </c>
      <c r="C50" s="3632"/>
      <c r="D50" s="2548"/>
      <c r="E50" s="332"/>
      <c r="F50" s="2420"/>
      <c r="G50" s="3616"/>
      <c r="H50" s="2308" t="s">
        <v>2134</v>
      </c>
      <c r="I50" s="2307"/>
      <c r="J50" s="3583" t="s">
        <v>1344</v>
      </c>
      <c r="K50" s="3583"/>
      <c r="L50" s="3583"/>
      <c r="M50" s="3583"/>
      <c r="N50" s="3583"/>
      <c r="O50" s="3583"/>
    </row>
    <row r="51" spans="1:35" ht="20.45" customHeight="1">
      <c r="A51" s="2549"/>
      <c r="B51" s="3632" t="s">
        <v>1345</v>
      </c>
      <c r="C51" s="3632"/>
      <c r="D51" s="1083"/>
      <c r="E51" s="327"/>
      <c r="F51" s="2420"/>
      <c r="G51" s="3617"/>
      <c r="H51" s="2308" t="s">
        <v>2135</v>
      </c>
      <c r="I51" s="2307"/>
      <c r="J51" s="2520" t="s">
        <v>1346</v>
      </c>
      <c r="K51" s="3584" t="s">
        <v>1347</v>
      </c>
      <c r="L51" s="3584"/>
      <c r="M51" s="2520" t="s">
        <v>1348</v>
      </c>
      <c r="N51" s="2520" t="s">
        <v>1349</v>
      </c>
      <c r="O51" s="2520" t="s">
        <v>1350</v>
      </c>
    </row>
    <row r="52" spans="1:35" ht="24" customHeight="1">
      <c r="A52" s="2331" t="s">
        <v>1351</v>
      </c>
      <c r="B52" s="3632" t="s">
        <v>1352</v>
      </c>
      <c r="C52" s="3632"/>
      <c r="D52" s="1083">
        <f ca="1">ROUND(D45*'数据-取费表'!B41/(1+'数据-取费表'!C42),0)</f>
        <v>10824</v>
      </c>
      <c r="E52" s="2330" t="s">
        <v>1353</v>
      </c>
      <c r="F52" s="2550">
        <f>'数据-取费表'!B41</f>
        <v>5.6000000000000001E-2</v>
      </c>
      <c r="G52" s="2551"/>
      <c r="H52" s="2540"/>
      <c r="I52" s="1803"/>
      <c r="J52" s="2519">
        <v>1</v>
      </c>
      <c r="K52" s="3609" t="s">
        <v>1354</v>
      </c>
      <c r="L52" s="3609"/>
      <c r="M52" s="2521" t="b">
        <f>D48</f>
        <v>0</v>
      </c>
      <c r="N52" s="2519" t="str">
        <f>E48</f>
        <v>销售额×税（费）率</v>
      </c>
      <c r="O52" s="2522">
        <f>F48</f>
        <v>5.6000000000000001E-2</v>
      </c>
    </row>
    <row r="53" spans="1:35" ht="12" customHeight="1">
      <c r="A53" s="2331" t="s">
        <v>1355</v>
      </c>
      <c r="B53" s="3633" t="s">
        <v>2290</v>
      </c>
      <c r="C53" s="3634"/>
      <c r="D53" s="1083">
        <f ca="1">ROUND(D45*'数据-取费表'!B41/(1+'数据-取费表'!C42),0)</f>
        <v>10824</v>
      </c>
      <c r="E53" s="2330" t="s">
        <v>1353</v>
      </c>
      <c r="F53" s="2550">
        <f>'数据-取费表'!B41</f>
        <v>5.6000000000000001E-2</v>
      </c>
      <c r="G53" s="2551"/>
      <c r="H53" s="2540"/>
      <c r="I53" s="1803"/>
      <c r="J53" s="2519">
        <v>2</v>
      </c>
      <c r="K53" s="3609" t="s">
        <v>1356</v>
      </c>
      <c r="L53" s="3609"/>
      <c r="M53" s="2521">
        <f t="shared" ref="M53:O54" ca="1" si="0">D55</f>
        <v>101</v>
      </c>
      <c r="N53" s="2519" t="str">
        <f t="shared" si="0"/>
        <v>销售额×税（费）率</v>
      </c>
      <c r="O53" s="2522" t="str">
        <f t="shared" si="0"/>
        <v>免征</v>
      </c>
    </row>
    <row r="54" spans="1:35" ht="12" customHeight="1">
      <c r="A54" s="2331" t="s">
        <v>1357</v>
      </c>
      <c r="B54" s="3633" t="s">
        <v>2291</v>
      </c>
      <c r="C54" s="3634"/>
      <c r="D54" s="1083">
        <f ca="1">C68</f>
        <v>10824</v>
      </c>
      <c r="E54" s="327" t="s">
        <v>1358</v>
      </c>
      <c r="F54" s="2550">
        <f>'数据-取费表'!B41</f>
        <v>5.6000000000000001E-2</v>
      </c>
      <c r="G54" s="2551"/>
      <c r="H54" s="2552"/>
      <c r="I54" s="1803"/>
      <c r="J54" s="2519">
        <v>3</v>
      </c>
      <c r="K54" s="3609" t="s">
        <v>1359</v>
      </c>
      <c r="L54" s="3609"/>
      <c r="M54" s="2521">
        <f t="shared" ca="1" si="0"/>
        <v>114869</v>
      </c>
      <c r="N54" s="2519" t="str">
        <f t="shared" si="0"/>
        <v>增值额×税（费）率</v>
      </c>
      <c r="O54" s="2523" t="str">
        <f t="shared" si="0"/>
        <v>免征</v>
      </c>
    </row>
    <row r="55" spans="1:35" ht="24" customHeight="1">
      <c r="A55" s="3669" t="s">
        <v>1360</v>
      </c>
      <c r="B55" s="3647"/>
      <c r="C55" s="3647"/>
      <c r="D55" s="2320">
        <f ca="1">IF(H55="个人住宅",0,ROUND(D45*I55,0))</f>
        <v>101</v>
      </c>
      <c r="E55" s="2330" t="s">
        <v>1361</v>
      </c>
      <c r="F55" s="2550" t="str">
        <f>IF(H55="正常",I55,"免征")</f>
        <v>免征</v>
      </c>
      <c r="G55" s="2551"/>
      <c r="H55" s="2546"/>
      <c r="I55" s="165">
        <f>'数据-取费表'!B49</f>
        <v>5.0000000000000001E-4</v>
      </c>
      <c r="J55" s="2519">
        <f>IF(H59="非个人房产","",4)</f>
        <v>4</v>
      </c>
      <c r="K55" s="3609" t="str">
        <f>IF(H59="非个人房产","——","个人所得税")</f>
        <v>个人所得税</v>
      </c>
      <c r="L55" s="3609"/>
      <c r="M55" s="2524">
        <f ca="1">D59</f>
        <v>1933</v>
      </c>
      <c r="N55" s="2036" t="str">
        <f>E59</f>
        <v>差额计税</v>
      </c>
      <c r="O55" s="2525">
        <f>F59</f>
        <v>0.01</v>
      </c>
    </row>
    <row r="56" spans="1:35" ht="24.75">
      <c r="A56" s="3669" t="s">
        <v>1362</v>
      </c>
      <c r="B56" s="3647"/>
      <c r="C56" s="3647"/>
      <c r="D56" s="2320">
        <f ca="1">IF(H56="个人住宅",D57,D58)</f>
        <v>114869</v>
      </c>
      <c r="E56" s="2330" t="s">
        <v>1363</v>
      </c>
      <c r="F56" s="2550" t="str">
        <f>IF(H56="正常",F58,"免征")</f>
        <v>免征</v>
      </c>
      <c r="G56" s="2553" t="s">
        <v>1364</v>
      </c>
      <c r="H56" s="2554"/>
      <c r="I56" s="1804"/>
      <c r="J56" s="2519" t="str">
        <f>IF(项目基本情况!K6="上海银行",IF(J55="",4,J55+1),"")</f>
        <v/>
      </c>
      <c r="K56" s="3590" t="str">
        <f>IF(项目基本情况!K6="上海银行","其他处置费用","")</f>
        <v/>
      </c>
      <c r="L56" s="3591"/>
      <c r="M56" s="2521" t="str">
        <f>IF(项目基本情况!K6="上海银行",M69,"")</f>
        <v/>
      </c>
      <c r="N56" s="3590" t="str">
        <f>IF(项目基本情况!K6="上海银行","包含处置中涉及的律师、诉讼、拍卖、评估等费用","")</f>
        <v/>
      </c>
      <c r="O56" s="3593"/>
    </row>
    <row r="57" spans="1:35" ht="12.75">
      <c r="A57" s="2331" t="s">
        <v>1340</v>
      </c>
      <c r="B57" s="3633" t="s">
        <v>1365</v>
      </c>
      <c r="C57" s="3634"/>
      <c r="D57" s="1586">
        <v>0</v>
      </c>
      <c r="E57" s="324" t="s">
        <v>1342</v>
      </c>
      <c r="F57" s="302"/>
      <c r="G57" s="2551"/>
      <c r="H57" s="2555"/>
      <c r="I57" s="1804"/>
      <c r="J57" s="3609">
        <f>IF(AND(J55="",J56=""),4,IF(项目基本情况!K6="上海银行",结果表!J56+1,结果表!J55+1))</f>
        <v>5</v>
      </c>
      <c r="K57" s="3609" t="s">
        <v>1366</v>
      </c>
      <c r="L57" s="2526" t="s">
        <v>1367</v>
      </c>
      <c r="M57" s="2527"/>
      <c r="N57" s="2528">
        <f ca="1">SUMIF(M52:M56,"&lt;9e307")</f>
        <v>116903</v>
      </c>
      <c r="O57" s="2529"/>
      <c r="P57" s="2686">
        <f ca="1">N57/M49</f>
        <v>0.57602156206731736</v>
      </c>
    </row>
    <row r="58" spans="1:35" ht="24.75">
      <c r="A58" s="2331" t="s">
        <v>1351</v>
      </c>
      <c r="B58" s="3633" t="s">
        <v>1368</v>
      </c>
      <c r="C58" s="3632"/>
      <c r="D58" s="2320">
        <f ca="1">IF(H58="转让取得",C81,C97)</f>
        <v>114869</v>
      </c>
      <c r="E58" s="2330" t="s">
        <v>1363</v>
      </c>
      <c r="F58" s="302" t="s">
        <v>28</v>
      </c>
      <c r="G58" s="2551"/>
      <c r="H58" s="2554"/>
      <c r="I58" s="1804"/>
      <c r="J58" s="3609"/>
      <c r="K58" s="3609"/>
      <c r="L58" s="2526" t="s">
        <v>1369</v>
      </c>
      <c r="M58" s="2530"/>
      <c r="N58" s="2531" t="str">
        <f ca="1">NUMBERSTRING(INT(N57*10000),2)&amp;"元整"</f>
        <v>壹拾壹亿陆仟玖佰零叁万元整</v>
      </c>
      <c r="O58" s="2532"/>
    </row>
    <row r="59" spans="1:35" ht="24.75" thickBot="1">
      <c r="A59" s="3613" t="s">
        <v>1370</v>
      </c>
      <c r="B59" s="3614"/>
      <c r="C59" s="3614"/>
      <c r="D59" s="2556">
        <f ca="1">IF(H59="非个人房产","——",IF(H59="个人住宅（满五唯一有凭证）",0,IF(H59="个人其他（无凭证）",ROUND(D45*F59,0),ROUND(C67*F59,0))))</f>
        <v>1933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0"/>
      <c r="I59" s="2309" t="s">
        <v>2136</v>
      </c>
      <c r="J59" s="3611">
        <f>J57+1</f>
        <v>6</v>
      </c>
      <c r="K59" s="3609" t="s">
        <v>1371</v>
      </c>
      <c r="L59" s="2519" t="s">
        <v>1367</v>
      </c>
      <c r="M59" s="2533"/>
      <c r="N59" s="2534">
        <f ca="1">M49-N57</f>
        <v>86046</v>
      </c>
      <c r="O59" s="2535"/>
    </row>
    <row r="60" spans="1:35" ht="12" customHeight="1">
      <c r="A60" s="1805"/>
      <c r="B60" s="1743"/>
      <c r="C60" s="1743"/>
      <c r="D60" s="1743"/>
      <c r="E60" s="1574"/>
      <c r="F60" s="1804"/>
      <c r="G60" s="1804"/>
      <c r="H60" s="1806"/>
      <c r="I60" s="129"/>
      <c r="J60" s="3612"/>
      <c r="K60" s="3609"/>
      <c r="L60" s="2526" t="s">
        <v>1369</v>
      </c>
      <c r="M60" s="2530"/>
      <c r="N60" s="2531" t="str">
        <f ca="1">NUMBERSTRING(INT(N59*10000),2)&amp;"元整"</f>
        <v>捌亿陆仟零肆拾陆万元整</v>
      </c>
      <c r="O60" s="2532"/>
    </row>
    <row r="61" spans="1:35" ht="13.5" thickBot="1">
      <c r="A61" s="3668" t="s">
        <v>1372</v>
      </c>
      <c r="B61" s="3668"/>
      <c r="C61" s="3668"/>
      <c r="D61" s="3668"/>
      <c r="E61" s="3668"/>
      <c r="F61" s="1804"/>
      <c r="G61" s="1804"/>
      <c r="H61" s="1806"/>
      <c r="I61" s="129"/>
      <c r="J61" s="2519">
        <f>J59+1</f>
        <v>7</v>
      </c>
      <c r="K61" s="3609" t="s">
        <v>1373</v>
      </c>
      <c r="L61" s="3609"/>
      <c r="M61" s="2536"/>
      <c r="N61" s="2537">
        <f ca="1">ROUND(N59*10000/'数据-汇总表'!E3,0)</f>
        <v>6531</v>
      </c>
      <c r="O61" s="2538"/>
    </row>
    <row r="62" spans="1:35" ht="12.75">
      <c r="A62" s="3628" t="s">
        <v>1374</v>
      </c>
      <c r="B62" s="3629"/>
      <c r="C62" s="2017"/>
      <c r="D62" s="2017" t="s">
        <v>1375</v>
      </c>
      <c r="E62" s="166" t="s">
        <v>1376</v>
      </c>
      <c r="F62" s="1804"/>
      <c r="G62" s="1804"/>
      <c r="H62" s="1806"/>
      <c r="I62" s="129"/>
    </row>
    <row r="63" spans="1:35" ht="12.75">
      <c r="A63" s="173" t="s">
        <v>330</v>
      </c>
      <c r="B63" s="167" t="s">
        <v>1377</v>
      </c>
      <c r="C63" s="2560">
        <f ca="1">ROUND((C64+C65)/(1+'数据-取费表'!C42),0)</f>
        <v>193285</v>
      </c>
      <c r="D63" s="167"/>
      <c r="E63" s="168"/>
      <c r="F63" s="1804"/>
      <c r="G63" s="1804"/>
      <c r="H63" s="1806"/>
      <c r="I63" s="129"/>
      <c r="J63" s="3592" t="s">
        <v>1378</v>
      </c>
      <c r="K63" s="1328" t="s">
        <v>1379</v>
      </c>
      <c r="L63" s="1328">
        <f ca="1">IF(M49&gt;10000,M49*0.5%,IF(AND(M49&gt;1000,M49&lt;=10000),M49*1%,IF(AND(M49&gt;100,M49&lt;=1000),M49*3%,IF(AND(M49&gt;10,M49&lt;=100),M49*5%,M49*8%))))</f>
        <v>1014.745</v>
      </c>
      <c r="M63" s="302">
        <f ca="1">ROUND(L63,1)</f>
        <v>1014.7</v>
      </c>
      <c r="N63" s="2539"/>
      <c r="Z63" s="1748"/>
      <c r="AI63" s="1749"/>
    </row>
    <row r="64" spans="1:35" ht="14.25" customHeight="1">
      <c r="A64" s="169" t="s">
        <v>325</v>
      </c>
      <c r="B64" s="170" t="s">
        <v>1380</v>
      </c>
      <c r="C64" s="2561">
        <f ca="1">D45</f>
        <v>202949</v>
      </c>
      <c r="D64" s="170" t="s">
        <v>26</v>
      </c>
      <c r="E64" s="172"/>
      <c r="F64" s="1804"/>
      <c r="G64" s="1804"/>
      <c r="H64" s="1806"/>
      <c r="I64" s="129"/>
      <c r="J64" s="3592"/>
      <c r="K64" s="1328" t="s">
        <v>1381</v>
      </c>
      <c r="L64" s="1328">
        <f ca="1">IF(M49&gt;2000,M49*0.5%,IF(AND(M49&gt;1000,M49&lt;=2000),M49*0.6%,IF(AND(M49&gt;500,M49&lt;=1000),M49*0.7%,IF(AND(M49&gt;200,M49&lt;=500),M49*0.8%,IF(AND(M49&gt;100,M49&lt;=200),M49*0.9%,IF(AND(M49&gt;50,M49&lt;=100),M49*1%,IF(AND(M49&gt;20,M49&lt;=50),M49*1.5%,IF(AND(M49&gt;10,M49&lt;=20),M49*2%,IF(AND(M49&gt;1,M49&lt;=10),M49*2.5%)))))))))</f>
        <v>1014.745</v>
      </c>
      <c r="M64" s="302">
        <f t="shared" ref="M64:M65" ca="1" si="1">ROUND(L64,1)</f>
        <v>1014.7</v>
      </c>
      <c r="N64" s="2540" t="s">
        <v>1382</v>
      </c>
      <c r="Z64" s="1748"/>
      <c r="AI64" s="1749"/>
    </row>
    <row r="65" spans="1:35" ht="14.25" customHeight="1">
      <c r="A65" s="169" t="s">
        <v>326</v>
      </c>
      <c r="B65" s="170" t="s">
        <v>1383</v>
      </c>
      <c r="C65" s="2562"/>
      <c r="D65" s="170"/>
      <c r="E65" s="172"/>
      <c r="F65" s="1804"/>
      <c r="G65" s="1804"/>
      <c r="H65" s="1806"/>
      <c r="I65" s="129"/>
      <c r="J65" s="3592"/>
      <c r="K65" s="1328" t="s">
        <v>1384</v>
      </c>
      <c r="L65" s="1328">
        <f ca="1">IF(M49&gt;1000,M49*0.1%,IF(AND(M49&gt;500,M49&lt;=1000),M49*0.5%,IF(AND(M49&gt;50,M49&lt;=500),M49*1%,IF(AND(M49&gt;1,M49&lt;=50),M49*1.5%))))</f>
        <v>202.94900000000001</v>
      </c>
      <c r="M65" s="302">
        <f t="shared" ca="1" si="1"/>
        <v>202.9</v>
      </c>
      <c r="N65" s="2540" t="s">
        <v>1382</v>
      </c>
      <c r="Z65" s="1748"/>
      <c r="AI65" s="1749"/>
    </row>
    <row r="66" spans="1:35" ht="14.25" customHeight="1">
      <c r="A66" s="173" t="s">
        <v>327</v>
      </c>
      <c r="B66" s="174" t="s">
        <v>1385</v>
      </c>
      <c r="C66" s="2563"/>
      <c r="D66" s="174" t="s">
        <v>26</v>
      </c>
      <c r="E66" s="1334" t="s">
        <v>671</v>
      </c>
      <c r="F66" s="1804"/>
      <c r="G66" s="1804"/>
      <c r="H66" s="1806"/>
      <c r="I66" s="129"/>
      <c r="J66" s="3592"/>
      <c r="K66" s="1328" t="s">
        <v>1386</v>
      </c>
      <c r="L66" s="1328">
        <f ca="1">M49*0.5%</f>
        <v>1014.745</v>
      </c>
      <c r="M66" s="302">
        <f ca="1">IF(L66&gt;0.5,0.5,ROUND(L66,0))</f>
        <v>0.5</v>
      </c>
      <c r="N66" s="2540" t="s">
        <v>1387</v>
      </c>
      <c r="Z66" s="1748"/>
      <c r="AI66" s="1749"/>
    </row>
    <row r="67" spans="1:35" ht="14.25" customHeight="1">
      <c r="A67" s="173" t="s">
        <v>328</v>
      </c>
      <c r="B67" s="174" t="s">
        <v>1388</v>
      </c>
      <c r="C67" s="2564">
        <f ca="1">C63-C66</f>
        <v>193285</v>
      </c>
      <c r="D67" s="170" t="s">
        <v>26</v>
      </c>
      <c r="E67" s="172"/>
      <c r="F67" s="1804"/>
      <c r="G67" s="1804"/>
      <c r="H67" s="1806"/>
      <c r="I67" s="129"/>
      <c r="J67" s="3592"/>
      <c r="K67" s="1328" t="s">
        <v>1389</v>
      </c>
      <c r="L67" s="1328">
        <f ca="1">IF(M49&gt;=10000,(8.25+(M49-10000)*0.01%),IF(AND(M49&gt;=8000,M49&lt;10000),(7.85+(M49-8000)*0.02%),IF(AND(M49&gt;=5000,M49&lt;8000),(6.65+(M49-5000)*0.04%),IF(AND(M49&gt;=2000,M49&lt;5000),(4.25+(PM49-2000)*0.08%),IF(AND(M49&gt;=1000,M49&lt;2000),(2.75+(M49-1000)*0.15%),IF(AND(M49&gt;=100,M49&lt;1000),(0.5+(M49-100)*0.25%),IF(AND(M49&gt;0,M49&lt;100),M49*0.5%)))))))</f>
        <v>27.544900000000002</v>
      </c>
      <c r="M67" s="302">
        <f ca="1">ROUND(L67*0.9,1)</f>
        <v>24.8</v>
      </c>
      <c r="N67" s="2539"/>
      <c r="Z67" s="1748"/>
      <c r="AI67" s="1749"/>
    </row>
    <row r="68" spans="1:35" ht="14.25" customHeight="1" thickBot="1">
      <c r="A68" s="176" t="s">
        <v>329</v>
      </c>
      <c r="B68" s="177" t="s">
        <v>1390</v>
      </c>
      <c r="C68" s="2565">
        <f ca="1">IF(C67&lt;=0,0,ROUND(C67*D68,0))</f>
        <v>10824</v>
      </c>
      <c r="D68" s="2566">
        <f>'数据-取费表'!B41</f>
        <v>5.6000000000000001E-2</v>
      </c>
      <c r="E68" s="178"/>
      <c r="F68" s="1804"/>
      <c r="G68" s="1804"/>
      <c r="H68" s="1806"/>
      <c r="I68" s="129"/>
      <c r="J68" s="3592"/>
      <c r="K68" s="1328" t="s">
        <v>1391</v>
      </c>
      <c r="L68" s="1328">
        <f ca="1">IF(M49&gt;10000,M49*0.5%,IF(AND(M49&gt;5000,M49&lt;=10000),M49*1%,IF(AND(M49&gt;1000,M49&lt;=5000),M49*2%,IF(AND(M49&gt;200,M49&lt;=1000),M49*3%,M49*5%))))</f>
        <v>1014.745</v>
      </c>
      <c r="M68" s="302">
        <f ca="1">ROUND(L68,1)</f>
        <v>1014.7</v>
      </c>
      <c r="N68" s="2539"/>
      <c r="Z68" s="1748"/>
      <c r="AI68" s="1749"/>
    </row>
    <row r="69" spans="1:35" s="1768" customFormat="1" ht="16.5" customHeight="1">
      <c r="A69" s="1807"/>
      <c r="B69" s="1808"/>
      <c r="C69" s="1809"/>
      <c r="D69" s="1810"/>
      <c r="E69" s="1811"/>
      <c r="F69" s="1574"/>
      <c r="G69" s="1574"/>
      <c r="H69" s="1573"/>
      <c r="I69" s="1743"/>
      <c r="J69" s="3592"/>
      <c r="K69" s="1328" t="s">
        <v>1392</v>
      </c>
      <c r="L69" s="1328"/>
      <c r="M69" s="302">
        <f ca="1">ROUND(SUM(M63:M68),0)</f>
        <v>3272</v>
      </c>
      <c r="N69" s="2541">
        <f ca="1">M69/M49</f>
        <v>1.6122277025262505E-2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36" t="s">
        <v>1393</v>
      </c>
      <c r="B70" s="3637"/>
      <c r="C70" s="3637"/>
      <c r="D70" s="3637"/>
      <c r="E70" s="3637"/>
      <c r="F70" s="3637"/>
      <c r="G70" s="3637"/>
      <c r="H70" s="3637"/>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8" t="s">
        <v>1374</v>
      </c>
      <c r="B71" s="3629"/>
      <c r="C71" s="2017"/>
      <c r="D71" s="2017" t="s">
        <v>1375</v>
      </c>
      <c r="E71" s="179" t="s">
        <v>1376</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1394</v>
      </c>
      <c r="C72" s="2564">
        <f ca="1">ROUND(D45/(1+'数据-取费表'!C42),0)</f>
        <v>193285</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1395</v>
      </c>
      <c r="C73" s="2564">
        <f ca="1">C74+C78</f>
        <v>1160</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1396</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1397</v>
      </c>
      <c r="C75" s="2567"/>
      <c r="D75" s="170" t="s">
        <v>26</v>
      </c>
      <c r="E75" s="184" t="s">
        <v>1398</v>
      </c>
      <c r="F75" s="2568"/>
      <c r="G75" s="184" t="s">
        <v>1399</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1400</v>
      </c>
      <c r="C76" s="170">
        <f>IF(F75="购房发票",ROUND(C75*H75*D76,0),0)</f>
        <v>0</v>
      </c>
      <c r="D76" s="2570">
        <v>0.05</v>
      </c>
      <c r="E76" s="3633" t="s">
        <v>1401</v>
      </c>
      <c r="F76" s="3632"/>
      <c r="G76" s="3632"/>
      <c r="H76" s="363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1402</v>
      </c>
      <c r="C77" s="170">
        <f>ROUND(IF(G77="个人住宅",0,IF(G77="2016年5月1日前购买",C75*D77,C75*D77/(1+'数据-取费表'!C42))),0)</f>
        <v>0</v>
      </c>
      <c r="D77" s="2571">
        <f>'数据-取费表'!B48+'数据-取费表'!B49</f>
        <v>3.0499999999999999E-2</v>
      </c>
      <c r="E77" s="2320" t="s">
        <v>1403</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1404</v>
      </c>
      <c r="C78" s="2572">
        <f ca="1">ROUND(D45*D78/(1+'数据-取费表'!C42),0)</f>
        <v>1160</v>
      </c>
      <c r="D78" s="2573">
        <f>'数据-取费表'!B43</f>
        <v>6.000000000000001E-3</v>
      </c>
      <c r="E78" s="3625" t="s">
        <v>1405</v>
      </c>
      <c r="F78" s="3626"/>
      <c r="G78" s="3626"/>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1406</v>
      </c>
      <c r="C79" s="2564">
        <f ca="1">C72-C73</f>
        <v>192125</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1407</v>
      </c>
      <c r="C80" s="2574">
        <f ca="1">IF(C79&lt;=0,0,C79/C73)</f>
        <v>165.625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1408</v>
      </c>
      <c r="C81" s="2575">
        <f ca="1">ROUND(IF(C79&lt;=0,0,IF(C80&gt;=200%,C79*60%-C73*35%,IF(C80&gt;=100%,C79*50%-C73*15%,IF(C80&gt;=50%,C79*40%-C73*5%,IF(C80&lt;50%,C79*30%,0))))),0)</f>
        <v>114869</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6" t="s">
        <v>1409</v>
      </c>
      <c r="B83" s="3637"/>
      <c r="C83" s="3637"/>
      <c r="D83" s="3637"/>
      <c r="E83" s="3637"/>
      <c r="F83" s="3637"/>
      <c r="G83" s="3637"/>
      <c r="H83" s="363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8" t="s">
        <v>1374</v>
      </c>
      <c r="B84" s="3629"/>
      <c r="C84" s="2017"/>
      <c r="D84" s="2017" t="s">
        <v>1375</v>
      </c>
      <c r="E84" s="179" t="s">
        <v>1376</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1394</v>
      </c>
      <c r="C85" s="2564">
        <f ca="1">ROUND(D45/(1+'数据-取费表'!C42),0)</f>
        <v>193285</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1395</v>
      </c>
      <c r="C86" s="2564">
        <f ca="1">IF(H88="仅含出让金",C87+C90+C91+C92+C93+C94,C87+C91+C92+C93+C94)</f>
        <v>1160</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1410</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1411</v>
      </c>
      <c r="C88" s="2578"/>
      <c r="D88" s="2573"/>
      <c r="E88" s="193" t="s">
        <v>1412</v>
      </c>
      <c r="F88" s="2323"/>
      <c r="G88" s="194" t="s">
        <v>1413</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1402</v>
      </c>
      <c r="C89" s="2572">
        <f>ROUND(C88*D89,0)</f>
        <v>0</v>
      </c>
      <c r="D89" s="2573">
        <f>'数据-取费表'!B48+'数据-取费表'!B49</f>
        <v>3.0499999999999999E-2</v>
      </c>
      <c r="E89" s="193" t="s">
        <v>1414</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1415</v>
      </c>
      <c r="C90" s="2578"/>
      <c r="D90" s="2573"/>
      <c r="E90" s="193" t="str">
        <f>IF(H88="-","土地取得成本中已包含该笔费用"," ")</f>
        <v xml:space="preserve"> </v>
      </c>
      <c r="F90" s="2323"/>
      <c r="G90" s="3594" t="s">
        <v>2128</v>
      </c>
      <c r="H90" s="3595"/>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1416</v>
      </c>
      <c r="B91" s="170" t="s">
        <v>1417</v>
      </c>
      <c r="C91" s="2572">
        <f>IF(H91="——",成本法!C33,I91)</f>
        <v>0</v>
      </c>
      <c r="D91" s="2573"/>
      <c r="E91" s="3625" t="s">
        <v>1418</v>
      </c>
      <c r="F91" s="3626"/>
      <c r="G91" s="362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1419</v>
      </c>
      <c r="B92" s="170" t="s">
        <v>1420</v>
      </c>
      <c r="C92" s="2572">
        <f>ROUND((C87+C90+C91)*D92,0)</f>
        <v>0</v>
      </c>
      <c r="D92" s="2579"/>
      <c r="E92" s="3625" t="s">
        <v>1421</v>
      </c>
      <c r="F92" s="3626"/>
      <c r="G92" s="3626"/>
      <c r="H92" s="3627"/>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1422</v>
      </c>
      <c r="B93" s="170" t="s">
        <v>1404</v>
      </c>
      <c r="C93" s="2572">
        <f ca="1">ROUND(D45*D93/(1+'数据-取费表'!C42),0)</f>
        <v>1160</v>
      </c>
      <c r="D93" s="2573">
        <f>'数据-取费表'!B43</f>
        <v>6.000000000000001E-3</v>
      </c>
      <c r="E93" s="3625" t="s">
        <v>1405</v>
      </c>
      <c r="F93" s="3626"/>
      <c r="G93" s="3626"/>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1423</v>
      </c>
      <c r="B94" s="170" t="s">
        <v>1424</v>
      </c>
      <c r="C94" s="2578">
        <f>ROUND((C87+C90+C91)*D94,0)</f>
        <v>0</v>
      </c>
      <c r="D94" s="2573">
        <v>0.2</v>
      </c>
      <c r="E94" s="3670" t="s">
        <v>1425</v>
      </c>
      <c r="F94" s="3671"/>
      <c r="G94" s="3671"/>
      <c r="H94" s="367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1406</v>
      </c>
      <c r="C95" s="2564">
        <f ca="1">ROUND(C85-C86,0)</f>
        <v>192125</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1407</v>
      </c>
      <c r="C96" s="2574">
        <f ca="1">IF(C95&lt;=0,0,C95/C86)</f>
        <v>165.625</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1408</v>
      </c>
      <c r="C97" s="2575">
        <f ca="1">ROUND(IF(C95&lt;=0,0,IF(C96&gt;=200%,C95*60%-C86*35%,IF(C96&gt;=100%,C95*50%-C86*15%,IF(C96&gt;=50%,C95*40%-C86*5%,IF(C96&lt;50%,C95*30%,0))))),0)</f>
        <v>114869</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1426</v>
      </c>
      <c r="B99" s="1743"/>
      <c r="C99" s="1743"/>
      <c r="D99" s="1743"/>
      <c r="E99" s="1574"/>
      <c r="F99" s="1574"/>
      <c r="G99" s="1574"/>
      <c r="H99" s="1573"/>
      <c r="I99" s="129"/>
    </row>
    <row r="100" spans="1:35" ht="18.75" customHeight="1">
      <c r="A100" s="3575" t="s">
        <v>1427</v>
      </c>
      <c r="B100" s="3576"/>
      <c r="C100" s="3576"/>
      <c r="D100" s="3610"/>
      <c r="E100" s="3576" t="s">
        <v>1428</v>
      </c>
      <c r="F100" s="3576"/>
      <c r="G100" s="3576"/>
      <c r="H100" s="3610"/>
      <c r="I100" s="129"/>
    </row>
    <row r="101" spans="1:35" ht="18.75" customHeight="1">
      <c r="A101" s="3618" t="s">
        <v>1429</v>
      </c>
      <c r="B101" s="3619"/>
      <c r="C101" s="2581" t="str">
        <f>C4</f>
        <v>成本法</v>
      </c>
      <c r="D101" s="2582" t="str">
        <f>D4</f>
        <v>假设开发法</v>
      </c>
      <c r="E101" s="3588" t="s">
        <v>1430</v>
      </c>
      <c r="F101" s="3589"/>
      <c r="G101" s="1823" t="s">
        <v>1431</v>
      </c>
      <c r="H101" s="2591">
        <f ca="1">H118</f>
        <v>202949</v>
      </c>
      <c r="I101" s="129"/>
    </row>
    <row r="102" spans="1:35" ht="18.75" customHeight="1">
      <c r="A102" s="3620" t="s">
        <v>1432</v>
      </c>
      <c r="B102" s="2580" t="s">
        <v>1431</v>
      </c>
      <c r="C102" s="2581">
        <f ca="1">IF(D32="楼面单价",ROUND(C19,0),C19)</f>
        <v>228528</v>
      </c>
      <c r="D102" s="2582">
        <f ca="1">IF(D32="楼面单价",ROUND(D19,0),D19)</f>
        <v>177370</v>
      </c>
      <c r="E102" s="3588"/>
      <c r="F102" s="3589"/>
      <c r="G102" s="1823" t="s">
        <v>1433</v>
      </c>
      <c r="H102" s="2551">
        <f ca="1">I118</f>
        <v>15405</v>
      </c>
      <c r="I102" s="129"/>
    </row>
    <row r="103" spans="1:35" ht="42.75" customHeight="1">
      <c r="A103" s="3620"/>
      <c r="B103" s="2580" t="s">
        <v>1433</v>
      </c>
      <c r="C103" s="2583">
        <f ca="1">C20</f>
        <v>17346</v>
      </c>
      <c r="D103" s="2584">
        <f ca="1">D20</f>
        <v>13463</v>
      </c>
      <c r="E103" s="3581" t="s">
        <v>1434</v>
      </c>
      <c r="F103" s="3582"/>
      <c r="G103" s="1824" t="s">
        <v>1435</v>
      </c>
      <c r="H103" s="2591">
        <f>IF(D36="正常操作",H104+H105+H106,H105+H106)</f>
        <v>0</v>
      </c>
      <c r="I103" s="129"/>
    </row>
    <row r="104" spans="1:35" ht="18.75" customHeight="1">
      <c r="A104" s="3620" t="s">
        <v>1436</v>
      </c>
      <c r="B104" s="2585" t="s">
        <v>1431</v>
      </c>
      <c r="C104" s="2586">
        <f ca="1">H118</f>
        <v>202949</v>
      </c>
      <c r="D104" s="2587"/>
      <c r="E104" s="1670" t="s">
        <v>1437</v>
      </c>
      <c r="F104" s="1662"/>
      <c r="G104" s="1824" t="s">
        <v>1435</v>
      </c>
      <c r="H104" s="2592">
        <f>IF(D36="同一抵押权人同一抵押物续贷",C36&amp;"（续贷，未扣减，详见特别提示）",C36)</f>
        <v>0</v>
      </c>
      <c r="I104" s="129"/>
    </row>
    <row r="105" spans="1:35" ht="18.75" customHeight="1" thickBot="1">
      <c r="A105" s="3630"/>
      <c r="B105" s="2588" t="s">
        <v>1433</v>
      </c>
      <c r="C105" s="2589">
        <f ca="1">I118</f>
        <v>15405</v>
      </c>
      <c r="D105" s="2590"/>
      <c r="E105" s="1670" t="s">
        <v>1438</v>
      </c>
      <c r="F105" s="1662"/>
      <c r="G105" s="1824" t="s">
        <v>1435</v>
      </c>
      <c r="H105" s="2593">
        <f>C37</f>
        <v>0</v>
      </c>
      <c r="I105" s="129"/>
    </row>
    <row r="106" spans="1:35" ht="18.75" customHeight="1">
      <c r="A106" s="1743" t="s">
        <v>1439</v>
      </c>
      <c r="B106" s="1743"/>
      <c r="C106" s="1743"/>
      <c r="D106" s="1743"/>
      <c r="E106" s="1825" t="s">
        <v>1440</v>
      </c>
      <c r="F106" s="1662"/>
      <c r="G106" s="1824" t="s">
        <v>1435</v>
      </c>
      <c r="H106" s="2593">
        <f>C38</f>
        <v>0</v>
      </c>
      <c r="I106" s="129"/>
    </row>
    <row r="107" spans="1:35" ht="18.75" customHeight="1">
      <c r="A107" s="129"/>
      <c r="B107" s="129"/>
      <c r="C107" s="129"/>
      <c r="D107" s="129"/>
      <c r="E107" s="3621" t="str">
        <f>IF(项目基本情况!E8="已注销","——","3.房地产抵押价值")</f>
        <v>3.房地产抵押价值</v>
      </c>
      <c r="F107" s="3589"/>
      <c r="G107" s="1823" t="s">
        <v>1431</v>
      </c>
      <c r="H107" s="2591">
        <f ca="1">IF(E107="——","——",H101-H103)</f>
        <v>202949</v>
      </c>
      <c r="I107" s="129"/>
    </row>
    <row r="108" spans="1:35" ht="18.75" customHeight="1">
      <c r="A108" s="129"/>
      <c r="B108" s="129"/>
      <c r="C108" s="129"/>
      <c r="D108" s="129"/>
      <c r="E108" s="3621"/>
      <c r="F108" s="3589"/>
      <c r="G108" s="1823" t="s">
        <v>1433</v>
      </c>
      <c r="H108" s="2551">
        <f ca="1">IF(H107=H101,H102,ROUND(H107*10000/'数据-汇总表'!E3,0))</f>
        <v>15405</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3" t="s">
        <v>1431</v>
      </c>
      <c r="H109" s="2594" t="str">
        <f>IF(E109="——","——",H101-H105-H106)</f>
        <v>——</v>
      </c>
      <c r="I109" s="129"/>
    </row>
    <row r="110" spans="1:35" ht="18.75" customHeight="1">
      <c r="A110" s="129"/>
      <c r="B110" s="129"/>
      <c r="C110" s="129"/>
      <c r="D110" s="129"/>
      <c r="E110" s="3621"/>
      <c r="F110" s="3589"/>
      <c r="G110" s="1823" t="s">
        <v>1433</v>
      </c>
      <c r="H110" s="2551"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3" t="s">
        <v>1431</v>
      </c>
      <c r="H111" s="2591" t="str">
        <f>IF(E111="——","——",N59)</f>
        <v>——</v>
      </c>
      <c r="I111" s="129"/>
    </row>
    <row r="112" spans="1:35" ht="18.75" customHeight="1" thickBot="1">
      <c r="A112" s="129"/>
      <c r="B112" s="129"/>
      <c r="C112" s="129"/>
      <c r="D112" s="129"/>
      <c r="E112" s="3623"/>
      <c r="F112" s="3624"/>
      <c r="G112" s="1826" t="s">
        <v>1433</v>
      </c>
      <c r="H112" s="2595" t="str">
        <f>IF(E111="——","——",N61)</f>
        <v>——</v>
      </c>
      <c r="I112" s="129"/>
    </row>
    <row r="113" spans="1:27" ht="18.75" customHeight="1">
      <c r="A113" s="129"/>
      <c r="B113" s="129"/>
      <c r="C113" s="129"/>
      <c r="D113" s="129"/>
      <c r="E113" s="3631" t="s">
        <v>1439</v>
      </c>
      <c r="F113" s="3631"/>
      <c r="G113" s="3631"/>
      <c r="H113" s="3631"/>
      <c r="I113" s="129"/>
    </row>
    <row r="114" spans="1:27" ht="3.75" customHeight="1">
      <c r="A114" s="1743"/>
      <c r="B114" s="1743"/>
      <c r="C114" s="1743"/>
      <c r="D114" s="1743"/>
      <c r="E114" s="1805"/>
      <c r="F114" s="1805"/>
      <c r="G114" s="1805"/>
      <c r="H114" s="1805"/>
      <c r="I114" s="1743"/>
    </row>
    <row r="115" spans="1:27" ht="18.75" customHeight="1">
      <c r="A115" s="3639" t="s">
        <v>1441</v>
      </c>
      <c r="B115" s="3640"/>
      <c r="C115" s="3640"/>
      <c r="D115" s="3640"/>
      <c r="E115" s="3640"/>
      <c r="F115" s="3640"/>
      <c r="G115" s="3640"/>
      <c r="H115" s="3640"/>
      <c r="I115" s="3641"/>
    </row>
    <row r="116" spans="1:27" ht="27" customHeight="1">
      <c r="A116" s="3596" t="s">
        <v>1442</v>
      </c>
      <c r="B116" s="3600" t="s">
        <v>1443</v>
      </c>
      <c r="C116" s="3600" t="s">
        <v>1444</v>
      </c>
      <c r="D116" s="3606" t="s">
        <v>1445</v>
      </c>
      <c r="E116" s="3607"/>
      <c r="F116" s="3638" t="s">
        <v>1446</v>
      </c>
      <c r="G116" s="3638"/>
      <c r="H116" s="3596" t="s">
        <v>1447</v>
      </c>
      <c r="I116" s="3596"/>
    </row>
    <row r="117" spans="1:27" ht="18.75" customHeight="1">
      <c r="A117" s="3596"/>
      <c r="B117" s="3601"/>
      <c r="C117" s="3601"/>
      <c r="D117" s="2325" t="s">
        <v>1448</v>
      </c>
      <c r="E117" s="2325" t="s">
        <v>1449</v>
      </c>
      <c r="F117" s="2325" t="s">
        <v>1448</v>
      </c>
      <c r="G117" s="2325" t="s">
        <v>1450</v>
      </c>
      <c r="H117" s="2325" t="s">
        <v>1448</v>
      </c>
      <c r="I117" s="2325" t="s">
        <v>1450</v>
      </c>
    </row>
    <row r="118" spans="1:27" ht="24.75" customHeight="1">
      <c r="A118" s="2596" t="str">
        <f>项目基本情况!S2</f>
        <v>北京市出让国有建设用地使用权及在建建筑物房地产</v>
      </c>
      <c r="B118" s="2325">
        <f>M18</f>
        <v>131745.91</v>
      </c>
      <c r="C118" s="2325">
        <f>M19</f>
        <v>35932.949999999997</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202949</v>
      </c>
      <c r="I118" s="2325">
        <f ca="1">ROUND(IF(D32="楼面单价",C32,H118*10000/B118),0)</f>
        <v>15405</v>
      </c>
    </row>
    <row r="119" spans="1:27" ht="18.75" customHeight="1">
      <c r="A119" s="3596" t="s">
        <v>1451</v>
      </c>
      <c r="B119" s="3596"/>
      <c r="C119" s="3596"/>
      <c r="D119" s="3602" t="e">
        <f ca="1">NUMBERSTRING(INT(D118*10000),2)&amp;"元整"</f>
        <v>#REF!</v>
      </c>
      <c r="E119" s="3603"/>
      <c r="F119" s="3602" t="e">
        <f ca="1">NUMBERSTRING(INT(F118*10000),2)&amp;"元整"</f>
        <v>#REF!</v>
      </c>
      <c r="G119" s="3603"/>
      <c r="H119" s="3602" t="str">
        <f ca="1">NUMBERSTRING(INT(H118*10000),2)&amp;"元整"</f>
        <v>贰拾亿贰仟玖佰肆拾玖万元整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2" t="s">
        <v>1451</v>
      </c>
      <c r="B121" s="3604"/>
      <c r="C121" s="3603"/>
      <c r="D121" s="3602" t="str">
        <f>IF(D120=0,"零元整",NUMBERSTRING(INT(D120*10000),2)&amp;"元整")</f>
        <v>零元整</v>
      </c>
      <c r="E121" s="3604"/>
      <c r="F121" s="3604"/>
      <c r="G121" s="3604"/>
      <c r="H121" s="3604"/>
      <c r="I121" s="3603"/>
      <c r="AA121" s="725"/>
    </row>
    <row r="122" spans="1:27" ht="18.75" customHeight="1">
      <c r="A122" s="3608" t="str">
        <f>IF(项目基本情况!B9="房地产市场价值","",MID(E107,3,LEN(E107)-2))</f>
        <v>房地产抵押价值</v>
      </c>
      <c r="B122" s="3608"/>
      <c r="C122" s="3608"/>
      <c r="D122" s="3597">
        <f ca="1">H107</f>
        <v>202949</v>
      </c>
      <c r="E122" s="3598"/>
      <c r="F122" s="3598"/>
      <c r="G122" s="3598"/>
      <c r="H122" s="3598"/>
      <c r="I122" s="3599"/>
      <c r="AA122" s="725"/>
    </row>
    <row r="123" spans="1:27" ht="18.75" customHeight="1">
      <c r="A123" s="3596" t="s">
        <v>1451</v>
      </c>
      <c r="B123" s="3596"/>
      <c r="C123" s="3596"/>
      <c r="D123" s="3602" t="str">
        <f ca="1">NUMBERSTRING(INT(D122*10000),2)&amp;"元整"</f>
        <v>贰拾亿贰仟玖佰肆拾玖万元整</v>
      </c>
      <c r="E123" s="3604"/>
      <c r="F123" s="3604"/>
      <c r="G123" s="3604"/>
      <c r="H123" s="3604"/>
      <c r="I123" s="3603"/>
      <c r="AA123" s="725"/>
    </row>
    <row r="124" spans="1:27" ht="18.75" customHeight="1">
      <c r="A124" s="3608" t="str">
        <f>IF(项目基本情况!B9="房地产市场价值","",MID(E109,3,LEN(E109)-2))</f>
        <v/>
      </c>
      <c r="B124" s="3608"/>
      <c r="C124" s="3608"/>
      <c r="D124" s="3597" t="str">
        <f>H109</f>
        <v>——</v>
      </c>
      <c r="E124" s="3598"/>
      <c r="F124" s="3598"/>
      <c r="G124" s="3598"/>
      <c r="H124" s="3598"/>
      <c r="I124" s="3599"/>
      <c r="AA124" s="725"/>
    </row>
    <row r="125" spans="1:27" ht="18.75" customHeight="1">
      <c r="A125" s="3596" t="s">
        <v>1451</v>
      </c>
      <c r="B125" s="3596"/>
      <c r="C125" s="3596"/>
      <c r="D125" s="3602" t="e">
        <f>NUMBERSTRING(INT(D124*10000),2)&amp;"元整"</f>
        <v>#VALUE!</v>
      </c>
      <c r="E125" s="3604"/>
      <c r="F125" s="3604"/>
      <c r="G125" s="3604"/>
      <c r="H125" s="3604"/>
      <c r="I125" s="3603"/>
      <c r="AA125" s="725"/>
    </row>
    <row r="126" spans="1:27" ht="18.75" customHeight="1">
      <c r="A126" s="3608" t="str">
        <f>IF(项目基本情况!B9="房地产市场价值","",MID(E111,3,LEN(E111)-2))</f>
        <v/>
      </c>
      <c r="B126" s="3608"/>
      <c r="C126" s="3608"/>
      <c r="D126" s="3597" t="str">
        <f>H111</f>
        <v>——</v>
      </c>
      <c r="E126" s="3598"/>
      <c r="F126" s="3598"/>
      <c r="G126" s="3598"/>
      <c r="H126" s="3598"/>
      <c r="I126" s="3599"/>
      <c r="AA126" s="725"/>
    </row>
    <row r="127" spans="1:27" ht="18.75" customHeight="1">
      <c r="A127" s="3596" t="s">
        <v>1451</v>
      </c>
      <c r="B127" s="3596"/>
      <c r="C127" s="3596"/>
      <c r="D127" s="3602" t="e">
        <f>NUMBERSTRING(INT(D126*10000),2)&amp;"元整"</f>
        <v>#VALUE!</v>
      </c>
      <c r="E127" s="3604"/>
      <c r="F127" s="3604"/>
      <c r="G127" s="3604"/>
      <c r="H127" s="3604"/>
      <c r="I127" s="3603"/>
      <c r="AA127" s="725"/>
    </row>
    <row r="128" spans="1:27" ht="21.75" customHeight="1">
      <c r="A128" s="3605" t="s">
        <v>1452</v>
      </c>
      <c r="B128" s="3605"/>
      <c r="C128" s="3605"/>
      <c r="D128" s="3605"/>
      <c r="E128" s="3605"/>
      <c r="F128" s="3605"/>
      <c r="G128" s="3605"/>
      <c r="H128" s="3605"/>
      <c r="I128" s="3605"/>
      <c r="AA128" s="725"/>
    </row>
    <row r="129" spans="1:35" ht="21.75" customHeight="1">
      <c r="A129" s="1827" t="s">
        <v>1453</v>
      </c>
      <c r="B129" s="1828"/>
      <c r="C129" s="1829" t="s">
        <v>1454</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1455</v>
      </c>
      <c r="G135" s="1844"/>
      <c r="H135" s="1844"/>
      <c r="I135" s="1845" t="s">
        <v>1456</v>
      </c>
    </row>
    <row r="136" spans="1:35" ht="21.75" customHeight="1">
      <c r="A136" s="725"/>
      <c r="B136" s="1846"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1458</v>
      </c>
    </row>
    <row r="139" spans="1:35" ht="21.75" customHeight="1">
      <c r="A139" s="725"/>
      <c r="B139" s="1846" t="s">
        <v>1459</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1458</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43" sqref="L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6"/>
      <c r="C1" s="198"/>
      <c r="D1" s="198"/>
      <c r="E1" s="198"/>
      <c r="F1" s="198"/>
      <c r="G1" s="1122">
        <f>MATCH(B1,'数据-取费表'!A6:A16,0)+5</f>
        <v>9</v>
      </c>
    </row>
    <row r="2" spans="1:9" s="200" customFormat="1" ht="18" customHeight="1">
      <c r="A2" s="201" t="s">
        <v>1461</v>
      </c>
      <c r="B2" s="202">
        <f ca="1">IF(D2="——",C52,C52-E2)</f>
        <v>228528</v>
      </c>
      <c r="C2" s="199" t="s">
        <v>1462</v>
      </c>
      <c r="D2" s="1849" t="s">
        <v>43</v>
      </c>
      <c r="E2" s="1165" t="e">
        <f ca="1">SUMIF(INDIRECT("'"&amp;G2&amp;"'"&amp;"!A:A"),"承租人权益价值",INDIRECT("'"&amp;G2&amp;"'"&amp;"!c:c"))</f>
        <v>#REF!</v>
      </c>
      <c r="F2" s="1850" t="s">
        <v>1462</v>
      </c>
      <c r="G2" s="1851"/>
    </row>
    <row r="3" spans="1:9" s="200" customFormat="1" ht="18" customHeight="1" thickBot="1">
      <c r="A3" s="203" t="s">
        <v>1463</v>
      </c>
      <c r="B3" s="204">
        <f ca="1">ROUND(B2*10000/(IF(B1="",'数据-汇总表'!E3,INDIRECT("'数据-取费表'!k"&amp;$G$1))),0)</f>
        <v>17346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84589</v>
      </c>
      <c r="D5" s="211" t="s">
        <v>1468</v>
      </c>
      <c r="E5" s="212" t="s">
        <v>1469</v>
      </c>
      <c r="F5" s="212" t="s">
        <v>1470</v>
      </c>
      <c r="G5" s="213"/>
    </row>
    <row r="6" spans="1:9" s="214" customFormat="1" ht="13.5" customHeight="1">
      <c r="A6" s="774" t="s">
        <v>1471</v>
      </c>
      <c r="B6" s="215" t="s">
        <v>1472</v>
      </c>
      <c r="C6" s="216">
        <f>基准地价修正!E33+基准地价修正!E42+常用公式!K15+常用公式!K16</f>
        <v>79528</v>
      </c>
      <c r="D6" s="217"/>
      <c r="E6" s="218"/>
      <c r="F6" s="218"/>
      <c r="G6" s="219"/>
    </row>
    <row r="7" spans="1:9" s="214" customFormat="1" ht="13.5" customHeight="1">
      <c r="A7" s="774" t="s">
        <v>1473</v>
      </c>
      <c r="B7" s="215" t="s">
        <v>1474</v>
      </c>
      <c r="C7" s="220">
        <f>ROUND(C6*F7,0)</f>
        <v>2426</v>
      </c>
      <c r="D7" s="220"/>
      <c r="E7" s="218"/>
      <c r="F7" s="221">
        <f>IF(项目基本情况!B8="出让",0,'数据-取费表'!B48+'数据-取费表'!B49)</f>
        <v>3.0499999999999999E-2</v>
      </c>
      <c r="G7" s="219"/>
    </row>
    <row r="8" spans="1:9" s="223" customFormat="1">
      <c r="A8" s="774" t="s">
        <v>1475</v>
      </c>
      <c r="B8" s="215" t="s">
        <v>1476</v>
      </c>
      <c r="C8" s="220">
        <f ca="1">IF(G8="已包含在土地购买价格中","0",IF(B1="",'数据-取费表'!B29,IF(G9="全部缴纳",C9+C10,H9)))</f>
        <v>2635</v>
      </c>
      <c r="D8" s="222"/>
      <c r="E8" s="220"/>
      <c r="F8" s="221"/>
      <c r="G8" s="1852" t="s">
        <v>3540</v>
      </c>
    </row>
    <row r="9" spans="1:9" s="214" customFormat="1" ht="13.5" customHeight="1">
      <c r="A9" s="775" t="s">
        <v>355</v>
      </c>
      <c r="B9" s="224" t="s">
        <v>1477</v>
      </c>
      <c r="C9" s="225">
        <f ca="1">ROUND(D9*E9/10000,0)</f>
        <v>0</v>
      </c>
      <c r="D9" s="841">
        <f ca="1">IF(B1="",'数据-汇总表'!E5,IF(INDIRECT("'数据-取费表'!c"&amp;$G$1)="住宅",INDIRECT("'数据-取费表'!k"&amp;$G$1),0))</f>
        <v>0</v>
      </c>
      <c r="E9" s="225">
        <f>'数据-取费表'!B27</f>
        <v>0</v>
      </c>
      <c r="F9" s="221"/>
      <c r="G9" s="1853" t="s">
        <v>3541</v>
      </c>
      <c r="H9" s="1133"/>
      <c r="I9" s="1854" t="s">
        <v>1478</v>
      </c>
    </row>
    <row r="10" spans="1:9" s="214" customFormat="1" ht="13.5" customHeight="1">
      <c r="A10" s="775" t="s">
        <v>356</v>
      </c>
      <c r="B10" s="224" t="s">
        <v>1479</v>
      </c>
      <c r="C10" s="225">
        <f ca="1">ROUND(D10*E10/10000,0)</f>
        <v>2635</v>
      </c>
      <c r="D10" s="841">
        <f ca="1">IF(B1="",'数据-汇总表'!E6,IF(INDIRECT("'数据-取费表'!c"&amp;$G$1)="住宅",INDIRECT("'数据-取费表'!s"&amp;$G$1),INDIRECT("'数据-取费表'!k"&amp;$G$1)+INDIRECT("'数据-取费表'!s"&amp;$G$1)))</f>
        <v>131745.91</v>
      </c>
      <c r="E10" s="225">
        <f>'数据-取费表'!B28</f>
        <v>200</v>
      </c>
      <c r="F10" s="221"/>
      <c r="G10" s="226"/>
    </row>
    <row r="11" spans="1:9" s="214" customFormat="1" ht="13.5" hidden="1" customHeight="1">
      <c r="A11" s="227" t="s">
        <v>4</v>
      </c>
      <c r="B11" s="215" t="s">
        <v>1480</v>
      </c>
      <c r="C11" s="211"/>
      <c r="D11" s="843"/>
      <c r="E11" s="218"/>
      <c r="F11" s="218"/>
      <c r="G11" s="219"/>
    </row>
    <row r="12" spans="1:9" s="214" customFormat="1" ht="13.5" hidden="1" customHeight="1">
      <c r="A12" s="227" t="s">
        <v>5</v>
      </c>
      <c r="B12" s="215" t="s">
        <v>1481</v>
      </c>
      <c r="C12" s="211">
        <v>0</v>
      </c>
      <c r="D12" s="843"/>
      <c r="E12" s="228"/>
      <c r="F12" s="221">
        <v>3.0499999999999999E-2</v>
      </c>
      <c r="G12" s="219"/>
    </row>
    <row r="13" spans="1:9" s="214" customFormat="1" ht="13.5" hidden="1" customHeight="1">
      <c r="A13" s="227" t="s">
        <v>6</v>
      </c>
      <c r="B13" s="215" t="s">
        <v>1482</v>
      </c>
      <c r="C13" s="211"/>
      <c r="D13" s="843"/>
      <c r="E13" s="218"/>
      <c r="F13" s="218"/>
      <c r="G13" s="219"/>
    </row>
    <row r="14" spans="1:9" s="214" customFormat="1" ht="13.5" hidden="1" customHeight="1">
      <c r="A14" s="227" t="s">
        <v>7</v>
      </c>
      <c r="B14" s="215" t="s">
        <v>1483</v>
      </c>
      <c r="C14" s="211"/>
      <c r="D14" s="843"/>
      <c r="E14" s="218"/>
      <c r="F14" s="218"/>
      <c r="G14" s="219" t="s">
        <v>1484</v>
      </c>
    </row>
    <row r="15" spans="1:9" s="214" customFormat="1" ht="13.5" hidden="1" customHeight="1">
      <c r="A15" s="227" t="s">
        <v>8</v>
      </c>
      <c r="B15" s="215" t="s">
        <v>1485</v>
      </c>
      <c r="C15" s="220"/>
      <c r="D15" s="843"/>
      <c r="E15" s="218"/>
      <c r="F15" s="218"/>
      <c r="G15" s="219" t="s">
        <v>1486</v>
      </c>
    </row>
    <row r="16" spans="1:9" s="214" customFormat="1" ht="13.5" hidden="1" customHeight="1">
      <c r="A16" s="227" t="s">
        <v>9</v>
      </c>
      <c r="B16" s="215" t="s">
        <v>1483</v>
      </c>
      <c r="C16" s="220"/>
      <c r="D16" s="843"/>
      <c r="E16" s="218"/>
      <c r="F16" s="218"/>
      <c r="G16" s="219"/>
    </row>
    <row r="17" spans="1:7" s="214" customFormat="1" ht="13.5" hidden="1" customHeight="1">
      <c r="A17" s="227" t="s">
        <v>10</v>
      </c>
      <c r="B17" s="215" t="s">
        <v>1487</v>
      </c>
      <c r="C17" s="229"/>
      <c r="D17" s="844"/>
      <c r="E17" s="229"/>
      <c r="F17" s="229"/>
      <c r="G17" s="219" t="s">
        <v>1486</v>
      </c>
    </row>
    <row r="18" spans="1:7" s="214" customFormat="1" ht="13.5" hidden="1" customHeight="1">
      <c r="A18" s="227" t="s">
        <v>11</v>
      </c>
      <c r="B18" s="215" t="s">
        <v>1488</v>
      </c>
      <c r="C18" s="220">
        <v>0</v>
      </c>
      <c r="D18" s="843"/>
      <c r="E18" s="218"/>
      <c r="F18" s="221">
        <v>3.0499999999999999E-2</v>
      </c>
      <c r="G18" s="219" t="s">
        <v>1489</v>
      </c>
    </row>
    <row r="19" spans="1:7" s="223" customFormat="1" ht="13.5" customHeight="1">
      <c r="A19" s="255" t="s">
        <v>1490</v>
      </c>
      <c r="B19" s="210" t="s">
        <v>1491</v>
      </c>
      <c r="C19" s="211" t="str">
        <f>IF(G19="已包含在土地取得成本中","0",ROUND(D19*E19/10000,0))</f>
        <v>0</v>
      </c>
      <c r="D19" s="845">
        <f ca="1">D9+D10</f>
        <v>131745.91</v>
      </c>
      <c r="E19" s="211">
        <f>'数据-取费表'!B31</f>
        <v>200</v>
      </c>
      <c r="F19" s="231"/>
      <c r="G19" s="1852" t="s">
        <v>3542</v>
      </c>
    </row>
    <row r="20" spans="1:7" s="214" customFormat="1" ht="13.5" customHeight="1">
      <c r="A20" s="255" t="s">
        <v>1492</v>
      </c>
      <c r="B20" s="210" t="s">
        <v>1493</v>
      </c>
      <c r="C20" s="232">
        <f ca="1">ROUND((C5+C19)*F20,0)</f>
        <v>1692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7136</v>
      </c>
      <c r="D22" s="235">
        <f ca="1">C26</f>
        <v>8.0000000000000004E-4</v>
      </c>
      <c r="E22" s="236" t="s">
        <v>1497</v>
      </c>
      <c r="F22" s="237">
        <f ca="1">'数据-取费表'!B40</f>
        <v>3.5499999999999997E-2</v>
      </c>
      <c r="G22" s="234" t="str">
        <f>IF('数据-取费表'!B22&lt;=1,"单利计息","复利计息")</f>
        <v>复利计息</v>
      </c>
    </row>
    <row r="23" spans="1:7" s="214" customFormat="1" ht="13.5" customHeight="1">
      <c r="A23" s="776" t="s">
        <v>1501</v>
      </c>
      <c r="B23" s="215" t="s">
        <v>1502</v>
      </c>
      <c r="C23" s="1101">
        <f ca="1">ROUND(IF('数据-取费表'!B22&lt;=1,C5*F22*'数据-取费表'!B23,C5*(POWER((1+F22),'数据-取费表'!B23)-1)),0)</f>
        <v>7067</v>
      </c>
      <c r="D23" s="238"/>
      <c r="E23" s="238"/>
      <c r="F23" s="239"/>
      <c r="G23" s="240" t="s">
        <v>1503</v>
      </c>
    </row>
    <row r="24" spans="1:7" s="214" customFormat="1" ht="13.5" customHeight="1">
      <c r="A24" s="776"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6" t="s">
        <v>1507</v>
      </c>
      <c r="B25" s="215" t="s">
        <v>1508</v>
      </c>
      <c r="C25" s="1101">
        <f ca="1">ROUND(IF('数据-取费表'!B22&lt;=1,C20*F22*'数据-取费表'!B23/2,C20*(POWER((1+F22),'数据-取费表'!B23/2)-1)),0)</f>
        <v>69</v>
      </c>
      <c r="D25" s="238"/>
      <c r="E25" s="241"/>
      <c r="F25" s="239"/>
      <c r="G25" s="242" t="s">
        <v>1509</v>
      </c>
    </row>
    <row r="26" spans="1:7" s="214" customFormat="1">
      <c r="A26" s="776"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9525</v>
      </c>
      <c r="D27" s="235">
        <f ca="1">C29</f>
        <v>2.2000000000000001E-3</v>
      </c>
      <c r="E27" s="236" t="s">
        <v>1513</v>
      </c>
      <c r="F27" s="246">
        <f ca="1">IF(B1="",'数据-取费表'!Q16,INDIRECT("'数据-取费表'!q"&amp;$G$1))</f>
        <v>0.12</v>
      </c>
      <c r="G27" s="247" t="s">
        <v>1514</v>
      </c>
    </row>
    <row r="28" spans="1:7" s="214" customFormat="1" ht="13.5" customHeight="1">
      <c r="A28" s="776" t="s">
        <v>346</v>
      </c>
      <c r="B28" s="248" t="s">
        <v>1515</v>
      </c>
      <c r="C28" s="249">
        <f ca="1">ROUND((C5+C19+C20)*F27*'数据-取费表'!B21/'数据-取费表'!B20,0)</f>
        <v>9525</v>
      </c>
      <c r="D28" s="235"/>
      <c r="E28" s="236"/>
      <c r="F28" s="246"/>
      <c r="G28" s="247"/>
    </row>
    <row r="29" spans="1:7" s="214" customFormat="1" ht="13.5" customHeight="1">
      <c r="A29" s="776" t="s">
        <v>347</v>
      </c>
      <c r="B29" s="248" t="s">
        <v>1516</v>
      </c>
      <c r="C29" s="238">
        <f ca="1">ROUND(C21*F27*'数据-取费表'!B21/'数据-取费表'!B20,4)</f>
        <v>2.2000000000000001E-3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111445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91311</v>
      </c>
      <c r="D33" s="232"/>
      <c r="E33" s="212"/>
      <c r="F33" s="241"/>
      <c r="G33" s="234"/>
    </row>
    <row r="34" spans="1:7" s="258" customFormat="1" ht="13.5" customHeight="1">
      <c r="A34" s="776" t="s">
        <v>346</v>
      </c>
      <c r="B34" s="215" t="s">
        <v>1524</v>
      </c>
      <c r="C34" s="220">
        <f ca="1">IF(B1="",IF(F34=100%,'数据-取费表'!M16,'数据-取费表'!O16),IF(F34=100%,INDIRECT("'数据-取费表'!m"&amp;$G$1)+INDIRECT("'数据-取费表'!t"&amp;$G$1),INDIRECT("'数据-取费表'!o"&amp;$G$1)+INDIRECT("'数据-取费表'!aq"&amp;$G$1)))</f>
        <v>83388</v>
      </c>
      <c r="D34" s="217"/>
      <c r="E34" s="220"/>
      <c r="F34" s="257">
        <f ca="1">IF('数据-取费表'!B24=0,1,IF(B1="",'数据-取费表'!N16,INDIRECT("'数据-取费表'!n"&amp;$G$1)))</f>
        <v>0.95</v>
      </c>
      <c r="G34" s="219" t="s">
        <v>1525</v>
      </c>
    </row>
    <row r="35" spans="1:7" ht="13.5" customHeight="1">
      <c r="A35" s="776" t="s">
        <v>351</v>
      </c>
      <c r="B35" s="215" t="s">
        <v>1526</v>
      </c>
      <c r="C35" s="220">
        <f ca="1">ROUND(C34*F35,0)</f>
        <v>4169</v>
      </c>
      <c r="D35" s="220"/>
      <c r="E35" s="220"/>
      <c r="F35" s="259">
        <f>'数据-取费表'!B33</f>
        <v>0.05</v>
      </c>
      <c r="G35" s="219" t="s">
        <v>1527</v>
      </c>
    </row>
    <row r="36" spans="1:7" ht="24">
      <c r="A36" s="776"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6" t="s">
        <v>353</v>
      </c>
      <c r="B37" s="215" t="s">
        <v>1530</v>
      </c>
      <c r="C37" s="249">
        <f ca="1">ROUND(E37*D37*F34/10000,0)</f>
        <v>2503</v>
      </c>
      <c r="D37" s="217">
        <f ca="1">D19</f>
        <v>131745.91</v>
      </c>
      <c r="E37" s="249">
        <f>'数据-取费表'!B35</f>
        <v>200</v>
      </c>
      <c r="F37" s="259"/>
      <c r="G37" s="261" t="s">
        <v>1531</v>
      </c>
    </row>
    <row r="38" spans="1:7" ht="13.5" customHeight="1">
      <c r="A38" s="776" t="s">
        <v>354</v>
      </c>
      <c r="B38" s="215" t="s">
        <v>1532</v>
      </c>
      <c r="C38" s="220">
        <f ca="1">ROUND(C34*F38,0)</f>
        <v>1251</v>
      </c>
      <c r="D38" s="220"/>
      <c r="E38" s="220"/>
      <c r="F38" s="259">
        <f>'数据-取费表'!B36</f>
        <v>1.4999999999999999E-2</v>
      </c>
      <c r="G38" s="219" t="s">
        <v>1527</v>
      </c>
    </row>
    <row r="39" spans="1:7" s="214" customFormat="1" ht="13.5" customHeight="1">
      <c r="A39" s="255" t="s">
        <v>1533</v>
      </c>
      <c r="B39" s="210" t="s">
        <v>1534</v>
      </c>
      <c r="C39" s="232">
        <f ca="1">ROUND(C33*F20,0)</f>
        <v>1826</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3813</v>
      </c>
      <c r="D41" s="235">
        <f ca="1">C44</f>
        <v>8.0000000000000004E-4</v>
      </c>
      <c r="E41" s="236" t="s">
        <v>1538</v>
      </c>
      <c r="F41" s="237">
        <f ca="1">F22</f>
        <v>3.5499999999999997E-2</v>
      </c>
      <c r="G41" s="234" t="str">
        <f>IF('数据-取费表'!B22&lt;=1,"单利计息","复利计息")</f>
        <v>复利计息</v>
      </c>
    </row>
    <row r="42" spans="1:7" ht="13.5" customHeight="1">
      <c r="A42" s="776" t="s">
        <v>346</v>
      </c>
      <c r="B42" s="215" t="s">
        <v>1542</v>
      </c>
      <c r="C42" s="238">
        <f ca="1">ROUND(IF('数据-取费表'!B22&lt;=1,C33*F22*'数据-取费表'!B21/2,C33*(POWER((1+F22),'数据-取费表'!B21/2)-1)),0)</f>
        <v>3738</v>
      </c>
      <c r="D42" s="238"/>
      <c r="E42" s="238"/>
      <c r="F42" s="239"/>
      <c r="G42" s="3675" t="s">
        <v>1543</v>
      </c>
    </row>
    <row r="43" spans="1:7" ht="13.5" customHeight="1">
      <c r="A43" s="776" t="s">
        <v>347</v>
      </c>
      <c r="B43" s="215" t="s">
        <v>1544</v>
      </c>
      <c r="C43" s="238">
        <f ca="1">ROUND(IF('数据-取费表'!B22&lt;=1,C39*F22*'数据-取费表'!B21/2,C39*(POWER((1+F22),'数据-取费表'!B21/2)-1)),0)</f>
        <v>75</v>
      </c>
      <c r="D43" s="238"/>
      <c r="E43" s="238"/>
      <c r="F43" s="239"/>
      <c r="G43" s="3676"/>
    </row>
    <row r="44" spans="1:7" ht="13.5" customHeight="1">
      <c r="A44" s="776" t="s">
        <v>348</v>
      </c>
      <c r="B44" s="215" t="s">
        <v>1545</v>
      </c>
      <c r="C44" s="238">
        <f ca="1">ROUND(IF('数据-取费表'!B22&lt;=1,C40*F22*'数据-取费表'!B21/2,C40*(POWER((1+F22),'数据-取费表'!B21/2)-1)),4)</f>
        <v>8.0000000000000004E-4</v>
      </c>
      <c r="D44" s="238"/>
      <c r="E44" s="238"/>
      <c r="F44" s="239"/>
      <c r="G44" s="3677"/>
    </row>
    <row r="45" spans="1:7" s="214" customFormat="1" ht="13.5" customHeight="1">
      <c r="A45" s="255" t="s">
        <v>1546</v>
      </c>
      <c r="B45" s="244" t="s">
        <v>1512</v>
      </c>
      <c r="C45" s="245">
        <f ca="1">C46</f>
        <v>11176</v>
      </c>
      <c r="D45" s="235">
        <f ca="1">C47</f>
        <v>2.3999999999999998E-3</v>
      </c>
      <c r="E45" s="236" t="s">
        <v>1538</v>
      </c>
      <c r="F45" s="246">
        <f ca="1">F27</f>
        <v>0.12</v>
      </c>
      <c r="G45" s="247" t="s">
        <v>1547</v>
      </c>
    </row>
    <row r="46" spans="1:7" s="214" customFormat="1" ht="13.5" customHeight="1">
      <c r="A46" s="776" t="s">
        <v>346</v>
      </c>
      <c r="B46" s="248" t="s">
        <v>1548</v>
      </c>
      <c r="C46" s="249">
        <f ca="1">ROUND((C33+C39)*F27,0)</f>
        <v>11176</v>
      </c>
      <c r="D46" s="263"/>
      <c r="E46" s="236"/>
      <c r="F46" s="246"/>
      <c r="G46" s="247"/>
    </row>
    <row r="47" spans="1:7" s="214" customFormat="1" ht="13.5" customHeight="1">
      <c r="A47" s="776" t="s">
        <v>347</v>
      </c>
      <c r="B47" s="248" t="s">
        <v>1549</v>
      </c>
      <c r="C47" s="238">
        <f ca="1">ROUND(C40*F27,4)</f>
        <v>2.3999999999999998E-3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117083</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117083</v>
      </c>
      <c r="D51" s="232"/>
      <c r="E51" s="232"/>
      <c r="F51" s="264"/>
      <c r="G51" s="234" t="s">
        <v>1559</v>
      </c>
    </row>
    <row r="52" spans="1:7" s="208" customFormat="1" ht="16.5" thickBot="1">
      <c r="A52" s="265" t="s">
        <v>1560</v>
      </c>
      <c r="B52" s="266"/>
      <c r="C52" s="267">
        <f ca="1">C31+C51</f>
        <v>228528</v>
      </c>
      <c r="D52" s="266"/>
      <c r="E52" s="266"/>
      <c r="F52" s="266"/>
      <c r="G52" s="268"/>
    </row>
    <row r="55" spans="1:7" ht="15">
      <c r="B55" s="270" t="s">
        <v>1561</v>
      </c>
      <c r="C55" s="271"/>
    </row>
    <row r="56" spans="1:7">
      <c r="B56" s="273" t="s">
        <v>802</v>
      </c>
      <c r="C56" s="275">
        <f ca="1">1-C57</f>
        <v>0.48799999999999999</v>
      </c>
    </row>
    <row r="57" spans="1:7">
      <c r="B57" s="273" t="s">
        <v>803</v>
      </c>
      <c r="C57" s="274">
        <f ca="1">ROUND(C51/C52,3)</f>
        <v>0.51200000000000001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92" t="str">
        <f>项目基本情况!B1</f>
        <v>北京市出让国有建设用地使用权及在建建筑物房地产抵押价值预评估</v>
      </c>
      <c r="C37" s="3492"/>
      <c r="D37" s="3492"/>
      <c r="E37" s="3492"/>
      <c r="F37" s="3492"/>
      <c r="G37" s="3492"/>
      <c r="H37" s="3492"/>
      <c r="I37" s="3492"/>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6"/>
      <c r="C1" s="1855" t="s">
        <v>1562</v>
      </c>
      <c r="D1" s="198"/>
      <c r="E1" s="198"/>
      <c r="F1" s="198"/>
      <c r="G1" s="1122">
        <f>MATCH(B1,'数据-取费表'!A6:A16,0)+5</f>
        <v>9</v>
      </c>
      <c r="H1" s="1057" t="str">
        <f>IF(ISERROR(FIND("住宅",B1)),"非住宅","住宅")</f>
        <v>非住宅</v>
      </c>
    </row>
    <row r="2" spans="1:8" s="200" customFormat="1" ht="18" customHeight="1">
      <c r="A2" s="201" t="s">
        <v>1461</v>
      </c>
      <c r="B2" s="3420">
        <f ca="1">ROUND(IF(D2="——",C52/10000,C52/10000-E2),4)</f>
        <v>130689.59819999999</v>
      </c>
      <c r="C2" s="199" t="s">
        <v>1462</v>
      </c>
      <c r="D2" s="1849" t="s">
        <v>43</v>
      </c>
      <c r="E2" s="1165" t="e">
        <f ca="1">SUMIF(INDIRECT("'"&amp;G2&amp;"'"&amp;"!A:A"),"承租人权益价值",INDIRECT("'"&amp;G2&amp;"'"&amp;"!c:c"))</f>
        <v>#REF!</v>
      </c>
      <c r="F2" s="1850" t="s">
        <v>1462</v>
      </c>
      <c r="G2" s="1851"/>
    </row>
    <row r="3" spans="1:8" s="200" customFormat="1" ht="18" customHeight="1" thickBot="1">
      <c r="A3" s="203" t="s">
        <v>1463</v>
      </c>
      <c r="B3" s="204">
        <f ca="1">ROUND(B2*10000/(IF(B1="",'数据-汇总表'!E3,INDIRECT("'数据-取费表'!k"&amp;$G$1))),0)</f>
        <v>9920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26349182</v>
      </c>
      <c r="D5" s="211" t="s">
        <v>1468</v>
      </c>
      <c r="E5" s="212" t="s">
        <v>1469</v>
      </c>
      <c r="F5" s="212" t="s">
        <v>1470</v>
      </c>
      <c r="G5" s="213"/>
    </row>
    <row r="6" spans="1:8" s="214" customFormat="1" ht="13.5" customHeight="1">
      <c r="A6" s="774" t="s">
        <v>1471</v>
      </c>
      <c r="B6" s="215" t="s">
        <v>1472</v>
      </c>
      <c r="C6" s="216"/>
      <c r="D6" s="217"/>
      <c r="E6" s="218"/>
      <c r="F6" s="218"/>
      <c r="G6" s="219"/>
    </row>
    <row r="7" spans="1:8" s="214" customFormat="1" ht="13.5" customHeight="1">
      <c r="A7" s="774" t="s">
        <v>1473</v>
      </c>
      <c r="B7" s="215" t="s">
        <v>1474</v>
      </c>
      <c r="C7" s="220">
        <f>ROUND(C6*F7,0)</f>
        <v>0</v>
      </c>
      <c r="D7" s="220"/>
      <c r="E7" s="218"/>
      <c r="F7" s="221">
        <f>IF(项目基本情况!B8="出让",0,'数据-取费表'!B48+'数据-取费表'!B49)</f>
        <v>3.0499999999999999E-2</v>
      </c>
      <c r="G7" s="219"/>
    </row>
    <row r="8" spans="1:8" s="223" customFormat="1">
      <c r="A8" s="774" t="s">
        <v>1475</v>
      </c>
      <c r="B8" s="215" t="s">
        <v>1476</v>
      </c>
      <c r="C8" s="220">
        <f ca="1">IF(G8="已包含在土地购买价格中",0,C9+C10)</f>
        <v>26349182</v>
      </c>
      <c r="D8" s="222"/>
      <c r="E8" s="220"/>
      <c r="F8" s="221"/>
      <c r="G8" s="1852"/>
    </row>
    <row r="9" spans="1:8" s="214" customFormat="1" ht="13.5" customHeight="1">
      <c r="A9" s="775" t="s">
        <v>355</v>
      </c>
      <c r="B9" s="224" t="s">
        <v>1477</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356</v>
      </c>
      <c r="B10" s="224" t="s">
        <v>1479</v>
      </c>
      <c r="C10" s="225">
        <f ca="1">ROUND(D10*E10,0)</f>
        <v>26349182</v>
      </c>
      <c r="D10" s="841">
        <f ca="1">IF(B1="",'数据-汇总表'!E6,IF(INDIRECT("'数据-取费表'!c"&amp;$G$1)="住宅",INDIRECT("'数据-取费表'!s"&amp;$G$1),INDIRECT("'数据-取费表'!k"&amp;$G$1)+INDIRECT("'数据-取费表'!s"&amp;$G$1)))</f>
        <v>131745.91</v>
      </c>
      <c r="E10" s="225">
        <f>'数据-取费表'!B28</f>
        <v>200</v>
      </c>
      <c r="F10" s="221"/>
      <c r="G10" s="226"/>
    </row>
    <row r="11" spans="1:8" s="214" customFormat="1" ht="13.5" hidden="1" customHeight="1">
      <c r="A11" s="227" t="s">
        <v>4</v>
      </c>
      <c r="B11" s="215" t="s">
        <v>1480</v>
      </c>
      <c r="C11" s="211"/>
      <c r="D11" s="843"/>
      <c r="E11" s="218"/>
      <c r="F11" s="218"/>
      <c r="G11" s="219"/>
    </row>
    <row r="12" spans="1:8" s="214" customFormat="1" ht="13.5" hidden="1" customHeight="1">
      <c r="A12" s="227" t="s">
        <v>5</v>
      </c>
      <c r="B12" s="215" t="s">
        <v>1563</v>
      </c>
      <c r="C12" s="211">
        <v>0</v>
      </c>
      <c r="D12" s="843"/>
      <c r="E12" s="228"/>
      <c r="F12" s="221">
        <v>3.0499999999999999E-2</v>
      </c>
      <c r="G12" s="219"/>
    </row>
    <row r="13" spans="1:8" s="214" customFormat="1" ht="13.5" hidden="1" customHeight="1">
      <c r="A13" s="227" t="s">
        <v>6</v>
      </c>
      <c r="B13" s="215" t="s">
        <v>1564</v>
      </c>
      <c r="C13" s="211"/>
      <c r="D13" s="843"/>
      <c r="E13" s="218"/>
      <c r="F13" s="218"/>
      <c r="G13" s="219"/>
    </row>
    <row r="14" spans="1:8" s="214" customFormat="1" ht="13.5" hidden="1" customHeight="1">
      <c r="A14" s="227" t="s">
        <v>7</v>
      </c>
      <c r="B14" s="215" t="s">
        <v>1476</v>
      </c>
      <c r="C14" s="211"/>
      <c r="D14" s="843"/>
      <c r="E14" s="218"/>
      <c r="F14" s="218"/>
      <c r="G14" s="219" t="s">
        <v>1565</v>
      </c>
    </row>
    <row r="15" spans="1:8" s="214" customFormat="1" ht="13.5" hidden="1" customHeight="1">
      <c r="A15" s="227" t="s">
        <v>8</v>
      </c>
      <c r="B15" s="215" t="s">
        <v>1566</v>
      </c>
      <c r="C15" s="220"/>
      <c r="D15" s="843"/>
      <c r="E15" s="218"/>
      <c r="F15" s="218"/>
      <c r="G15" s="219" t="s">
        <v>1567</v>
      </c>
    </row>
    <row r="16" spans="1:8" s="214" customFormat="1" ht="13.5" hidden="1" customHeight="1">
      <c r="A16" s="227" t="s">
        <v>9</v>
      </c>
      <c r="B16" s="215" t="s">
        <v>1476</v>
      </c>
      <c r="C16" s="220"/>
      <c r="D16" s="843"/>
      <c r="E16" s="218"/>
      <c r="F16" s="218"/>
      <c r="G16" s="219"/>
    </row>
    <row r="17" spans="1:7" s="214" customFormat="1" ht="13.5" hidden="1" customHeight="1">
      <c r="A17" s="227" t="s">
        <v>10</v>
      </c>
      <c r="B17" s="215" t="s">
        <v>1568</v>
      </c>
      <c r="C17" s="229"/>
      <c r="D17" s="844"/>
      <c r="E17" s="229"/>
      <c r="F17" s="229"/>
      <c r="G17" s="219" t="s">
        <v>1567</v>
      </c>
    </row>
    <row r="18" spans="1:7" s="214" customFormat="1" ht="13.5" hidden="1" customHeight="1">
      <c r="A18" s="227" t="s">
        <v>11</v>
      </c>
      <c r="B18" s="215" t="s">
        <v>1569</v>
      </c>
      <c r="C18" s="220">
        <v>0</v>
      </c>
      <c r="D18" s="843"/>
      <c r="E18" s="218"/>
      <c r="F18" s="221">
        <v>3.0499999999999999E-2</v>
      </c>
      <c r="G18" s="219" t="s">
        <v>1570</v>
      </c>
    </row>
    <row r="19" spans="1:7" s="223" customFormat="1" ht="13.5" customHeight="1">
      <c r="A19" s="255" t="s">
        <v>1571</v>
      </c>
      <c r="B19" s="210" t="s">
        <v>1572</v>
      </c>
      <c r="C19" s="211">
        <f ca="1">IF(G19="已包含在土地取得成本中","0",ROUND(D19*E19,0))</f>
        <v>26349182</v>
      </c>
      <c r="D19" s="845">
        <f ca="1">D9+D10</f>
        <v>131745.91</v>
      </c>
      <c r="E19" s="211">
        <f>'数据-取费表'!B31</f>
        <v>200</v>
      </c>
      <c r="F19" s="231"/>
      <c r="G19" s="1852"/>
    </row>
    <row r="20" spans="1:7" s="214" customFormat="1" ht="13.5" customHeight="1">
      <c r="A20" s="255" t="s">
        <v>1573</v>
      </c>
      <c r="B20" s="210" t="s">
        <v>1574</v>
      </c>
      <c r="C20" s="232">
        <f ca="1">ROUND((C5+C19)*F20,0)</f>
        <v>1053967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4849214</v>
      </c>
      <c r="D22" s="235">
        <f ca="1">C26</f>
        <v>8.9999999999999998E-4</v>
      </c>
      <c r="E22" s="236" t="s">
        <v>1578</v>
      </c>
      <c r="F22" s="237">
        <f ca="1">'数据-取费表'!B40</f>
        <v>3.5499999999999997E-2</v>
      </c>
      <c r="G22" s="234" t="str">
        <f>IF('数据-取费表'!B22&lt;=1,"单利计息","复利计息")</f>
        <v>复利计息</v>
      </c>
    </row>
    <row r="23" spans="1:7" s="214" customFormat="1" ht="13.5" customHeight="1">
      <c r="A23" s="776" t="s">
        <v>1471</v>
      </c>
      <c r="B23" s="215" t="s">
        <v>1582</v>
      </c>
      <c r="C23" s="1124">
        <f ca="1">ROUND(IF('数据-取费表'!B22&lt;=1,C5*F22*'数据-取费表'!B22,C5*(POWER((1+F22),'数据-取费表'!B22)-1)),0)</f>
        <v>2401119</v>
      </c>
      <c r="D23" s="238"/>
      <c r="E23" s="238"/>
      <c r="F23" s="239"/>
      <c r="G23" s="240" t="s">
        <v>1583</v>
      </c>
    </row>
    <row r="24" spans="1:7" s="214" customFormat="1" ht="13.5" customHeight="1">
      <c r="A24" s="776" t="s">
        <v>1473</v>
      </c>
      <c r="B24" s="215" t="s">
        <v>1584</v>
      </c>
      <c r="C24" s="1124">
        <f ca="1">ROUND(IF('数据-取费表'!B22&lt;=1,C19*F22*('数据-取费表'!B19/2+'数据-取费表'!B20),C19*(POWER((1+F22),('数据-取费表'!B19/2+'数据-取费表'!B20))-1)),0)</f>
        <v>2401119</v>
      </c>
      <c r="D24" s="238"/>
      <c r="E24" s="238"/>
      <c r="F24" s="239"/>
      <c r="G24" s="240" t="s">
        <v>1585</v>
      </c>
    </row>
    <row r="25" spans="1:7" s="214" customFormat="1" ht="24">
      <c r="A25" s="776" t="s">
        <v>1475</v>
      </c>
      <c r="B25" s="215" t="s">
        <v>1586</v>
      </c>
      <c r="C25" s="1124">
        <f ca="1">ROUND(IF('数据-取费表'!B22&lt;=1,C20*F22*'数据-取费表'!B22/2,C20*(POWER((1+F22),'数据-取费表'!B22/2)-1)),0)</f>
        <v>46976</v>
      </c>
      <c r="D25" s="238"/>
      <c r="E25" s="241"/>
      <c r="F25" s="239"/>
      <c r="G25" s="242" t="s">
        <v>1587</v>
      </c>
    </row>
    <row r="26" spans="1:7" s="214" customFormat="1">
      <c r="A26" s="776" t="s">
        <v>350</v>
      </c>
      <c r="B26" s="215" t="s">
        <v>1510</v>
      </c>
      <c r="C26" s="238">
        <f ca="1">ROUND(IF('数据-取费表'!B22&lt;=1,F21*F22*'数据-取费表'!B22/2,F21*(POWER((1+F22),'数据-取费表'!B22/2)-1)),4)</f>
        <v>8.9999999999999998E-4</v>
      </c>
      <c r="D26" s="238"/>
      <c r="E26" s="241"/>
      <c r="F26" s="239"/>
      <c r="G26" s="243"/>
    </row>
    <row r="27" spans="1:7" s="214" customFormat="1" ht="24.75">
      <c r="A27" s="255" t="s">
        <v>1511</v>
      </c>
      <c r="B27" s="244" t="s">
        <v>1512</v>
      </c>
      <c r="C27" s="245">
        <f ca="1">C28</f>
        <v>6450280</v>
      </c>
      <c r="D27" s="235">
        <f ca="1">C29</f>
        <v>2.3999999999999998E-3</v>
      </c>
      <c r="E27" s="236" t="s">
        <v>1513</v>
      </c>
      <c r="F27" s="246">
        <f ca="1">IF(B1="",'数据-取费表'!Q16,INDIRECT("'数据-取费表'!q"&amp;$G$1))</f>
        <v>0.12</v>
      </c>
      <c r="G27" s="247" t="s">
        <v>1514</v>
      </c>
    </row>
    <row r="28" spans="1:7" s="214" customFormat="1" ht="13.5" customHeight="1">
      <c r="A28" s="776" t="s">
        <v>346</v>
      </c>
      <c r="B28" s="248" t="s">
        <v>1515</v>
      </c>
      <c r="C28" s="249">
        <f ca="1">ROUND((C5+C19+C20)*F27,0)</f>
        <v>6450280</v>
      </c>
      <c r="D28" s="235"/>
      <c r="E28" s="236"/>
      <c r="F28" s="246"/>
      <c r="G28" s="247"/>
    </row>
    <row r="29" spans="1:7" s="214" customFormat="1" ht="13.5" customHeight="1">
      <c r="A29" s="776" t="s">
        <v>347</v>
      </c>
      <c r="B29" s="248" t="s">
        <v>1516</v>
      </c>
      <c r="C29" s="238">
        <f ca="1">ROUND(C21*F27,4)</f>
        <v>2.3999999999999998E-3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70448154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961169152</v>
      </c>
      <c r="D33" s="232"/>
      <c r="E33" s="212"/>
      <c r="F33" s="241"/>
      <c r="G33" s="234"/>
    </row>
    <row r="34" spans="1:7" s="258" customFormat="1" ht="13.5" customHeight="1">
      <c r="A34" s="776" t="s">
        <v>346</v>
      </c>
      <c r="B34" s="215" t="s">
        <v>1524</v>
      </c>
      <c r="C34" s="220">
        <f ca="1">ROUND(IF(B1="",SUMPRODUCT('数据-取费表'!K6:K14,'数据-取费表'!L6:L14),INDIRECT("'数据-取费表'!l"&amp;$G$1)*INDIRECT("'数据-取费表'!k"&amp;$G$1)+'数据-取费表'!L14*INDIRECT("'数据-取费表'!S"&amp;$G$1)),0)</f>
        <v>877765230</v>
      </c>
      <c r="D34" s="217"/>
      <c r="E34" s="220"/>
      <c r="F34" s="257"/>
      <c r="G34" s="219"/>
    </row>
    <row r="35" spans="1:7" ht="13.5" customHeight="1">
      <c r="A35" s="776" t="s">
        <v>351</v>
      </c>
      <c r="B35" s="215" t="s">
        <v>1526</v>
      </c>
      <c r="C35" s="220">
        <f ca="1">ROUND(C34*F35,0)</f>
        <v>43888262</v>
      </c>
      <c r="D35" s="220"/>
      <c r="E35" s="220"/>
      <c r="F35" s="259">
        <f>'数据-取费表'!B33</f>
        <v>0.05</v>
      </c>
      <c r="G35" s="219" t="s">
        <v>1527</v>
      </c>
    </row>
    <row r="36" spans="1:7" ht="24">
      <c r="A36" s="776"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6" t="s">
        <v>353</v>
      </c>
      <c r="B37" s="215" t="s">
        <v>1530</v>
      </c>
      <c r="C37" s="249">
        <f ca="1">ROUND(E37*D37,0)</f>
        <v>26349182</v>
      </c>
      <c r="D37" s="217">
        <f ca="1">D19</f>
        <v>131745.91</v>
      </c>
      <c r="E37" s="249">
        <f>'数据-取费表'!B35</f>
        <v>200</v>
      </c>
      <c r="F37" s="259"/>
      <c r="G37" s="261"/>
    </row>
    <row r="38" spans="1:7" ht="13.5" customHeight="1">
      <c r="A38" s="776" t="s">
        <v>354</v>
      </c>
      <c r="B38" s="215" t="s">
        <v>1532</v>
      </c>
      <c r="C38" s="220">
        <f ca="1">ROUND(C34*F38,0)</f>
        <v>13166478</v>
      </c>
      <c r="D38" s="220"/>
      <c r="E38" s="220"/>
      <c r="F38" s="259">
        <f>'数据-取费表'!B36</f>
        <v>1.4999999999999999E-2</v>
      </c>
      <c r="G38" s="219" t="s">
        <v>1527</v>
      </c>
    </row>
    <row r="39" spans="1:7" s="214" customFormat="1" ht="13.5" customHeight="1">
      <c r="A39" s="255" t="s">
        <v>1533</v>
      </c>
      <c r="B39" s="210" t="s">
        <v>1534</v>
      </c>
      <c r="C39" s="232">
        <f ca="1">ROUND(C33*F20,0)</f>
        <v>19223383</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43696285</v>
      </c>
      <c r="D41" s="235">
        <f ca="1">C44</f>
        <v>8.9999999999999998E-4</v>
      </c>
      <c r="E41" s="236" t="s">
        <v>1538</v>
      </c>
      <c r="F41" s="237">
        <f ca="1">F22</f>
        <v>3.5499999999999997E-2</v>
      </c>
      <c r="G41" s="234" t="str">
        <f>IF('数据-取费表'!B22&lt;=1,"单利计息","复利计息")</f>
        <v>复利计息</v>
      </c>
    </row>
    <row r="42" spans="1:7" ht="13.5" customHeight="1">
      <c r="A42" s="776" t="s">
        <v>346</v>
      </c>
      <c r="B42" s="215" t="s">
        <v>1542</v>
      </c>
      <c r="C42" s="238">
        <f ca="1">ROUND(IF('数据-取费表'!B22&lt;=1,C33*F22*'数据-取费表'!B20/2,C33*(POWER((1+F22),'数据-取费表'!B20/2)-1)),0)</f>
        <v>42839495</v>
      </c>
      <c r="D42" s="238"/>
      <c r="E42" s="238"/>
      <c r="F42" s="239"/>
      <c r="G42" s="3675" t="s">
        <v>1590</v>
      </c>
    </row>
    <row r="43" spans="1:7" ht="13.5" customHeight="1">
      <c r="A43" s="776" t="s">
        <v>347</v>
      </c>
      <c r="B43" s="215" t="s">
        <v>1544</v>
      </c>
      <c r="C43" s="238">
        <f ca="1">ROUND(IF('数据-取费表'!B22&lt;=1,C39*F22*'数据-取费表'!B20/2,C39*(POWER((1+F22),'数据-取费表'!B20/2)-1)),0)</f>
        <v>856790</v>
      </c>
      <c r="D43" s="238"/>
      <c r="E43" s="238"/>
      <c r="F43" s="239"/>
      <c r="G43" s="3676"/>
    </row>
    <row r="44" spans="1:7" ht="13.5" customHeight="1">
      <c r="A44" s="776" t="s">
        <v>348</v>
      </c>
      <c r="B44" s="215" t="s">
        <v>1545</v>
      </c>
      <c r="C44" s="238">
        <f ca="1">ROUND(IF('数据-取费表'!B22&lt;=1,C40*F22*'数据-取费表'!B20/2,C40*(POWER((1+F22),'数据-取费表'!B20/2)-1)),4)</f>
        <v>8.9999999999999998E-4</v>
      </c>
      <c r="D44" s="238"/>
      <c r="E44" s="238"/>
      <c r="F44" s="239"/>
      <c r="G44" s="3677"/>
    </row>
    <row r="45" spans="1:7" s="214" customFormat="1" ht="13.5" customHeight="1">
      <c r="A45" s="255" t="s">
        <v>1546</v>
      </c>
      <c r="B45" s="244" t="s">
        <v>1512</v>
      </c>
      <c r="C45" s="245">
        <f ca="1">C46</f>
        <v>117647104</v>
      </c>
      <c r="D45" s="235">
        <f ca="1">C47</f>
        <v>2.3999999999999998E-3</v>
      </c>
      <c r="E45" s="236" t="s">
        <v>1538</v>
      </c>
      <c r="F45" s="246">
        <f ca="1">F27</f>
        <v>0.12</v>
      </c>
      <c r="G45" s="247" t="s">
        <v>1547</v>
      </c>
    </row>
    <row r="46" spans="1:7" s="214" customFormat="1" ht="13.5" customHeight="1">
      <c r="A46" s="776" t="s">
        <v>346</v>
      </c>
      <c r="B46" s="248" t="s">
        <v>1548</v>
      </c>
      <c r="C46" s="249">
        <f ca="1">ROUND((C33+C39)*F27,0)</f>
        <v>117647104</v>
      </c>
      <c r="D46" s="263"/>
      <c r="E46" s="236"/>
      <c r="F46" s="246"/>
      <c r="G46" s="247"/>
    </row>
    <row r="47" spans="1:7" s="214" customFormat="1" ht="13.5" customHeight="1">
      <c r="A47" s="776" t="s">
        <v>347</v>
      </c>
      <c r="B47" s="248" t="s">
        <v>1549</v>
      </c>
      <c r="C47" s="238">
        <f ca="1">ROUND(C40*F27,4)</f>
        <v>2.3999999999999998E-3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1236447828</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1236447828</v>
      </c>
      <c r="D51" s="232"/>
      <c r="E51" s="232"/>
      <c r="F51" s="264"/>
      <c r="G51" s="234" t="s">
        <v>1559</v>
      </c>
    </row>
    <row r="52" spans="1:7" s="208" customFormat="1" ht="16.5" thickBot="1">
      <c r="A52" s="265" t="s">
        <v>1560</v>
      </c>
      <c r="B52" s="266"/>
      <c r="C52" s="267">
        <f ca="1">C31+C51</f>
        <v>1306895982</v>
      </c>
      <c r="D52" s="266"/>
      <c r="E52" s="266"/>
      <c r="F52" s="266"/>
      <c r="G52" s="268"/>
    </row>
    <row r="55" spans="1:7" ht="15">
      <c r="B55" s="270" t="s">
        <v>1561</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E40" sqref="E4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1925</v>
      </c>
      <c r="B1" s="197"/>
      <c r="C1" s="201" t="s">
        <v>1926</v>
      </c>
      <c r="D1" s="342">
        <f>SUM(D33:D34,D37:D42)</f>
        <v>102810.34</v>
      </c>
      <c r="E1" s="1991"/>
      <c r="F1" s="1991"/>
      <c r="G1" s="1991"/>
      <c r="H1" s="1991"/>
      <c r="I1" s="1991"/>
      <c r="J1" s="1991"/>
      <c r="K1" s="1115"/>
      <c r="L1" s="1992" t="s">
        <v>1927</v>
      </c>
      <c r="M1" s="859">
        <f>SUMPRODUCT((区片价!B5:B9=I2)*(区片价!C3:G3=E2)*(区片价!C5:G9))</f>
        <v>0</v>
      </c>
      <c r="N1" s="862">
        <f>SUMPRODUCT((因素修正幅度!B5:B9=I2)*(因素修正幅度!C3:G3=E2)*(因素修正幅度!C5:G9))</f>
        <v>0</v>
      </c>
      <c r="O1" s="1993"/>
      <c r="P1" s="1993"/>
      <c r="Q1" s="1115"/>
      <c r="R1" s="1208" t="s">
        <v>1928</v>
      </c>
      <c r="S1" s="1208" t="s">
        <v>1929</v>
      </c>
      <c r="T1" s="1208" t="s">
        <v>1930</v>
      </c>
      <c r="U1" s="1208" t="s">
        <v>1931</v>
      </c>
      <c r="V1" s="1208" t="s">
        <v>1932</v>
      </c>
      <c r="W1" s="1212"/>
      <c r="X1" s="1212"/>
      <c r="Y1" s="1212"/>
      <c r="Z1" s="1212"/>
      <c r="AA1" s="1212"/>
      <c r="AB1" s="1212"/>
      <c r="AC1" s="1213"/>
      <c r="AD1" s="1214"/>
      <c r="AE1" s="1214"/>
      <c r="AF1" s="1214"/>
      <c r="AG1" s="1214"/>
      <c r="AH1" s="1214"/>
      <c r="AI1" s="1214"/>
      <c r="AJ1" s="1215"/>
    </row>
    <row r="2" spans="1:36" ht="15.75">
      <c r="A2" s="201" t="s">
        <v>1933</v>
      </c>
      <c r="B2" s="204">
        <f>C30</f>
        <v>70694</v>
      </c>
      <c r="C2" s="1995" t="s">
        <v>1934</v>
      </c>
      <c r="D2" s="1996" t="s">
        <v>1935</v>
      </c>
      <c r="E2" s="3418" t="s">
        <v>3530</v>
      </c>
      <c r="F2" s="1996" t="s">
        <v>1936</v>
      </c>
      <c r="G2" s="1997" t="str">
        <f>IF(E2="商业",项目基本情况!B37,IF(E2="办公",项目基本情况!C37,IF(E2="住宅",项目基本情况!D37,IF(E2="工业",项目基本情况!E37,项目基本情况!F37))))</f>
        <v>五级</v>
      </c>
      <c r="H2" s="1996" t="s">
        <v>1937</v>
      </c>
      <c r="I2" s="1997" t="str">
        <f>IF(E2="商业",项目基本情况!B38,IF(E2="办公",项目基本情况!C38,IF(E2="住宅",项目基本情况!D38,IF(E2="工业",项目基本情况!E38,项目基本情况!F38))))</f>
        <v>Ⅴ-12</v>
      </c>
      <c r="J2" s="1998"/>
      <c r="K2" s="1115"/>
      <c r="L2" s="1999" t="s">
        <v>1938</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13819</v>
      </c>
      <c r="U2" s="1209"/>
      <c r="V2" s="3357">
        <f>ROUND(T2*U2/10000,0)</f>
        <v>0</v>
      </c>
      <c r="W2" s="1212"/>
      <c r="X2" s="1212"/>
      <c r="Y2" s="1212"/>
      <c r="Z2" s="1212"/>
      <c r="AA2" s="1212"/>
      <c r="AB2" s="1212"/>
      <c r="AC2" s="1213"/>
      <c r="AD2" s="1214"/>
      <c r="AE2" s="1214"/>
      <c r="AF2" s="1214"/>
      <c r="AG2" s="1214"/>
      <c r="AH2" s="1214"/>
      <c r="AI2" s="1214"/>
      <c r="AJ2" s="1215"/>
    </row>
    <row r="3" spans="1:36" ht="15.75">
      <c r="A3" s="203" t="s">
        <v>1939</v>
      </c>
      <c r="B3" s="204">
        <f>ROUND(B2*10000/D1,0)</f>
        <v>6876</v>
      </c>
      <c r="C3" s="1995" t="s">
        <v>1940</v>
      </c>
      <c r="D3" s="1996" t="s">
        <v>1941</v>
      </c>
      <c r="E3" s="3416" t="s">
        <v>2455</v>
      </c>
      <c r="F3" s="2000" t="s">
        <v>3531</v>
      </c>
      <c r="G3" s="748">
        <f>IF(F3="宗地容积率",'数据-汇总表'!I4,IF(F3="估价对象容积率",'数据-汇总表'!I6,'数据-汇总表'!I7))</f>
        <v>2</v>
      </c>
      <c r="H3" s="170" t="s">
        <v>1942</v>
      </c>
      <c r="I3" s="771"/>
      <c r="J3" s="1998" t="s">
        <v>1943</v>
      </c>
      <c r="K3" s="1115"/>
      <c r="L3" s="1999" t="s">
        <v>1944</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10892</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685"/>
      <c r="B4" s="3686"/>
      <c r="C4" s="3686"/>
      <c r="D4" s="3687"/>
      <c r="E4" s="3687"/>
      <c r="F4" s="3687"/>
      <c r="G4" s="3687"/>
      <c r="H4" s="3687"/>
      <c r="I4" s="3687"/>
      <c r="J4" s="3688"/>
      <c r="K4" s="1115"/>
      <c r="L4" s="1999" t="s">
        <v>1945</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9205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1946</v>
      </c>
      <c r="C5" s="749">
        <f>ROUND(IF(E2="商业",C6*C7*C17+C20,(IF(E2="住宅",C6*C13*C17+C20,IF(E2="办公",C6*C12*C17+C20,C6+C20)))),0)</f>
        <v>9965</v>
      </c>
      <c r="D5" s="1335">
        <f>ROUND(C6*C17+C20,0)</f>
        <v>9965</v>
      </c>
      <c r="E5" s="1335"/>
      <c r="F5" s="2003"/>
      <c r="G5" s="2004"/>
      <c r="H5" s="2004"/>
      <c r="I5" s="2004"/>
      <c r="J5" s="2005"/>
      <c r="K5" s="2006"/>
      <c r="L5" s="1999" t="s">
        <v>1947</v>
      </c>
      <c r="M5" s="860">
        <f>SUMPRODUCT((区片价!B87:B126=I2)*(区片价!C3:G3=E2)*(区片价!C87:G126))</f>
        <v>9990</v>
      </c>
      <c r="N5" s="862">
        <f>SUMPRODUCT((因素修正幅度!B87:B126=I2)*(因素修正幅度!C3:G3=E2)*(因素修正幅度!C87:G126))</f>
        <v>9.9000000000000005E-2</v>
      </c>
      <c r="O5" s="1115"/>
      <c r="P5" s="1115"/>
      <c r="Q5" s="1115"/>
      <c r="R5" s="1208">
        <v>4</v>
      </c>
      <c r="S5" s="3357">
        <f>ROUND(SUMPRODUCT((B106:B110=R5)*(C105:N105=G2)*(C106:N110)),4)</f>
        <v>0.88239999999999996</v>
      </c>
      <c r="T5" s="3357">
        <f t="shared" si="0"/>
        <v>8119</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1948</v>
      </c>
      <c r="B6" s="2012" t="s">
        <v>1949</v>
      </c>
      <c r="C6" s="750">
        <f>SUMIF(L1:L12,G2,M1:M12)</f>
        <v>9990</v>
      </c>
      <c r="D6" s="2013"/>
      <c r="E6" s="2014"/>
      <c r="F6" s="2014"/>
      <c r="G6" s="2015"/>
      <c r="H6" s="2015"/>
      <c r="I6" s="2015"/>
      <c r="J6" s="2016"/>
      <c r="K6" s="1380"/>
      <c r="L6" s="1999" t="s">
        <v>1950</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7802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3242</v>
      </c>
      <c r="B7" s="2017" t="s">
        <v>1951</v>
      </c>
      <c r="C7" s="751" t="e">
        <f>IF(C8="不临65条商业街",1,ROUND(1+(1.6*E8+1.2*E9+0.8*E10+0.4*E11)*C9,4))</f>
        <v>#DIV/0!</v>
      </c>
      <c r="D7" s="2018" t="s">
        <v>1952</v>
      </c>
      <c r="E7" s="772"/>
      <c r="F7" s="2019"/>
      <c r="G7" s="2020"/>
      <c r="H7" s="2020"/>
      <c r="I7" s="2020"/>
      <c r="J7" s="2021"/>
      <c r="K7" s="1380"/>
      <c r="L7" s="1999" t="s">
        <v>1953</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1954</v>
      </c>
      <c r="X7" s="1210" t="str">
        <f>G2</f>
        <v>五级</v>
      </c>
      <c r="Y7" s="1210" t="s">
        <v>1955</v>
      </c>
      <c r="Z7" s="1211">
        <f>G3</f>
        <v>2</v>
      </c>
      <c r="AA7" s="1212"/>
      <c r="AB7" s="1212"/>
      <c r="AC7" s="1213"/>
      <c r="AD7" s="1214"/>
      <c r="AE7" s="1214"/>
      <c r="AF7" s="1214"/>
      <c r="AG7" s="1214"/>
      <c r="AH7" s="1214"/>
      <c r="AI7" s="1214"/>
      <c r="AJ7" s="1215"/>
    </row>
    <row r="8" spans="1:36" ht="15">
      <c r="A8" s="3295"/>
      <c r="B8" s="170" t="s">
        <v>1956</v>
      </c>
      <c r="C8" s="2022"/>
      <c r="D8" s="752" t="s">
        <v>112</v>
      </c>
      <c r="E8" s="753" t="e">
        <f>ROUND(C11/E7,4)</f>
        <v>#DIV/0!</v>
      </c>
      <c r="F8" s="2023" t="s">
        <v>1957</v>
      </c>
      <c r="G8" s="2024"/>
      <c r="H8" s="2024"/>
      <c r="I8" s="2024"/>
      <c r="J8" s="2025"/>
      <c r="K8" s="1115"/>
      <c r="L8" s="1999" t="s">
        <v>1958</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682" t="s">
        <v>1959</v>
      </c>
      <c r="X8" s="3683"/>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95"/>
      <c r="B9" s="170" t="s">
        <v>1972</v>
      </c>
      <c r="C9" s="754">
        <f>SUMIF(修正!C71:C138,C8,修正!E71:E138)</f>
        <v>0</v>
      </c>
      <c r="D9" s="171" t="s">
        <v>113</v>
      </c>
      <c r="E9" s="171" t="e">
        <f>ROUND(C11/E7,4)</f>
        <v>#DIV/0!</v>
      </c>
      <c r="F9" s="2023" t="s">
        <v>1973</v>
      </c>
      <c r="G9" s="2024"/>
      <c r="H9" s="2024"/>
      <c r="I9" s="2024"/>
      <c r="J9" s="2025"/>
      <c r="K9" s="1115"/>
      <c r="L9" s="1999" t="s">
        <v>1974</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684"/>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3" t="s">
        <v>1976</v>
      </c>
      <c r="G10" s="2024"/>
      <c r="H10" s="2024"/>
      <c r="I10" s="2024"/>
      <c r="J10" s="2025"/>
      <c r="K10" s="1115"/>
      <c r="L10" s="1999" t="s">
        <v>1977</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68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1978</v>
      </c>
      <c r="C11" s="755">
        <f>C10/4</f>
        <v>0</v>
      </c>
      <c r="D11" s="755" t="s">
        <v>115</v>
      </c>
      <c r="E11" s="755" t="e">
        <f>ROUND(C11/E7,4)</f>
        <v>#DIV/0!</v>
      </c>
      <c r="F11" s="2027" t="s">
        <v>1979</v>
      </c>
      <c r="G11" s="2028"/>
      <c r="H11" s="2028"/>
      <c r="I11" s="2028"/>
      <c r="J11" s="2029"/>
      <c r="K11" s="1115"/>
      <c r="L11" s="1999" t="s">
        <v>1980</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5"/>
      <c r="L12" s="2035" t="s">
        <v>1983</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3247</v>
      </c>
      <c r="B13" s="2030" t="s">
        <v>1981</v>
      </c>
      <c r="C13" s="751">
        <f>ROUND(C16*D16*E16*F16*G16*H16*I16*J16,4)</f>
        <v>0</v>
      </c>
      <c r="D13" s="2031" t="s">
        <v>1982</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1984</v>
      </c>
      <c r="C14" s="2037" t="s">
        <v>1985</v>
      </c>
      <c r="D14" s="1346" t="s">
        <v>1986</v>
      </c>
      <c r="E14" s="27" t="s">
        <v>1987</v>
      </c>
      <c r="F14" s="3308" t="s">
        <v>3248</v>
      </c>
      <c r="G14" s="3308" t="s">
        <v>3248</v>
      </c>
      <c r="H14" s="3308" t="s">
        <v>3248</v>
      </c>
      <c r="I14" s="3308" t="s">
        <v>3248</v>
      </c>
      <c r="J14" s="3308" t="s">
        <v>3248</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3249</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1</v>
      </c>
      <c r="F17" s="3318" t="s">
        <v>3255</v>
      </c>
      <c r="G17" s="3327">
        <f>ROUND(E19/G19,2)</f>
        <v>1</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3253</v>
      </c>
      <c r="E18" s="3325">
        <v>50</v>
      </c>
      <c r="F18" s="3320" t="s">
        <v>3256</v>
      </c>
      <c r="G18" s="3324">
        <f>ROUND(1-(1/(POWER(1+G24,E18))),4)</f>
        <v>0.91279999999999994</v>
      </c>
      <c r="H18" s="3320" t="s">
        <v>3258</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3254</v>
      </c>
      <c r="E19" s="3334">
        <f>'数据-汇总表'!E3</f>
        <v>131745.91</v>
      </c>
      <c r="F19" s="3335" t="s">
        <v>3257</v>
      </c>
      <c r="G19" s="3334">
        <f>'数据-汇总表'!E3</f>
        <v>131745.91</v>
      </c>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689" t="s">
        <v>3259</v>
      </c>
      <c r="B20" s="167" t="s">
        <v>1993</v>
      </c>
      <c r="C20" s="3321">
        <f>ROUND(IF(F21="与级别开发程度一致",0,(G21-E21)/C21),0)</f>
        <v>-25</v>
      </c>
      <c r="D20" s="3337" t="s">
        <v>1997</v>
      </c>
      <c r="E20" s="3338"/>
      <c r="F20" s="3695" t="s">
        <v>1994</v>
      </c>
      <c r="G20" s="3696"/>
      <c r="H20" s="3322" t="s">
        <v>3533</v>
      </c>
      <c r="I20" s="3322" t="s">
        <v>3534</v>
      </c>
      <c r="J20" s="3323" t="s">
        <v>3535</v>
      </c>
      <c r="K20" s="2043" t="s">
        <v>3536</v>
      </c>
      <c r="L20" s="2043" t="s">
        <v>3537</v>
      </c>
      <c r="M20" s="2043" t="s">
        <v>3538</v>
      </c>
      <c r="N20" s="2043" t="s">
        <v>3539</v>
      </c>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690"/>
      <c r="B21" s="2160" t="s">
        <v>1996</v>
      </c>
      <c r="C21" s="2161">
        <f>IF(E3="M4科研用地",SUMPRODUCT((修正!A2:A7=E3)*(修正!B1:M1=G2)*(修正!B2:M7)),SUMPRODUCT((修正!A2:A7=E2)*(修正!B1:M1=G2)*(修正!B2:M7)))</f>
        <v>2</v>
      </c>
      <c r="D21" s="187" t="str">
        <f>IF(OR(G2="八级",G2="九级",G2="十级",G2="十一级",G2="十二级"),"五通一平","七通一平")</f>
        <v>七通一平</v>
      </c>
      <c r="E21" s="2151">
        <f>SUMPRODUCT((修正!B1:M1=G2)*(修正!B17:M17))</f>
        <v>315</v>
      </c>
      <c r="F21" s="2152" t="s">
        <v>3532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1999</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2000</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2001</v>
      </c>
      <c r="E23" s="757">
        <v>44197</v>
      </c>
      <c r="F23" s="2050" t="s">
        <v>2002</v>
      </c>
      <c r="G23" s="758">
        <f>'数据-取费表'!B2</f>
        <v>45147</v>
      </c>
      <c r="H23" s="3339" t="s">
        <v>3261</v>
      </c>
      <c r="I23" s="3340" t="str">
        <f>IF(H23="季度增幅（自定义）",SUMIF(N25:N28,E2,O25:O28),"")</f>
        <v/>
      </c>
      <c r="J23" s="3442" t="s">
        <v>3260</v>
      </c>
      <c r="K23" s="1121"/>
      <c r="L23" s="2051" t="s">
        <v>2003</v>
      </c>
      <c r="M23" s="1324">
        <f>ROUND(SUMIF(地价!B2:G2,E2,地价!B16:G16),0)</f>
        <v>0</v>
      </c>
      <c r="N23" s="2052" t="s">
        <v>2004</v>
      </c>
      <c r="O23" s="759">
        <f>ROUNDDOWN(DATEDIF(E23,G23,"M")/3,0)</f>
        <v>10</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2005</v>
      </c>
      <c r="C24" s="760">
        <f>ROUND(POWER(1+G24,J24-I24)*(POWER(1+G24,I24)-1)/(POWER(1+G24,J24)-1),4)</f>
        <v>0.88939999999999997</v>
      </c>
      <c r="D24" s="2056" t="s">
        <v>2006</v>
      </c>
      <c r="E24" s="1331">
        <f>存贷款利率!E23/100</f>
        <v>4.3499999999999997E-2</v>
      </c>
      <c r="F24" s="2056" t="s">
        <v>1998</v>
      </c>
      <c r="G24" s="764">
        <f>SUMIF(M30:Q30,E2,M33:Q33)</f>
        <v>0.05</v>
      </c>
      <c r="H24" s="2056" t="s">
        <v>2007</v>
      </c>
      <c r="I24" s="765">
        <f>SUMIF('数据-取费表'!C6:C15,E2,'数据-取费表'!F6:F15)/COUNTIF('数据-取费表'!C6:C15,E2)</f>
        <v>34.24</v>
      </c>
      <c r="J24" s="766">
        <f>IF(E2="住宅",70,IF(E2="商业",40,50))</f>
        <v>50</v>
      </c>
      <c r="K24" s="1121"/>
      <c r="L24" s="2057" t="s">
        <v>2008</v>
      </c>
      <c r="M24" s="1325">
        <f>ROUND(SUMPRODUCT((地价!A4:A16=YEAR(G23)&amp;"-"&amp;ROUNDUP(MONTH(G23)/3,0))*(地价!B2:G2=E2)*(地价!B4:G16)),0)</f>
        <v>0</v>
      </c>
      <c r="N24" s="2058" t="s">
        <v>2009</v>
      </c>
      <c r="O24" s="2059" t="s">
        <v>2010</v>
      </c>
      <c r="P24" s="2060" t="s">
        <v>2011</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3340</v>
      </c>
      <c r="C25" s="767">
        <f>IF(B25="容积率修正",IF(G3&lt;10,D26,J26),C27)</f>
        <v>1</v>
      </c>
      <c r="D25" s="2063"/>
      <c r="E25" s="2063"/>
      <c r="F25" s="2063"/>
      <c r="G25" s="2063"/>
      <c r="H25" s="2063"/>
      <c r="I25" s="2063"/>
      <c r="J25" s="2064"/>
      <c r="K25" s="1121"/>
      <c r="L25" s="2784"/>
      <c r="M25" s="2784"/>
      <c r="N25" s="2065" t="s">
        <v>2012</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2013</v>
      </c>
      <c r="B26" s="2066" t="s">
        <v>2014</v>
      </c>
      <c r="C26" s="3341" t="s">
        <v>3262</v>
      </c>
      <c r="D26" s="1348">
        <f>IF(E26=G26,F26,IF(G3&lt;10,ROUND(F26+(H26-F26)*(G3-E26)/(G26-E26),4),"——"))</f>
        <v>1</v>
      </c>
      <c r="E26" s="748">
        <f>ROUNDDOWN(G3,1)</f>
        <v>2</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3263</v>
      </c>
      <c r="J26" s="768" t="str">
        <f>IF(G3&gt;=10,D115,"——")</f>
        <v>——</v>
      </c>
      <c r="K26" s="1121"/>
      <c r="L26" s="2784"/>
      <c r="M26" s="2784"/>
      <c r="N26" s="2065" t="s">
        <v>2015</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2016</v>
      </c>
      <c r="B27" s="2067" t="s">
        <v>2017</v>
      </c>
      <c r="C27" s="837">
        <f>ROUND(IF(I3&lt;6,SUMPRODUCT((B106:B110=I3)*(C105:N105=G2)*(C106:N110)),SUMIF(C105:N105,G2,C112:N112)),4)</f>
        <v>0</v>
      </c>
      <c r="D27" s="2042"/>
      <c r="E27" s="2042"/>
      <c r="F27" s="2068"/>
      <c r="G27" s="2069"/>
      <c r="H27" s="2070"/>
      <c r="I27" s="2071"/>
      <c r="J27" s="2072"/>
      <c r="K27" s="1115"/>
      <c r="L27" s="1993"/>
      <c r="M27" s="1993"/>
      <c r="N27" s="2065" t="s">
        <v>2018</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2019</v>
      </c>
      <c r="C28" s="756">
        <f>SUMIF(A47:A101,E2,B47:B101)</f>
        <v>1.0126999999999999</v>
      </c>
      <c r="D28" s="2048"/>
      <c r="E28" s="2073"/>
      <c r="F28" s="2073"/>
      <c r="G28" s="2073"/>
      <c r="H28" s="2073"/>
      <c r="I28" s="2073"/>
      <c r="J28" s="2074"/>
      <c r="K28" s="1121"/>
      <c r="L28" s="2784"/>
      <c r="M28" s="2784"/>
      <c r="N28" s="2075"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2021</v>
      </c>
      <c r="C29" s="761"/>
      <c r="D29" s="2020"/>
      <c r="E29" s="2020"/>
      <c r="F29" s="2077"/>
      <c r="G29" s="2020"/>
      <c r="H29" s="2020"/>
      <c r="I29" s="2020"/>
      <c r="J29" s="2021"/>
      <c r="K29" s="1115"/>
      <c r="L29" s="1993"/>
      <c r="M29" s="1993"/>
      <c r="N29" s="2781" t="s">
        <v>2022</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2023</v>
      </c>
      <c r="C30" s="2317">
        <f>IF(B25="容积率修正",E33+SUM(E37:E42),SUM(V2:V16)+SUM(E37:E42))</f>
        <v>70694</v>
      </c>
      <c r="D30" s="2079"/>
      <c r="E30" s="2042"/>
      <c r="F30" s="2080"/>
      <c r="G30" s="2042"/>
      <c r="H30" s="2042"/>
      <c r="I30" s="2042"/>
      <c r="J30" s="2081"/>
      <c r="K30" s="1115"/>
      <c r="L30" s="3347" t="s">
        <v>1935</v>
      </c>
      <c r="M30" s="3348" t="s">
        <v>1989</v>
      </c>
      <c r="N30" s="3348" t="s">
        <v>1990</v>
      </c>
      <c r="O30" s="3348" t="s">
        <v>1991</v>
      </c>
      <c r="P30" s="3348" t="s">
        <v>1992</v>
      </c>
      <c r="Q30" s="3351" t="s">
        <v>3267</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2024</v>
      </c>
      <c r="C31" s="762">
        <f>E34+SUM(I37:I42)</f>
        <v>1054</v>
      </c>
      <c r="D31" s="2083"/>
      <c r="E31" s="2084"/>
      <c r="F31" s="2085"/>
      <c r="G31" s="2084"/>
      <c r="H31" s="2084"/>
      <c r="I31" s="2084"/>
      <c r="J31" s="2086"/>
      <c r="K31" s="1115"/>
      <c r="L31" s="3349" t="s">
        <v>1995</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5"/>
      <c r="L32" s="3350" t="s">
        <v>1998</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2029</v>
      </c>
      <c r="C33" s="175">
        <f>ROUND(C5*C22*C23*C24*C25*C28,0)</f>
        <v>9201</v>
      </c>
      <c r="D33" s="3489">
        <f>'数据-汇总表'!F19</f>
        <v>72248.599999999991</v>
      </c>
      <c r="E33" s="769">
        <f>ROUND(C33*D33/10000,0)</f>
        <v>66476</v>
      </c>
      <c r="F33" s="3342" t="s">
        <v>3265</v>
      </c>
      <c r="G33" s="2095"/>
      <c r="H33" s="2095"/>
      <c r="I33" s="2095"/>
      <c r="J33" s="2096"/>
      <c r="K33" s="1115"/>
      <c r="L33" s="3345" t="s">
        <v>3268</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2030</v>
      </c>
      <c r="C34" s="187">
        <f>ROUND(IF(E2="工业",C33*M42,IF(B25="楼层修正",SUM(V2:V16)*M41*10000/D34,C33*M41)),0)</f>
        <v>2300</v>
      </c>
      <c r="D34" s="2099"/>
      <c r="E34" s="769">
        <f>ROUND(IF(B25="楼层修正",SUM(V2:V16)*M40,C34*D34/10000),0)</f>
        <v>0</v>
      </c>
      <c r="F34" s="2100" t="s">
        <v>2031</v>
      </c>
      <c r="G34" s="2101"/>
      <c r="H34" s="2101"/>
      <c r="I34" s="2101"/>
      <c r="J34" s="2102"/>
      <c r="K34" s="1115"/>
      <c r="L34" s="3345" t="s">
        <v>3269</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2032</v>
      </c>
      <c r="C35" s="3343" t="s">
        <v>3266</v>
      </c>
      <c r="D35" s="2033"/>
      <c r="E35" s="2105"/>
      <c r="F35" s="2105"/>
      <c r="G35" s="2031" t="s">
        <v>2033</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53" t="s">
        <v>3270</v>
      </c>
      <c r="L36" s="3443">
        <f ca="1">'数据-取费表'!B40</f>
        <v>3.5499999999999997E-2</v>
      </c>
      <c r="M36" s="3354">
        <f ca="1">ROUND($L$36*(1+M31),3)</f>
        <v>4.3999999999999997E-2</v>
      </c>
      <c r="N36" s="3354">
        <f ca="1">ROUND($L$36*(1+N31),3)</f>
        <v>4.2999999999999997E-2</v>
      </c>
      <c r="O36" s="3354">
        <f ca="1">ROUND($L$36*(1+O31),3)</f>
        <v>4.1000000000000002E-2</v>
      </c>
      <c r="P36" s="3354">
        <f ca="1">ROUND($L$36*(1+P31),3)</f>
        <v>3.9E-2</v>
      </c>
      <c r="Q36" s="3354">
        <f ca="1">ROUND($L$36*(1+Q31),3)</f>
        <v>4.1000000000000002E-2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693"/>
      <c r="B37" s="2109" t="s">
        <v>2035</v>
      </c>
      <c r="C37" s="175">
        <f>ROUND(D5*C22*C23*C24*C28*F37,0)</f>
        <v>5520</v>
      </c>
      <c r="D37" s="3489"/>
      <c r="E37" s="171">
        <f>ROUND(C37*D37/10000,0)</f>
        <v>0</v>
      </c>
      <c r="F37" s="171">
        <f>SUMIF(修正!A57:A68,G2,修正!B57:B68)</f>
        <v>0.6</v>
      </c>
      <c r="G37" s="171">
        <f>ROUND(IF(E2="工业",C37*$M$42,C37*$M$41),0)</f>
        <v>1380</v>
      </c>
      <c r="H37" s="171">
        <f>D37</f>
        <v>0</v>
      </c>
      <c r="I37" s="171">
        <f>ROUND(G37*H37/10000,0)</f>
        <v>0</v>
      </c>
      <c r="J37" s="3008"/>
      <c r="K37" s="3355" t="s">
        <v>3271</v>
      </c>
      <c r="L37" s="3353">
        <f ca="1">L36+K38</f>
        <v>4.0499999999999994E-2</v>
      </c>
      <c r="M37" s="3354">
        <f ca="1">ROUND($L$37*(1+M31),3)</f>
        <v>5.0999999999999997E-2</v>
      </c>
      <c r="N37" s="3354">
        <f t="shared" ref="N37:Q37" ca="1" si="3">ROUND($L$37*(1+N31),3)</f>
        <v>4.9000000000000002E-2</v>
      </c>
      <c r="O37" s="3354">
        <f t="shared" ca="1" si="3"/>
        <v>4.7E-2</v>
      </c>
      <c r="P37" s="3354">
        <f t="shared" ca="1" si="3"/>
        <v>4.4999999999999998E-2</v>
      </c>
      <c r="Q37" s="3354">
        <f t="shared" ca="1" si="3"/>
        <v>4.7E-2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694"/>
      <c r="B38" s="2037" t="s">
        <v>2036</v>
      </c>
      <c r="C38" s="175">
        <f>ROUND(D5*C22*C23*C24*C28*F38,0)</f>
        <v>2760</v>
      </c>
      <c r="D38" s="2094"/>
      <c r="E38" s="171">
        <f t="shared" ref="E38:E42" si="4">ROUND(C38*D38/10000,0)</f>
        <v>0</v>
      </c>
      <c r="F38" s="171">
        <f>SUMIF(修正!A57:A68,G2,修正!C57:C68)</f>
        <v>0.3</v>
      </c>
      <c r="G38" s="171">
        <f>ROUND(IF(E2="工业",C38*$M$42,C38*$M$41),0)</f>
        <v>690</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694"/>
      <c r="B39" s="2037" t="s">
        <v>3264</v>
      </c>
      <c r="C39" s="175">
        <f>ROUND(D5*C22*C23*C24*C28*F39,0)</f>
        <v>2300</v>
      </c>
      <c r="D39" s="2094"/>
      <c r="E39" s="171">
        <f t="shared" si="4"/>
        <v>0</v>
      </c>
      <c r="F39" s="171">
        <f>SUMIF(修正!A57:A68,G2,修正!D57:D68)</f>
        <v>0.25</v>
      </c>
      <c r="G39" s="171">
        <f>ROUND(IF(E2="工业",C39*$M$42,C39*$M$41),0)</f>
        <v>575</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2037</v>
      </c>
      <c r="C40" s="171">
        <f>ROUND(D5*C22*C23*C24*C28*F40,0)</f>
        <v>2300</v>
      </c>
      <c r="D40" s="2094"/>
      <c r="E40" s="171">
        <f t="shared" si="4"/>
        <v>0</v>
      </c>
      <c r="F40" s="175">
        <f>SUMIF(修正!A57:A68,G2,修正!E57:E68)</f>
        <v>0.25</v>
      </c>
      <c r="G40" s="171">
        <f>ROUND(IF(E2="工业",C40*$M$42,C40*$M$41),0)</f>
        <v>575</v>
      </c>
      <c r="H40" s="171">
        <f t="shared" si="5"/>
        <v>0</v>
      </c>
      <c r="I40" s="171">
        <f t="shared" si="6"/>
        <v>0</v>
      </c>
      <c r="J40" s="2110"/>
      <c r="L40" s="2112" t="s">
        <v>2038</v>
      </c>
      <c r="M40" s="2113"/>
      <c r="Z40" s="1116"/>
      <c r="AA40" s="1116"/>
      <c r="AB40" s="1116"/>
      <c r="AC40" s="1116"/>
      <c r="AD40" s="1116"/>
      <c r="AE40" s="1116"/>
      <c r="AF40" s="1116"/>
      <c r="AG40" s="1116"/>
      <c r="AH40" s="1116"/>
      <c r="AI40" s="1116"/>
      <c r="AJ40" s="1116"/>
    </row>
    <row r="41" spans="1:37" s="1115" customFormat="1">
      <c r="A41" s="2111"/>
      <c r="B41" s="2037" t="s">
        <v>2039</v>
      </c>
      <c r="C41" s="171">
        <f>ROUND(D5*C22*C23*C44*C28*F41,0)</f>
        <v>2300</v>
      </c>
      <c r="D41" s="2094"/>
      <c r="E41" s="171">
        <f t="shared" si="4"/>
        <v>0</v>
      </c>
      <c r="F41" s="175">
        <f>SUMIF(修正!A57:A68,G2,修正!F57:F68)</f>
        <v>0.25</v>
      </c>
      <c r="G41" s="171">
        <f>ROUND(IF(E2="工业",C41*$M$42,C41*$M$41),0)</f>
        <v>575</v>
      </c>
      <c r="H41" s="171">
        <f t="shared" si="5"/>
        <v>0</v>
      </c>
      <c r="I41" s="171">
        <f t="shared" si="6"/>
        <v>0</v>
      </c>
      <c r="J41" s="2110"/>
      <c r="L41" s="3356" t="s">
        <v>3272</v>
      </c>
      <c r="M41" s="2114">
        <v>0.25</v>
      </c>
      <c r="Z41" s="1116"/>
      <c r="AA41" s="1116"/>
      <c r="AB41" s="1116"/>
      <c r="AC41" s="1116"/>
      <c r="AD41" s="1116"/>
      <c r="AE41" s="1116"/>
      <c r="AF41" s="1116"/>
      <c r="AG41" s="1116"/>
      <c r="AH41" s="1116"/>
      <c r="AI41" s="1116"/>
      <c r="AJ41" s="1116"/>
    </row>
    <row r="42" spans="1:37" s="1115" customFormat="1" ht="13.5" thickBot="1">
      <c r="A42" s="2097"/>
      <c r="B42" s="2115" t="s">
        <v>2040</v>
      </c>
      <c r="C42" s="187">
        <f>ROUND(D5*C22*C23*C44*C28*F42,0)</f>
        <v>1380</v>
      </c>
      <c r="D42" s="3490">
        <f>'数据-汇总表'!G21</f>
        <v>30561.740000000005</v>
      </c>
      <c r="E42" s="187">
        <f t="shared" si="4"/>
        <v>4218</v>
      </c>
      <c r="F42" s="763">
        <f>SUMIF(修正!A57:A68,G2,修正!G57:G68)</f>
        <v>0.15</v>
      </c>
      <c r="G42" s="187">
        <f>ROUND(IF(E2="工业",C42*$M$42,C42*$M$41),0)</f>
        <v>345</v>
      </c>
      <c r="H42" s="187">
        <f t="shared" si="5"/>
        <v>30561.740000000005</v>
      </c>
      <c r="I42" s="187">
        <f t="shared" si="6"/>
        <v>1054</v>
      </c>
      <c r="J42" s="2116"/>
      <c r="L42" s="2117" t="s">
        <v>1992</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2121</v>
      </c>
      <c r="C44" s="342">
        <f>ROUND(POWER(1+E44,H44-G44)*(POWER(1+E44,G44)-1)/(POWER(1+E44,H44)-1),4)</f>
        <v>0.88939999999999997</v>
      </c>
      <c r="D44" s="171" t="s">
        <v>1998</v>
      </c>
      <c r="E44" s="2149">
        <f>G24</f>
        <v>0.05</v>
      </c>
      <c r="F44" s="171" t="s">
        <v>2007</v>
      </c>
      <c r="G44" s="183">
        <f>项目基本情况!I15</f>
        <v>34.24</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2041</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2042</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2043</v>
      </c>
      <c r="B49" s="1347" t="s">
        <v>2044</v>
      </c>
      <c r="C49" s="1347" t="s">
        <v>2045</v>
      </c>
      <c r="D49" s="1347" t="s">
        <v>2046</v>
      </c>
      <c r="E49" s="739" t="s">
        <v>2047</v>
      </c>
      <c r="F49" s="2127" t="s">
        <v>2048</v>
      </c>
      <c r="G49" s="1347" t="s">
        <v>310</v>
      </c>
      <c r="H49" s="2128" t="s">
        <v>2049</v>
      </c>
      <c r="I49" s="1347" t="s">
        <v>2050</v>
      </c>
      <c r="J49" s="552" t="s">
        <v>1720</v>
      </c>
      <c r="K49" s="552" t="s">
        <v>1721</v>
      </c>
      <c r="L49" s="552" t="s">
        <v>1722</v>
      </c>
      <c r="M49" s="552" t="s">
        <v>1723</v>
      </c>
      <c r="N49" s="552" t="s">
        <v>1724</v>
      </c>
      <c r="AA49" s="1116"/>
      <c r="AB49" s="1116"/>
      <c r="AC49" s="1116"/>
      <c r="AD49" s="1116"/>
      <c r="AE49" s="1116"/>
      <c r="AF49" s="1116"/>
      <c r="AG49" s="1116"/>
      <c r="AH49" s="1116"/>
      <c r="AI49" s="1116"/>
      <c r="AJ49" s="1116"/>
      <c r="AK49" s="1116"/>
    </row>
    <row r="50" spans="1:37" s="1115" customFormat="1" ht="38.25">
      <c r="A50" s="2126" t="s">
        <v>2051</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6" t="s">
        <v>2052</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5" t="s">
        <v>3274</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2053</v>
      </c>
      <c r="B53" s="2131" t="s">
        <v>2054</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2055</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2056</v>
      </c>
      <c r="B55" s="2132" t="s">
        <v>2057</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3" t="s">
        <v>2058</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3" t="s">
        <v>2059</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4" t="s">
        <v>2060</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2061</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2043</v>
      </c>
      <c r="B60" s="1347"/>
      <c r="C60" s="1347" t="s">
        <v>2045</v>
      </c>
      <c r="D60" s="1347" t="s">
        <v>2046</v>
      </c>
      <c r="E60" s="739" t="s">
        <v>2047</v>
      </c>
      <c r="F60" s="2127" t="s">
        <v>2062</v>
      </c>
      <c r="G60" s="1347" t="s">
        <v>310</v>
      </c>
      <c r="H60" s="2128" t="s">
        <v>2049</v>
      </c>
      <c r="I60" s="1347" t="s">
        <v>2050</v>
      </c>
      <c r="J60" s="552" t="s">
        <v>1720</v>
      </c>
      <c r="K60" s="552" t="s">
        <v>1721</v>
      </c>
      <c r="L60" s="552" t="s">
        <v>1722</v>
      </c>
      <c r="M60" s="552" t="s">
        <v>1723</v>
      </c>
      <c r="N60" s="552" t="s">
        <v>1724</v>
      </c>
      <c r="AA60" s="1116"/>
      <c r="AB60" s="1116"/>
      <c r="AC60" s="1116"/>
      <c r="AD60" s="1116"/>
      <c r="AE60" s="1116"/>
      <c r="AF60" s="1116"/>
      <c r="AG60" s="1116"/>
      <c r="AH60" s="1116"/>
      <c r="AI60" s="1116"/>
      <c r="AJ60" s="1116"/>
      <c r="AK60" s="1116"/>
    </row>
    <row r="61" spans="1:37" s="1115" customFormat="1" ht="38.25">
      <c r="A61" s="2126" t="s">
        <v>2063</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6" t="s">
        <v>2052</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5" t="s">
        <v>3274</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6" t="s">
        <v>2053</v>
      </c>
      <c r="B64" s="2131" t="s">
        <v>2054</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2055</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6" t="s">
        <v>2056</v>
      </c>
      <c r="B66" s="2132" t="s">
        <v>2057</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6" t="s">
        <v>2058</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6" t="s">
        <v>2059</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4" t="s">
        <v>2060</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2064</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2043</v>
      </c>
      <c r="B71" s="1347"/>
      <c r="C71" s="1347" t="s">
        <v>2045</v>
      </c>
      <c r="D71" s="1347" t="s">
        <v>2046</v>
      </c>
      <c r="E71" s="739" t="s">
        <v>2047</v>
      </c>
      <c r="F71" s="2127" t="s">
        <v>2062</v>
      </c>
      <c r="G71" s="1347" t="s">
        <v>310</v>
      </c>
      <c r="H71" s="2128" t="s">
        <v>2049</v>
      </c>
      <c r="I71" s="1347" t="s">
        <v>2050</v>
      </c>
      <c r="J71" s="552" t="s">
        <v>1720</v>
      </c>
      <c r="K71" s="552" t="s">
        <v>1721</v>
      </c>
      <c r="L71" s="552" t="s">
        <v>1722</v>
      </c>
      <c r="M71" s="552" t="s">
        <v>1723</v>
      </c>
      <c r="N71" s="552" t="s">
        <v>1724</v>
      </c>
      <c r="AA71" s="1116"/>
      <c r="AB71" s="1116"/>
      <c r="AC71" s="1116"/>
      <c r="AD71" s="1116"/>
      <c r="AE71" s="1116"/>
      <c r="AF71" s="1116"/>
      <c r="AG71" s="1116"/>
      <c r="AH71" s="1116"/>
      <c r="AI71" s="1116"/>
      <c r="AJ71" s="1116"/>
      <c r="AK71" s="1116"/>
    </row>
    <row r="72" spans="1:37" s="1115" customFormat="1" ht="51">
      <c r="A72" s="2126" t="s">
        <v>2065</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6" t="s">
        <v>2052</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5" t="s">
        <v>3274</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2066</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c r="A76" s="2126" t="s">
        <v>2058</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c r="A77" s="2126" t="s">
        <v>2059</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2056</v>
      </c>
      <c r="B78" s="2132" t="s">
        <v>2057</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c r="A79" s="2126" t="s">
        <v>2060</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thickBot="1">
      <c r="A80" s="2134" t="s">
        <v>2067</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2068</v>
      </c>
      <c r="B81" s="2123">
        <f>1+E83</f>
        <v>1</v>
      </c>
      <c r="C81" s="737"/>
      <c r="D81" s="737"/>
      <c r="E81" s="738"/>
      <c r="F81" s="2125"/>
      <c r="G81" s="3"/>
      <c r="H81" s="3"/>
      <c r="I81" s="3"/>
      <c r="J81" s="4"/>
      <c r="K81" s="4"/>
      <c r="L81" s="4"/>
      <c r="M81" s="4"/>
      <c r="N81" s="4"/>
      <c r="Z81" s="1994"/>
      <c r="AA81" s="2049"/>
      <c r="AG81" s="1117"/>
      <c r="AK81" s="2049"/>
    </row>
    <row r="82" spans="1:37" ht="24.75">
      <c r="A82" s="2126" t="s">
        <v>2043</v>
      </c>
      <c r="B82" s="1347"/>
      <c r="C82" s="1347" t="s">
        <v>2045</v>
      </c>
      <c r="D82" s="1347" t="s">
        <v>2046</v>
      </c>
      <c r="E82" s="739" t="s">
        <v>2047</v>
      </c>
      <c r="F82" s="2127" t="s">
        <v>2062</v>
      </c>
      <c r="G82" s="1347" t="s">
        <v>310</v>
      </c>
      <c r="H82" s="2128" t="s">
        <v>2049</v>
      </c>
      <c r="I82" s="1347" t="s">
        <v>2050</v>
      </c>
      <c r="J82" s="552" t="s">
        <v>1720</v>
      </c>
      <c r="K82" s="552" t="s">
        <v>1721</v>
      </c>
      <c r="L82" s="552" t="s">
        <v>1722</v>
      </c>
      <c r="M82" s="552" t="s">
        <v>1723</v>
      </c>
      <c r="N82" s="552" t="s">
        <v>1724</v>
      </c>
      <c r="Z82" s="1994"/>
      <c r="AA82" s="2049"/>
      <c r="AG82" s="1117"/>
      <c r="AK82" s="2049"/>
    </row>
    <row r="83" spans="1:37" ht="38.25">
      <c r="A83" s="2126" t="s">
        <v>2069</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3">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2052</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3">
        <v>0.3</v>
      </c>
      <c r="J84" s="1060">
        <f t="shared" si="24"/>
        <v>0</v>
      </c>
      <c r="K84" s="1060">
        <f t="shared" si="25"/>
        <v>0</v>
      </c>
      <c r="L84" s="1060">
        <v>0</v>
      </c>
      <c r="M84" s="1060">
        <f t="shared" si="26"/>
        <v>0</v>
      </c>
      <c r="N84" s="1060">
        <f t="shared" si="26"/>
        <v>0</v>
      </c>
      <c r="Z84" s="1994"/>
      <c r="AA84" s="2049"/>
      <c r="AG84" s="1117"/>
      <c r="AK84" s="2049"/>
    </row>
    <row r="85" spans="1:37" ht="36">
      <c r="A85" s="3365" t="s">
        <v>3275</v>
      </c>
      <c r="B85" s="2130">
        <f>估价对象房地状况!G17</f>
        <v>0</v>
      </c>
      <c r="C85" s="2040"/>
      <c r="D85" s="1061">
        <f t="shared" si="22"/>
        <v>0</v>
      </c>
      <c r="E85" s="743"/>
      <c r="F85" s="1810"/>
      <c r="G85" s="1059"/>
      <c r="H85" s="1062" t="str">
        <f t="shared" si="23"/>
        <v>——</v>
      </c>
      <c r="I85" s="3363">
        <v>0.1</v>
      </c>
      <c r="J85" s="1060">
        <f t="shared" si="24"/>
        <v>0</v>
      </c>
      <c r="K85" s="1060">
        <f t="shared" si="25"/>
        <v>0</v>
      </c>
      <c r="L85" s="1060">
        <v>0</v>
      </c>
      <c r="M85" s="1060">
        <f t="shared" si="26"/>
        <v>0</v>
      </c>
      <c r="N85" s="1060">
        <f t="shared" si="26"/>
        <v>0</v>
      </c>
      <c r="Z85" s="1994"/>
      <c r="AA85" s="2049"/>
      <c r="AG85" s="1117"/>
      <c r="AK85" s="2049"/>
    </row>
    <row r="86" spans="1:37" ht="14.25">
      <c r="A86" s="2126" t="s">
        <v>2066</v>
      </c>
      <c r="B86" s="2130">
        <f>估价对象房地状况!G22</f>
        <v>0</v>
      </c>
      <c r="C86" s="2040"/>
      <c r="D86" s="1061">
        <f t="shared" si="22"/>
        <v>0</v>
      </c>
      <c r="E86" s="743"/>
      <c r="F86" s="1810"/>
      <c r="G86" s="1059"/>
      <c r="H86" s="1062" t="str">
        <f t="shared" si="23"/>
        <v>——</v>
      </c>
      <c r="I86" s="3363">
        <v>0.05</v>
      </c>
      <c r="J86" s="1060">
        <f t="shared" si="24"/>
        <v>0</v>
      </c>
      <c r="K86" s="1060">
        <f t="shared" si="25"/>
        <v>0</v>
      </c>
      <c r="L86" s="1060">
        <v>0</v>
      </c>
      <c r="M86" s="1060">
        <f t="shared" si="26"/>
        <v>0</v>
      </c>
      <c r="N86" s="1060">
        <f t="shared" si="26"/>
        <v>0</v>
      </c>
      <c r="Z86" s="1994"/>
      <c r="AA86" s="2049"/>
      <c r="AG86" s="1117"/>
      <c r="AK86" s="2049"/>
    </row>
    <row r="87" spans="1:37" ht="25.5">
      <c r="A87" s="2126" t="s">
        <v>2058</v>
      </c>
      <c r="B87" s="1322" t="str">
        <f>估价对象房地状况!G19</f>
        <v>估价对象所在区域公共配套设施齐备情况</v>
      </c>
      <c r="C87" s="2040"/>
      <c r="D87" s="1061">
        <f t="shared" si="22"/>
        <v>0</v>
      </c>
      <c r="E87" s="743"/>
      <c r="F87" s="1810"/>
      <c r="G87" s="1059"/>
      <c r="H87" s="1062" t="str">
        <f t="shared" si="23"/>
        <v>——</v>
      </c>
      <c r="I87" s="3363">
        <v>0.06</v>
      </c>
      <c r="J87" s="1060">
        <f t="shared" si="24"/>
        <v>0</v>
      </c>
      <c r="K87" s="1060">
        <f t="shared" si="25"/>
        <v>0</v>
      </c>
      <c r="L87" s="1060">
        <v>0</v>
      </c>
      <c r="M87" s="1060">
        <f t="shared" si="26"/>
        <v>0</v>
      </c>
      <c r="N87" s="1060">
        <f t="shared" si="26"/>
        <v>0</v>
      </c>
    </row>
    <row r="88" spans="1:37" ht="25.5">
      <c r="A88" s="2126" t="s">
        <v>2059</v>
      </c>
      <c r="B88" s="1322" t="str">
        <f>估价对象房地状况!G20</f>
        <v>估价对象所在区域基础设施水平</v>
      </c>
      <c r="C88" s="2040"/>
      <c r="D88" s="1061">
        <f t="shared" si="22"/>
        <v>0</v>
      </c>
      <c r="E88" s="743"/>
      <c r="F88" s="1810"/>
      <c r="G88" s="1059"/>
      <c r="H88" s="1062" t="str">
        <f t="shared" si="23"/>
        <v>——</v>
      </c>
      <c r="I88" s="3363">
        <v>0.12</v>
      </c>
      <c r="J88" s="1060">
        <f t="shared" si="24"/>
        <v>0</v>
      </c>
      <c r="K88" s="1060">
        <f t="shared" si="25"/>
        <v>0</v>
      </c>
      <c r="L88" s="1060">
        <v>0</v>
      </c>
      <c r="M88" s="1060">
        <f t="shared" si="26"/>
        <v>0</v>
      </c>
      <c r="N88" s="1060">
        <f t="shared" si="26"/>
        <v>0</v>
      </c>
    </row>
    <row r="89" spans="1:37" ht="24">
      <c r="A89" s="2126" t="s">
        <v>2056</v>
      </c>
      <c r="B89" s="2132" t="s">
        <v>2070</v>
      </c>
      <c r="C89" s="2040"/>
      <c r="D89" s="1061">
        <f t="shared" si="22"/>
        <v>0</v>
      </c>
      <c r="E89" s="743"/>
      <c r="F89" s="1810"/>
      <c r="G89" s="1059"/>
      <c r="H89" s="1062" t="str">
        <f t="shared" si="23"/>
        <v>——</v>
      </c>
      <c r="I89" s="3363">
        <v>0.06</v>
      </c>
      <c r="J89" s="1060">
        <f t="shared" si="24"/>
        <v>0</v>
      </c>
      <c r="K89" s="1060">
        <f t="shared" si="25"/>
        <v>0</v>
      </c>
      <c r="L89" s="1060">
        <v>0</v>
      </c>
      <c r="M89" s="1060">
        <f t="shared" si="26"/>
        <v>0</v>
      </c>
      <c r="N89" s="1060">
        <f t="shared" si="26"/>
        <v>0</v>
      </c>
    </row>
    <row r="90" spans="1:37" ht="39" thickBot="1">
      <c r="A90" s="2134" t="s">
        <v>2071</v>
      </c>
      <c r="B90" s="2139" t="str">
        <f>估价对象房地状况!G18</f>
        <v>该园区内是否有污染型企业，绿化情况，卫生条件，整体环境状况判断</v>
      </c>
      <c r="C90" s="2040"/>
      <c r="D90" s="1061">
        <f t="shared" si="22"/>
        <v>0</v>
      </c>
      <c r="E90" s="744"/>
      <c r="F90" s="1810"/>
      <c r="G90" s="1059"/>
      <c r="H90" s="1062" t="str">
        <f t="shared" si="23"/>
        <v>——</v>
      </c>
      <c r="I90" s="3364">
        <v>0.05</v>
      </c>
      <c r="J90" s="1060">
        <f t="shared" si="24"/>
        <v>0</v>
      </c>
      <c r="K90" s="1060">
        <f t="shared" si="25"/>
        <v>0</v>
      </c>
      <c r="L90" s="1060">
        <v>0</v>
      </c>
      <c r="M90" s="1060">
        <f t="shared" si="26"/>
        <v>0</v>
      </c>
      <c r="N90" s="1060">
        <f t="shared" si="26"/>
        <v>0</v>
      </c>
    </row>
    <row r="91" spans="1:37" ht="15">
      <c r="A91" s="3373" t="s">
        <v>2615</v>
      </c>
      <c r="B91" s="3374">
        <f>1+E93</f>
        <v>1.0126999999999999</v>
      </c>
      <c r="C91" s="3367"/>
      <c r="D91" s="3368"/>
      <c r="E91" s="1810"/>
      <c r="F91" s="1810"/>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2"/>
      <c r="C93" s="2040" t="s">
        <v>3562</v>
      </c>
      <c r="D93" s="3362">
        <f>SUMIF($J$92:$N$92,C93,J93:N93)</f>
        <v>0</v>
      </c>
      <c r="E93" s="3378">
        <f>ROUND(SUM(D93:D101),4)</f>
        <v>1.2699999999999999E-2</v>
      </c>
      <c r="F93" s="1810">
        <f>IF(E2="公共服务",SUMIF(L1:L12,G2,N1:N12),"——")</f>
        <v>9.9000000000000005E-2</v>
      </c>
      <c r="G93" s="3369">
        <f>H93</f>
        <v>1.23E-2</v>
      </c>
      <c r="H93" s="3417">
        <f>IFERROR(ROUNDDOWN($F$93*I93/2,4),"——")</f>
        <v>1.23E-2</v>
      </c>
      <c r="I93" s="3363">
        <v>0.25</v>
      </c>
      <c r="J93" s="3341">
        <f t="shared" ref="J93:J101" si="27">K93+$G93</f>
        <v>2.46E-2</v>
      </c>
      <c r="K93" s="3341">
        <f t="shared" ref="K93:K101" si="28">$L93+$G93</f>
        <v>1.23E-2</v>
      </c>
      <c r="L93" s="3341">
        <v>0</v>
      </c>
      <c r="M93" s="3341">
        <f t="shared" ref="M93:N101" si="29">L93-$G93</f>
        <v>-1.23E-2</v>
      </c>
      <c r="N93" s="3341">
        <f t="shared" si="29"/>
        <v>-2.46E-2</v>
      </c>
    </row>
    <row r="94" spans="1:37" ht="38.25">
      <c r="A94" s="3375" t="s">
        <v>3278</v>
      </c>
      <c r="B94" s="3366" t="str">
        <f>估价对象房地状况!C18</f>
        <v>估价对象周边道路状况、公共交通通达情况、停车便捷程度，综合评价交通便捷度较好</v>
      </c>
      <c r="C94" s="2040" t="s">
        <v>3562</v>
      </c>
      <c r="D94" s="3362">
        <f t="shared" ref="D94:D101" si="30">SUMIF($J$60:$N$60,C94,J94:N94)</f>
        <v>0</v>
      </c>
      <c r="E94" s="3379"/>
      <c r="F94" s="1810"/>
      <c r="G94" s="3369">
        <f t="shared" ref="G94:G101" si="31">H94</f>
        <v>1.2800000000000001E-2</v>
      </c>
      <c r="H94" s="3417">
        <f>IFERROR(ROUNDDOWN($F$93*I94/2,4),"——")</f>
        <v>1.2800000000000001E-2</v>
      </c>
      <c r="I94" s="3363">
        <v>0.26</v>
      </c>
      <c r="J94" s="3341">
        <f t="shared" si="27"/>
        <v>2.5600000000000001E-2</v>
      </c>
      <c r="K94" s="3341">
        <f t="shared" si="28"/>
        <v>1.2800000000000001E-2</v>
      </c>
      <c r="L94" s="3341">
        <v>0</v>
      </c>
      <c r="M94" s="3341">
        <f t="shared" si="29"/>
        <v>-1.2800000000000001E-2</v>
      </c>
      <c r="N94" s="3341">
        <f t="shared" si="29"/>
        <v>-2.5600000000000001E-2</v>
      </c>
    </row>
    <row r="95" spans="1:37" ht="36">
      <c r="A95" s="3365" t="s">
        <v>3274</v>
      </c>
      <c r="B95" s="3366">
        <f>估价对象房地状况!C19</f>
        <v>0</v>
      </c>
      <c r="C95" s="2040" t="s">
        <v>3563</v>
      </c>
      <c r="D95" s="3362">
        <f t="shared" si="30"/>
        <v>5.4000000000000003E-3</v>
      </c>
      <c r="E95" s="3379"/>
      <c r="F95" s="1810"/>
      <c r="G95" s="3369">
        <f t="shared" si="31"/>
        <v>5.4000000000000003E-3</v>
      </c>
      <c r="H95" s="3417">
        <f t="shared" ref="H95:H101" si="32">IFERROR(ROUNDDOWN($F$93*I95/2,4),"——")</f>
        <v>5.4000000000000003E-3</v>
      </c>
      <c r="I95" s="3363">
        <v>0.11</v>
      </c>
      <c r="J95" s="3341">
        <f t="shared" si="27"/>
        <v>1.0800000000000001E-2</v>
      </c>
      <c r="K95" s="3341">
        <f t="shared" si="28"/>
        <v>5.4000000000000003E-3</v>
      </c>
      <c r="L95" s="3341">
        <v>0</v>
      </c>
      <c r="M95" s="3341">
        <f t="shared" si="29"/>
        <v>-5.4000000000000003E-3</v>
      </c>
      <c r="N95" s="3341">
        <f t="shared" si="29"/>
        <v>-1.0800000000000001E-2</v>
      </c>
    </row>
    <row r="96" spans="1:37" ht="36.75">
      <c r="A96" s="3375" t="s">
        <v>3279</v>
      </c>
      <c r="B96" s="3381" t="s">
        <v>3290</v>
      </c>
      <c r="C96" s="2040" t="s">
        <v>3562</v>
      </c>
      <c r="D96" s="3362">
        <f t="shared" si="30"/>
        <v>0</v>
      </c>
      <c r="E96" s="3379"/>
      <c r="F96" s="1810"/>
      <c r="G96" s="3369">
        <f t="shared" si="31"/>
        <v>2.3999999999999998E-3</v>
      </c>
      <c r="H96" s="3417">
        <f t="shared" si="32"/>
        <v>2.3999999999999998E-3</v>
      </c>
      <c r="I96" s="3363">
        <v>0.05</v>
      </c>
      <c r="J96" s="3341">
        <f t="shared" si="27"/>
        <v>4.7999999999999996E-3</v>
      </c>
      <c r="K96" s="3341">
        <f t="shared" si="28"/>
        <v>2.3999999999999998E-3</v>
      </c>
      <c r="L96" s="3341">
        <v>0</v>
      </c>
      <c r="M96" s="3341">
        <f t="shared" si="29"/>
        <v>-2.3999999999999998E-3</v>
      </c>
      <c r="N96" s="3341">
        <f t="shared" si="29"/>
        <v>-4.7999999999999996E-3</v>
      </c>
    </row>
    <row r="97" spans="1:14" ht="24">
      <c r="A97" s="3375" t="s">
        <v>3280</v>
      </c>
      <c r="B97" s="3366">
        <f>估价对象房地状况!C24</f>
        <v>0</v>
      </c>
      <c r="C97" s="2040" t="s">
        <v>3562</v>
      </c>
      <c r="D97" s="3362">
        <f t="shared" si="30"/>
        <v>0</v>
      </c>
      <c r="E97" s="3379"/>
      <c r="F97" s="1810"/>
      <c r="G97" s="3369">
        <f t="shared" si="31"/>
        <v>2.3999999999999998E-3</v>
      </c>
      <c r="H97" s="3417">
        <f t="shared" si="32"/>
        <v>2.3999999999999998E-3</v>
      </c>
      <c r="I97" s="3363">
        <v>0.05</v>
      </c>
      <c r="J97" s="3341">
        <f t="shared" si="27"/>
        <v>4.7999999999999996E-3</v>
      </c>
      <c r="K97" s="3341">
        <f t="shared" si="28"/>
        <v>2.3999999999999998E-3</v>
      </c>
      <c r="L97" s="3341">
        <v>0</v>
      </c>
      <c r="M97" s="3341">
        <f t="shared" si="29"/>
        <v>-2.3999999999999998E-3</v>
      </c>
      <c r="N97" s="3341">
        <f t="shared" si="29"/>
        <v>-4.7999999999999996E-3</v>
      </c>
    </row>
    <row r="98" spans="1:14" ht="24">
      <c r="A98" s="3375" t="s">
        <v>3281</v>
      </c>
      <c r="B98" s="3382" t="s">
        <v>3291</v>
      </c>
      <c r="C98" s="2040" t="s">
        <v>3563</v>
      </c>
      <c r="D98" s="3362">
        <f t="shared" si="30"/>
        <v>2.8999999999999998E-3</v>
      </c>
      <c r="E98" s="3379"/>
      <c r="F98" s="1810"/>
      <c r="G98" s="3369">
        <f t="shared" si="31"/>
        <v>2.8999999999999998E-3</v>
      </c>
      <c r="H98" s="3417">
        <f t="shared" si="32"/>
        <v>2.8999999999999998E-3</v>
      </c>
      <c r="I98" s="3363">
        <v>0.06</v>
      </c>
      <c r="J98" s="3341">
        <f t="shared" si="27"/>
        <v>5.7999999999999996E-3</v>
      </c>
      <c r="K98" s="3341">
        <f t="shared" si="28"/>
        <v>2.8999999999999998E-3</v>
      </c>
      <c r="L98" s="3341">
        <v>0</v>
      </c>
      <c r="M98" s="3341">
        <f t="shared" si="29"/>
        <v>-2.8999999999999998E-3</v>
      </c>
      <c r="N98" s="3341">
        <f t="shared" si="29"/>
        <v>-5.7999999999999996E-3</v>
      </c>
    </row>
    <row r="99" spans="1:14" ht="25.5">
      <c r="A99" s="3375" t="s">
        <v>3282</v>
      </c>
      <c r="B99" s="3366" t="str">
        <f>估价对象房地状况!C21</f>
        <v>估价对象所在区域公共配套设施齐备情况</v>
      </c>
      <c r="C99" s="2040" t="s">
        <v>3562</v>
      </c>
      <c r="D99" s="3362">
        <f t="shared" si="30"/>
        <v>0</v>
      </c>
      <c r="E99" s="3379"/>
      <c r="F99" s="1810"/>
      <c r="G99" s="3369">
        <f t="shared" si="31"/>
        <v>2.8999999999999998E-3</v>
      </c>
      <c r="H99" s="3417">
        <f t="shared" si="32"/>
        <v>2.8999999999999998E-3</v>
      </c>
      <c r="I99" s="3363">
        <v>0.06</v>
      </c>
      <c r="J99" s="3341">
        <f t="shared" si="27"/>
        <v>5.7999999999999996E-3</v>
      </c>
      <c r="K99" s="3341">
        <f t="shared" si="28"/>
        <v>2.8999999999999998E-3</v>
      </c>
      <c r="L99" s="3341">
        <v>0</v>
      </c>
      <c r="M99" s="3341">
        <f t="shared" si="29"/>
        <v>-2.8999999999999998E-3</v>
      </c>
      <c r="N99" s="3341">
        <f t="shared" si="29"/>
        <v>-5.7999999999999996E-3</v>
      </c>
    </row>
    <row r="100" spans="1:14" ht="25.5">
      <c r="A100" s="3375" t="s">
        <v>3283</v>
      </c>
      <c r="B100" s="3366" t="str">
        <f>估价对象房地状况!C22</f>
        <v>估价对象所在区域基础设施水平</v>
      </c>
      <c r="C100" s="2040" t="s">
        <v>3563</v>
      </c>
      <c r="D100" s="3362">
        <f t="shared" si="30"/>
        <v>4.4000000000000003E-3</v>
      </c>
      <c r="E100" s="3379"/>
      <c r="F100" s="1810"/>
      <c r="G100" s="3369">
        <f t="shared" si="31"/>
        <v>4.4000000000000003E-3</v>
      </c>
      <c r="H100" s="3417">
        <f t="shared" si="32"/>
        <v>4.4000000000000003E-3</v>
      </c>
      <c r="I100" s="3363">
        <v>0.09</v>
      </c>
      <c r="J100" s="3341">
        <f t="shared" si="27"/>
        <v>8.8000000000000005E-3</v>
      </c>
      <c r="K100" s="3341">
        <f t="shared" si="28"/>
        <v>4.4000000000000003E-3</v>
      </c>
      <c r="L100" s="3341">
        <v>0</v>
      </c>
      <c r="M100" s="3341">
        <f t="shared" si="29"/>
        <v>-4.4000000000000003E-3</v>
      </c>
      <c r="N100" s="3341">
        <f t="shared" si="29"/>
        <v>-8.8000000000000005E-3</v>
      </c>
    </row>
    <row r="101" spans="1:14" ht="26.25" thickBot="1">
      <c r="A101" s="3376" t="s">
        <v>3284</v>
      </c>
      <c r="B101" s="3383" t="str">
        <f>估价对象房地状况!C20</f>
        <v>区域自然环境：；人文环境；综合评价环境状况一般</v>
      </c>
      <c r="C101" s="2040" t="s">
        <v>3562</v>
      </c>
      <c r="D101" s="3362">
        <f t="shared" si="30"/>
        <v>0</v>
      </c>
      <c r="E101" s="3380"/>
      <c r="F101" s="1810"/>
      <c r="G101" s="3369">
        <f t="shared" si="31"/>
        <v>3.3999999999999998E-3</v>
      </c>
      <c r="H101" s="3417">
        <f t="shared" si="32"/>
        <v>3.3999999999999998E-3</v>
      </c>
      <c r="I101" s="3364">
        <v>7.0000000000000007E-2</v>
      </c>
      <c r="J101" s="3341">
        <f t="shared" si="27"/>
        <v>6.7999999999999996E-3</v>
      </c>
      <c r="K101" s="3341">
        <f t="shared" si="28"/>
        <v>3.3999999999999998E-3</v>
      </c>
      <c r="L101" s="3341">
        <v>0</v>
      </c>
      <c r="M101" s="3341">
        <f t="shared" si="29"/>
        <v>-3.3999999999999998E-3</v>
      </c>
      <c r="N101" s="3341">
        <f t="shared" si="29"/>
        <v>-6.7999999999999996E-3</v>
      </c>
    </row>
    <row r="103" spans="1:14">
      <c r="A103" s="3691" t="s">
        <v>3299</v>
      </c>
      <c r="B103" s="3691"/>
      <c r="C103" s="3691"/>
      <c r="D103" s="3691"/>
      <c r="E103" s="3691"/>
      <c r="F103" s="3691"/>
      <c r="G103" s="3691"/>
      <c r="H103" s="3691"/>
      <c r="I103" s="3691"/>
      <c r="J103" s="3691"/>
      <c r="K103" s="3386"/>
      <c r="L103" s="3386"/>
      <c r="M103" s="3386"/>
      <c r="N103" s="3386"/>
    </row>
    <row r="104" spans="1:14">
      <c r="A104" s="3692" t="s">
        <v>3300</v>
      </c>
      <c r="B104" s="3692" t="s">
        <v>3301</v>
      </c>
      <c r="C104" s="3387" t="s">
        <v>3302</v>
      </c>
      <c r="D104" s="3388"/>
      <c r="E104" s="3388"/>
      <c r="F104" s="3388"/>
      <c r="G104" s="3388"/>
      <c r="H104" s="3388"/>
      <c r="I104" s="3388"/>
      <c r="J104" s="3389"/>
      <c r="K104" s="3390"/>
      <c r="L104" s="3390"/>
      <c r="M104" s="3390"/>
      <c r="N104" s="3390"/>
    </row>
    <row r="105" spans="1:14">
      <c r="A105" s="3692"/>
      <c r="B105" s="3692"/>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678"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7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7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7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7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79"/>
      <c r="B111" s="3391" t="s">
        <v>3273</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680"/>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681" t="s">
        <v>3316</v>
      </c>
      <c r="B113" s="3681"/>
      <c r="C113" s="3681"/>
      <c r="D113" s="3681"/>
      <c r="E113" s="3681"/>
      <c r="F113" s="3681"/>
      <c r="G113" s="3681"/>
      <c r="H113" s="3681"/>
      <c r="I113" s="3681"/>
      <c r="J113" s="368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2</v>
      </c>
      <c r="C116" s="3396" t="s">
        <v>3318</v>
      </c>
      <c r="D116" s="3397">
        <f>SUMPRODUCT((A118:A122=F116)*(B117:M117=H116)*B118:M122)</f>
        <v>0.86850000000000005</v>
      </c>
      <c r="E116" s="1996" t="s">
        <v>3319</v>
      </c>
      <c r="F116" s="3398" t="str">
        <f>E2</f>
        <v>公共服务</v>
      </c>
      <c r="G116" s="1996" t="s">
        <v>3320</v>
      </c>
      <c r="H116" s="3398" t="str">
        <f>G2</f>
        <v>五级</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0.9748</v>
      </c>
      <c r="C118" s="3384">
        <f>B118</f>
        <v>0.9748</v>
      </c>
      <c r="D118" s="3384">
        <f>ROUND(0.949-0.014*B116,4)</f>
        <v>0.92100000000000004</v>
      </c>
      <c r="E118" s="3384">
        <f>D118</f>
        <v>0.92100000000000004</v>
      </c>
      <c r="F118" s="3384">
        <f>E118</f>
        <v>0.92100000000000004</v>
      </c>
      <c r="G118" s="3384">
        <f>F118</f>
        <v>0.92100000000000004</v>
      </c>
      <c r="H118" s="3384">
        <f>G118</f>
        <v>0.92100000000000004</v>
      </c>
      <c r="I118" s="3384">
        <f>ROUND(0.8486-0.018*B116,4)</f>
        <v>0.81259999999999999</v>
      </c>
      <c r="J118" s="3384">
        <f t="shared" ref="J118:M122" si="36">I118</f>
        <v>0.81259999999999999</v>
      </c>
      <c r="K118" s="3384">
        <f t="shared" si="36"/>
        <v>0.81259999999999999</v>
      </c>
      <c r="L118" s="3384">
        <f t="shared" si="36"/>
        <v>0.81259999999999999</v>
      </c>
      <c r="M118" s="3407">
        <f t="shared" si="36"/>
        <v>0.81259999999999999</v>
      </c>
      <c r="N118" s="3394"/>
    </row>
    <row r="119" spans="1:14">
      <c r="A119" s="3406" t="s">
        <v>3334</v>
      </c>
      <c r="B119" s="3384">
        <f>ROUND(0.993-0.0112*B116,4)</f>
        <v>0.97060000000000002</v>
      </c>
      <c r="C119" s="3384">
        <f>B119</f>
        <v>0.97060000000000002</v>
      </c>
      <c r="D119" s="3384">
        <f>ROUND(0.9415-0.0142*B116,4)</f>
        <v>0.91310000000000002</v>
      </c>
      <c r="E119" s="3384">
        <f t="shared" ref="E119:H120" si="37">D119</f>
        <v>0.91310000000000002</v>
      </c>
      <c r="F119" s="3384">
        <f t="shared" si="37"/>
        <v>0.91310000000000002</v>
      </c>
      <c r="G119" s="3384">
        <f t="shared" si="37"/>
        <v>0.91310000000000002</v>
      </c>
      <c r="H119" s="3384">
        <f t="shared" si="37"/>
        <v>0.91310000000000002</v>
      </c>
      <c r="I119" s="3384">
        <f>ROUND(0.838-0.0182*B116,4)</f>
        <v>0.80159999999999998</v>
      </c>
      <c r="J119" s="3384">
        <f t="shared" si="36"/>
        <v>0.80159999999999998</v>
      </c>
      <c r="K119" s="3384">
        <f t="shared" si="36"/>
        <v>0.80159999999999998</v>
      </c>
      <c r="L119" s="3384">
        <f t="shared" si="36"/>
        <v>0.80159999999999998</v>
      </c>
      <c r="M119" s="3407">
        <f t="shared" si="36"/>
        <v>0.80159999999999998</v>
      </c>
      <c r="N119" s="3394"/>
    </row>
    <row r="120" spans="1:14">
      <c r="A120" s="3406" t="s">
        <v>3335</v>
      </c>
      <c r="B120" s="3384">
        <f>ROUND(0.9448-0.0115*B116,4)</f>
        <v>0.92179999999999995</v>
      </c>
      <c r="C120" s="3384">
        <f>B120</f>
        <v>0.92179999999999995</v>
      </c>
      <c r="D120" s="3384">
        <f>ROUND(0.937-0.0145*B116,4)</f>
        <v>0.90800000000000003</v>
      </c>
      <c r="E120" s="3384">
        <f t="shared" si="37"/>
        <v>0.90800000000000003</v>
      </c>
      <c r="F120" s="3384">
        <f t="shared" si="37"/>
        <v>0.90800000000000003</v>
      </c>
      <c r="G120" s="3384">
        <f t="shared" si="37"/>
        <v>0.90800000000000003</v>
      </c>
      <c r="H120" s="3384">
        <f t="shared" si="37"/>
        <v>0.90800000000000003</v>
      </c>
      <c r="I120" s="3384">
        <f>ROUND(0.7965-0.0185*B116,4)</f>
        <v>0.75949999999999995</v>
      </c>
      <c r="J120" s="3384">
        <f t="shared" si="36"/>
        <v>0.75949999999999995</v>
      </c>
      <c r="K120" s="3384">
        <f t="shared" si="36"/>
        <v>0.75949999999999995</v>
      </c>
      <c r="L120" s="3384">
        <f t="shared" si="36"/>
        <v>0.75949999999999995</v>
      </c>
      <c r="M120" s="3407">
        <f t="shared" si="36"/>
        <v>0.75949999999999995</v>
      </c>
      <c r="N120" s="3394"/>
    </row>
    <row r="121" spans="1:14" ht="13.5" thickBot="1">
      <c r="A121" s="3408" t="s">
        <v>3336</v>
      </c>
      <c r="B121" s="3409">
        <f>ROUND(0.7836-0.012*B116,4)</f>
        <v>0.75960000000000005</v>
      </c>
      <c r="C121" s="3409">
        <f>B121</f>
        <v>0.75960000000000005</v>
      </c>
      <c r="D121" s="3409">
        <f>ROUND(0.753-0.015*B116,4)</f>
        <v>0.72299999999999998</v>
      </c>
      <c r="E121" s="3409">
        <f>D121</f>
        <v>0.72299999999999998</v>
      </c>
      <c r="F121" s="3409">
        <f>E121</f>
        <v>0.72299999999999998</v>
      </c>
      <c r="G121" s="3409">
        <f>ROUND(0.6612-0.018*B116,4)</f>
        <v>0.62519999999999998</v>
      </c>
      <c r="H121" s="3409">
        <f>G121</f>
        <v>0.62519999999999998</v>
      </c>
      <c r="I121" s="3409">
        <f>ROUND(0.5905-0.019*B116,4)</f>
        <v>0.55249999999999999</v>
      </c>
      <c r="J121" s="3409">
        <f t="shared" si="36"/>
        <v>0.55249999999999999</v>
      </c>
      <c r="K121" s="3409">
        <f t="shared" si="36"/>
        <v>0.55249999999999999</v>
      </c>
      <c r="L121" s="3409">
        <f t="shared" si="36"/>
        <v>0.55249999999999999</v>
      </c>
      <c r="M121" s="3410">
        <f t="shared" si="36"/>
        <v>0.55249999999999999</v>
      </c>
      <c r="N121" s="3394"/>
    </row>
    <row r="122" spans="1:14">
      <c r="A122" s="3411" t="s">
        <v>2615</v>
      </c>
      <c r="B122" s="3384">
        <f>ROUND(0.9404-0.0106*B116,4)</f>
        <v>0.91920000000000002</v>
      </c>
      <c r="C122" s="3384">
        <f>B122</f>
        <v>0.91920000000000002</v>
      </c>
      <c r="D122" s="3384">
        <f>ROUND(0.8955-0.0135*B116,4)</f>
        <v>0.86850000000000005</v>
      </c>
      <c r="E122" s="3384">
        <f t="shared" ref="E122:H122" si="38">D122</f>
        <v>0.86850000000000005</v>
      </c>
      <c r="F122" s="3384">
        <f t="shared" si="38"/>
        <v>0.86850000000000005</v>
      </c>
      <c r="G122" s="3384">
        <f t="shared" si="38"/>
        <v>0.86850000000000005</v>
      </c>
      <c r="H122" s="3384">
        <f t="shared" si="38"/>
        <v>0.86850000000000005</v>
      </c>
      <c r="I122" s="3384">
        <f>ROUND(0.7632-0.0166*B116,4)</f>
        <v>0.73</v>
      </c>
      <c r="J122" s="3384">
        <f t="shared" si="36"/>
        <v>0.73</v>
      </c>
      <c r="K122" s="3384">
        <f t="shared" si="36"/>
        <v>0.73</v>
      </c>
      <c r="L122" s="3384">
        <f t="shared" si="36"/>
        <v>0.73</v>
      </c>
      <c r="M122" s="3407">
        <f t="shared" si="36"/>
        <v>0.73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H42" sqref="H42"/>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1593</v>
      </c>
      <c r="B1" s="1187"/>
      <c r="C1" s="1188"/>
      <c r="D1" s="1186"/>
      <c r="E1" s="2802"/>
      <c r="F1" s="2802"/>
      <c r="G1" s="2667"/>
      <c r="H1" s="2802"/>
      <c r="I1" s="2802"/>
      <c r="J1" s="2802"/>
      <c r="K1" s="2803">
        <f>MATCH(C1,'数据-取费表'!A6:A16,0)+5</f>
        <v>9</v>
      </c>
    </row>
    <row r="2" spans="1:33" ht="18" customHeight="1">
      <c r="A2" s="201" t="s">
        <v>1461</v>
      </c>
      <c r="B2" s="204">
        <f ca="1">C32</f>
        <v>177370</v>
      </c>
      <c r="C2" s="276" t="s">
        <v>1594</v>
      </c>
      <c r="D2" s="276"/>
      <c r="E2" s="2802"/>
      <c r="F2" s="2802"/>
      <c r="G2" s="2802"/>
      <c r="H2" s="2802"/>
      <c r="I2" s="2802"/>
      <c r="J2" s="2802"/>
      <c r="K2" s="2802"/>
    </row>
    <row r="3" spans="1:33" ht="18" customHeight="1" thickBot="1">
      <c r="A3" s="203" t="s">
        <v>1463</v>
      </c>
      <c r="B3" s="204">
        <f ca="1">ROUND(B2*10000/IF(C1="",'数据-汇总表'!E3,INDIRECT("'数据-取费表'!K"&amp;$K$1)),0)</f>
        <v>13463</v>
      </c>
      <c r="C3" s="276" t="s">
        <v>1595</v>
      </c>
      <c r="D3" s="276"/>
      <c r="E3" s="2802"/>
      <c r="F3" s="2802"/>
      <c r="G3" s="2802"/>
      <c r="H3" s="2802"/>
      <c r="I3" s="2802"/>
      <c r="J3" s="2802"/>
      <c r="K3" s="2802"/>
    </row>
    <row r="4" spans="1:33" s="781" customFormat="1" ht="16.5" customHeight="1">
      <c r="A4" s="778" t="s">
        <v>1596</v>
      </c>
      <c r="B4" s="779"/>
      <c r="C4" s="820">
        <f ca="1">SUM(C8:K8)</f>
        <v>202057</v>
      </c>
      <c r="D4" s="779"/>
      <c r="E4" s="779"/>
      <c r="F4" s="779"/>
      <c r="G4" s="779"/>
      <c r="H4" s="779"/>
      <c r="I4" s="779"/>
      <c r="J4" s="779"/>
      <c r="K4" s="780"/>
    </row>
    <row r="5" spans="1:33" s="785" customFormat="1" ht="15">
      <c r="A5" s="782" t="s">
        <v>1597</v>
      </c>
      <c r="B5" s="783" t="s">
        <v>1598</v>
      </c>
      <c r="C5" s="1856" t="s">
        <v>21</v>
      </c>
      <c r="D5" s="1856" t="s">
        <v>3408</v>
      </c>
      <c r="E5" s="1856" t="s">
        <v>3388</v>
      </c>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1599</v>
      </c>
      <c r="C6" s="787">
        <f ca="1">'收益法-办公'!B3</f>
        <v>23979</v>
      </c>
      <c r="D6" s="787">
        <f ca="1">'收益法-商业'!B3</f>
        <v>14665</v>
      </c>
      <c r="E6" s="787">
        <f ca="1">'收益法-地下车库'!B3</f>
        <v>2210</v>
      </c>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1600</v>
      </c>
      <c r="B7" s="131" t="s">
        <v>1601</v>
      </c>
      <c r="C7" s="277">
        <f>SUMIF('数据-汇总表'!$C19:$C33,假设开发法!C5,'数据-汇总表'!$E19:$E33)</f>
        <v>72248.599999999991</v>
      </c>
      <c r="D7" s="277">
        <f>SUMIF('数据-汇总表'!$C19:$C33,假设开发法!D5,'数据-汇总表'!$E19:$E33)</f>
        <v>0</v>
      </c>
      <c r="E7" s="277">
        <f>SUMIF('数据-汇总表'!$C19:$C33,假设开发法!E5,'数据-汇总表'!$E19:$E33)</f>
        <v>30561.740000000005</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1602</v>
      </c>
      <c r="B8" s="164" t="s">
        <v>1603</v>
      </c>
      <c r="C8" s="821">
        <f ca="1">'收益法-办公'!B2</f>
        <v>173246</v>
      </c>
      <c r="D8" s="821">
        <f ca="1">'收益法-商业'!B2</f>
        <v>22058</v>
      </c>
      <c r="E8" s="821">
        <f ca="1">'收益法-地下车库'!B2</f>
        <v>6753</v>
      </c>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1604</v>
      </c>
      <c r="B9" s="779"/>
      <c r="C9" s="779"/>
      <c r="D9" s="779"/>
      <c r="E9" s="779"/>
      <c r="F9" s="779"/>
      <c r="G9" s="779"/>
      <c r="H9" s="779"/>
      <c r="I9" s="779"/>
      <c r="J9" s="779"/>
      <c r="K9" s="780"/>
    </row>
    <row r="10" spans="1:33" s="795" customFormat="1" ht="13.5" customHeight="1">
      <c r="A10" s="782" t="s">
        <v>1605</v>
      </c>
      <c r="B10" s="5" t="s">
        <v>1606</v>
      </c>
      <c r="C10" s="791" t="s">
        <v>1607</v>
      </c>
      <c r="D10" s="792" t="s">
        <v>1608</v>
      </c>
      <c r="E10" s="792" t="s">
        <v>1609</v>
      </c>
      <c r="F10" s="792" t="s">
        <v>1610</v>
      </c>
      <c r="G10" s="5"/>
      <c r="H10" s="793"/>
      <c r="I10" s="793"/>
      <c r="J10" s="793"/>
      <c r="K10" s="794"/>
    </row>
    <row r="11" spans="1:33" s="799" customFormat="1" ht="13.5" customHeight="1">
      <c r="A11" s="796" t="s">
        <v>635</v>
      </c>
      <c r="B11" s="797" t="s">
        <v>1611</v>
      </c>
      <c r="C11" s="279">
        <f ca="1">IF(C1="",'数据-取费表'!P16,INDIRECT("'数据-取费表'!p"&amp;$K$1)+INDIRECT("'数据-取费表'!ar"&amp;$K$1))</f>
        <v>4389</v>
      </c>
      <c r="D11" s="798"/>
      <c r="E11" s="329"/>
      <c r="F11" s="808">
        <f ca="1">1-IF('数据-取费表'!B24=0,1,IF(C1="",'数据-取费表'!N16,INDIRECT("'数据-取费表'!n"&amp;$K$1)))</f>
        <v>5.0000000000000044E-2</v>
      </c>
      <c r="G11" s="5"/>
      <c r="H11" s="793"/>
      <c r="I11" s="793"/>
      <c r="J11" s="793"/>
      <c r="K11" s="794"/>
    </row>
    <row r="12" spans="1:33" s="799" customFormat="1" ht="13.5" customHeight="1">
      <c r="A12" s="796" t="s">
        <v>636</v>
      </c>
      <c r="B12" s="797" t="s">
        <v>1612</v>
      </c>
      <c r="C12" s="21">
        <f ca="1">ROUND(C11*F12,0)</f>
        <v>219</v>
      </c>
      <c r="D12" s="798"/>
      <c r="E12" s="329"/>
      <c r="F12" s="808">
        <f>'数据-取费表'!B33</f>
        <v>0.05</v>
      </c>
      <c r="G12" s="5" t="s">
        <v>1613</v>
      </c>
      <c r="H12" s="793"/>
      <c r="I12" s="793"/>
      <c r="J12" s="793"/>
      <c r="K12" s="794"/>
    </row>
    <row r="13" spans="1:33" s="799" customFormat="1" ht="13.5" customHeight="1">
      <c r="A13" s="796" t="s">
        <v>637</v>
      </c>
      <c r="B13" s="797" t="s">
        <v>1614</v>
      </c>
      <c r="C13" s="21">
        <f ca="1">ROUND(IF(C1="",SUMIF('数据-取费表'!C:C,"住宅",'数据-取费表'!P:P)*F13,IF(INDIRECT("'数据-取费表'!c"&amp;$K$1)="住宅",INDIRECT("'数据-取费表'!P"&amp;$K$1)*F13,0)),0)</f>
        <v>0</v>
      </c>
      <c r="D13" s="842"/>
      <c r="E13" s="329"/>
      <c r="F13" s="808">
        <f>'数据-取费表'!B34</f>
        <v>0</v>
      </c>
      <c r="G13" s="5" t="s">
        <v>1615</v>
      </c>
      <c r="H13" s="793"/>
      <c r="I13" s="793"/>
      <c r="J13" s="793"/>
      <c r="K13" s="794"/>
    </row>
    <row r="14" spans="1:33" s="801" customFormat="1" ht="13.5" customHeight="1">
      <c r="A14" s="796" t="s">
        <v>638</v>
      </c>
      <c r="B14" s="797" t="s">
        <v>1616</v>
      </c>
      <c r="C14" s="21">
        <f ca="1">ROUND(D14*E14*F11/10000,0)</f>
        <v>132</v>
      </c>
      <c r="D14" s="842">
        <f ca="1">IF(C1="",'数据-汇总表'!E3,INDIRECT("'数据-取费表'!K"&amp;$K$1)+INDIRECT("'数据-取费表'!S"&amp;$K$1))</f>
        <v>131745.91</v>
      </c>
      <c r="E14" s="21">
        <f>'数据-取费表'!B35</f>
        <v>200</v>
      </c>
      <c r="F14" s="800"/>
      <c r="G14" s="5" t="s">
        <v>1617</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1618</v>
      </c>
      <c r="C15" s="807">
        <f ca="1">ROUND(C11*F15,0)</f>
        <v>66</v>
      </c>
      <c r="D15" s="802"/>
      <c r="E15" s="807"/>
      <c r="F15" s="808">
        <f>'数据-取费表'!B36</f>
        <v>1.4999999999999999E-2</v>
      </c>
      <c r="G15" s="131" t="s">
        <v>1619</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1620</v>
      </c>
      <c r="C16" s="807">
        <f ca="1">SUM(C11:C15)</f>
        <v>4806</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1621</v>
      </c>
      <c r="C17" s="21">
        <f ca="1">ROUND(D17*E17/10000,0)</f>
        <v>0</v>
      </c>
      <c r="D17" s="842">
        <f ca="1">D14</f>
        <v>131745.91</v>
      </c>
      <c r="E17" s="21">
        <f>'数据-取费表'!B32</f>
        <v>0</v>
      </c>
      <c r="F17" s="802"/>
      <c r="G17" s="131" t="s">
        <v>1622</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1623</v>
      </c>
      <c r="C18" s="21">
        <f ca="1">C19+C20-IF(C1="",'数据-取费表'!B29,IF(G18="已全部缴纳",C19+C20,H18))</f>
        <v>0</v>
      </c>
      <c r="D18" s="842"/>
      <c r="E18" s="21"/>
      <c r="F18" s="800"/>
      <c r="G18" s="1858"/>
      <c r="H18" s="1183"/>
      <c r="I18" s="1859" t="s">
        <v>1624</v>
      </c>
      <c r="J18" s="803"/>
      <c r="K18" s="804"/>
    </row>
    <row r="19" spans="1:33" s="799" customFormat="1" ht="13.5" customHeight="1">
      <c r="A19" s="796" t="s">
        <v>360</v>
      </c>
      <c r="B19" s="797" t="s">
        <v>1625</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361</v>
      </c>
      <c r="B20" s="797" t="s">
        <v>1626</v>
      </c>
      <c r="C20" s="21">
        <f ca="1">ROUND(D20*E20/10000,0)</f>
        <v>2635</v>
      </c>
      <c r="D20" s="842">
        <f ca="1">IF(C1="",'数据-汇总表'!E6,IF(INDIRECT("'数据-取费表'!c"&amp;$K$1)="住宅",INDIRECT("'数据-取费表'!s"&amp;$K$1),INDIRECT("'数据-取费表'!k"&amp;$K$1)+INDIRECT("'数据-取费表'!s"&amp;$K$1)))</f>
        <v>131745.91</v>
      </c>
      <c r="E20" s="21">
        <f>'数据-取费表'!B28</f>
        <v>200</v>
      </c>
      <c r="F20" s="800"/>
      <c r="G20" s="12"/>
      <c r="H20" s="805"/>
      <c r="I20" s="805"/>
      <c r="J20" s="805"/>
      <c r="K20" s="806"/>
    </row>
    <row r="21" spans="1:33" s="799" customFormat="1" ht="13.5" customHeight="1">
      <c r="A21" s="786" t="s">
        <v>357</v>
      </c>
      <c r="B21" s="809" t="s">
        <v>1627</v>
      </c>
      <c r="C21" s="810">
        <f ca="1">C16+C17+C18</f>
        <v>4806</v>
      </c>
      <c r="D21" s="811"/>
      <c r="E21" s="281"/>
      <c r="F21" s="281"/>
      <c r="G21" s="131" t="s">
        <v>1628</v>
      </c>
      <c r="H21" s="803"/>
      <c r="I21" s="803"/>
      <c r="J21" s="803"/>
      <c r="K21" s="804"/>
    </row>
    <row r="22" spans="1:33" s="799" customFormat="1" ht="13.5" customHeight="1">
      <c r="A22" s="786" t="s">
        <v>1600</v>
      </c>
      <c r="B22" s="809" t="s">
        <v>1629</v>
      </c>
      <c r="C22" s="810">
        <f ca="1">ROUND(C21*F22,0)</f>
        <v>96</v>
      </c>
      <c r="D22" s="281"/>
      <c r="E22" s="281"/>
      <c r="F22" s="812">
        <f>'数据-取费表'!B37</f>
        <v>0.02</v>
      </c>
      <c r="G22" s="5" t="s">
        <v>1630</v>
      </c>
      <c r="H22" s="793"/>
      <c r="I22" s="793"/>
      <c r="J22" s="793"/>
      <c r="K22" s="794"/>
    </row>
    <row r="23" spans="1:33" s="799" customFormat="1" ht="13.5" customHeight="1">
      <c r="A23" s="786" t="s">
        <v>1602</v>
      </c>
      <c r="B23" s="809" t="s">
        <v>1631</v>
      </c>
      <c r="C23" s="810">
        <f ca="1">ROUND(C4*F23*F11,0)</f>
        <v>202</v>
      </c>
      <c r="D23" s="281"/>
      <c r="E23" s="281"/>
      <c r="F23" s="812">
        <f>'数据-取费表'!B38</f>
        <v>0.02</v>
      </c>
      <c r="G23" s="5" t="s">
        <v>1632</v>
      </c>
      <c r="H23" s="793"/>
      <c r="I23" s="793"/>
      <c r="J23" s="793"/>
      <c r="K23" s="794"/>
    </row>
    <row r="24" spans="1:33" s="799" customFormat="1" ht="13.5" customHeight="1">
      <c r="A24" s="786" t="s">
        <v>1633</v>
      </c>
      <c r="B24" s="809" t="s">
        <v>1634</v>
      </c>
      <c r="C24" s="280">
        <f>ROUND(F24/(1+'数据-取费表'!C42),4)</f>
        <v>2.9000000000000001E-2</v>
      </c>
      <c r="D24" s="281" t="s">
        <v>12</v>
      </c>
      <c r="E24" s="281"/>
      <c r="F24" s="812">
        <f>IF(项目基本情况!B8="出让",0,'数据-取费表'!B48+'数据-取费表'!B49)</f>
        <v>3.0499999999999999E-2</v>
      </c>
      <c r="G24" s="5" t="s">
        <v>1635</v>
      </c>
      <c r="H24" s="814"/>
      <c r="I24" s="814"/>
      <c r="J24" s="814"/>
      <c r="K24" s="815"/>
    </row>
    <row r="25" spans="1:33" s="799" customFormat="1" ht="13.5" customHeight="1">
      <c r="A25" s="786" t="s">
        <v>1636</v>
      </c>
      <c r="B25" s="811" t="s">
        <v>1637</v>
      </c>
      <c r="C25" s="1102">
        <f ca="1">C27</f>
        <v>18</v>
      </c>
      <c r="D25" s="280">
        <f ca="1">C26</f>
        <v>7.1999999999999998E-3</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1638</v>
      </c>
      <c r="C26" s="1103">
        <f ca="1">ROUND(IF('数据-取费表'!B22&lt;=1,(1+C24)*F25*'数据-取费表'!B24,(1+C24)*(POWER((1+F25),'数据-取费表'!B24)-1)),4)</f>
        <v>7.1999999999999998E-3</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1639</v>
      </c>
      <c r="C27" s="1104">
        <f ca="1">ROUND(IF('数据-取费表'!B22&lt;=1,(C21+C22+C23)*F25*'数据-取费表'!B24/2,(C21+C22+C23)*(POWER((1+F25),'数据-取费表'!B24/2)-1)),0)</f>
        <v>18</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1640</v>
      </c>
      <c r="B28" s="1861" t="s">
        <v>1641</v>
      </c>
      <c r="C28" s="287">
        <f ca="1">C30</f>
        <v>612</v>
      </c>
      <c r="D28" s="280">
        <f ca="1">C29</f>
        <v>9.9000000000000008E-3</v>
      </c>
      <c r="E28" s="282" t="s">
        <v>12</v>
      </c>
      <c r="F28" s="288">
        <f ca="1">IF(C1="",'数据-取费表'!Q16,INDIRECT("'数据-取费表'!q"&amp;$K$1))</f>
        <v>0.12</v>
      </c>
      <c r="G28" s="813"/>
      <c r="H28" s="814"/>
      <c r="I28" s="814"/>
      <c r="J28" s="814"/>
      <c r="K28" s="815"/>
    </row>
    <row r="29" spans="1:33" s="291" customFormat="1" ht="13.5" customHeight="1">
      <c r="A29" s="796" t="s">
        <v>358</v>
      </c>
      <c r="B29" s="818" t="s">
        <v>1642</v>
      </c>
      <c r="C29" s="284">
        <f ca="1">ROUND((1+C24)*F28*'数据-取费表'!B24/'数据-取费表'!B20,4)</f>
        <v>9.9000000000000008E-3</v>
      </c>
      <c r="D29" s="284"/>
      <c r="E29" s="285"/>
      <c r="F29" s="290"/>
      <c r="G29" s="131" t="s">
        <v>1643</v>
      </c>
      <c r="H29" s="803"/>
      <c r="I29" s="803"/>
      <c r="J29" s="803"/>
      <c r="K29" s="804"/>
    </row>
    <row r="30" spans="1:33" s="291" customFormat="1" ht="13.5" customHeight="1">
      <c r="A30" s="796" t="s">
        <v>359</v>
      </c>
      <c r="B30" s="818" t="s">
        <v>1644</v>
      </c>
      <c r="C30" s="292">
        <f ca="1">ROUND((C21+C22+C23)*F28,0)</f>
        <v>612</v>
      </c>
      <c r="D30" s="284"/>
      <c r="E30" s="285"/>
      <c r="F30" s="290"/>
      <c r="G30" s="131"/>
      <c r="H30" s="803"/>
      <c r="I30" s="803"/>
      <c r="J30" s="803"/>
      <c r="K30" s="804"/>
    </row>
    <row r="31" spans="1:33" s="799" customFormat="1" ht="13.5" customHeight="1" thickBot="1">
      <c r="A31" s="1862" t="s">
        <v>1645</v>
      </c>
      <c r="B31" s="829" t="s">
        <v>1646</v>
      </c>
      <c r="C31" s="830">
        <f ca="1">ROUND(C4*F31/(1+'数据-取费表'!C42),0)</f>
        <v>10776</v>
      </c>
      <c r="D31" s="831"/>
      <c r="E31" s="832"/>
      <c r="F31" s="833">
        <f>'数据-取费表'!B41</f>
        <v>5.6000000000000001E-2</v>
      </c>
      <c r="G31" s="834" t="s">
        <v>1647</v>
      </c>
      <c r="H31" s="835"/>
      <c r="I31" s="835"/>
      <c r="J31" s="835"/>
      <c r="K31" s="836"/>
    </row>
    <row r="32" spans="1:33" s="795" customFormat="1" ht="13.5" customHeight="1" thickBot="1">
      <c r="A32" s="824" t="s">
        <v>1648</v>
      </c>
      <c r="B32" s="825"/>
      <c r="C32" s="826">
        <f ca="1">ROUND((C4-C21-C22-C23-C25-C28-C31)/(1+C24+D25+D28),0)</f>
        <v>177370</v>
      </c>
      <c r="D32" s="825"/>
      <c r="E32" s="825"/>
      <c r="F32" s="825"/>
      <c r="G32" s="827" t="s">
        <v>1649</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3388</v>
      </c>
      <c r="D1" s="3491" t="s">
        <v>3571</v>
      </c>
      <c r="E1" s="1359" t="s">
        <v>678</v>
      </c>
      <c r="F1" s="1058">
        <f ca="1">J53</f>
        <v>34.04</v>
      </c>
      <c r="G1" s="1374">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6753</v>
      </c>
      <c r="C2" s="1383" t="s">
        <v>805</v>
      </c>
      <c r="D2" s="1383"/>
      <c r="E2" s="1384"/>
      <c r="F2" s="1385"/>
      <c r="G2" s="2702"/>
      <c r="H2" s="2691"/>
      <c r="I2" s="2691"/>
      <c r="J2" s="2691"/>
      <c r="K2" s="2692"/>
      <c r="L2" s="2691"/>
      <c r="M2" s="2691"/>
    </row>
    <row r="3" spans="1:37" ht="18" customHeight="1" thickBot="1">
      <c r="A3" s="1386" t="s">
        <v>806</v>
      </c>
      <c r="B3" s="1387">
        <f ca="1">IF(ISERROR(B2*10000/F43),0,ROUND(B2*10000/F43,0))</f>
        <v>2210</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425</v>
      </c>
      <c r="D5" s="1360" t="s">
        <v>693</v>
      </c>
      <c r="E5" s="1067"/>
      <c r="F5" s="1068"/>
      <c r="G5" s="1380"/>
      <c r="H5" s="299">
        <v>1</v>
      </c>
      <c r="I5" s="300" t="s">
        <v>692</v>
      </c>
      <c r="J5" s="1066">
        <f ca="1">J6+J10+J12</f>
        <v>0</v>
      </c>
      <c r="K5" s="1360" t="s">
        <v>693</v>
      </c>
      <c r="L5" s="1067"/>
      <c r="M5" s="1068"/>
    </row>
    <row r="6" spans="1:37" ht="18" customHeight="1">
      <c r="A6" s="1065" t="s">
        <v>398</v>
      </c>
      <c r="B6" s="3697" t="s">
        <v>694</v>
      </c>
      <c r="C6" s="1070">
        <f ca="1">ROUND(F6*F8*F7*(1-F9)/10000,0)</f>
        <v>424</v>
      </c>
      <c r="D6" s="155" t="s">
        <v>2108</v>
      </c>
      <c r="E6" s="302" t="s">
        <v>696</v>
      </c>
      <c r="F6" s="303">
        <f ca="1">INDIRECT("'数据-取费表'!u"&amp;$G$1)</f>
        <v>600</v>
      </c>
      <c r="G6" s="1380"/>
      <c r="H6" s="1065" t="s">
        <v>398</v>
      </c>
      <c r="I6" s="3697" t="s">
        <v>694</v>
      </c>
      <c r="J6" s="301">
        <f ca="1">ROUND(M6*M8*M7*(1-M9)/10000,0)</f>
        <v>0</v>
      </c>
      <c r="K6" s="155" t="s">
        <v>2107</v>
      </c>
      <c r="L6" s="302" t="s">
        <v>696</v>
      </c>
      <c r="M6" s="303">
        <f ca="1">INDIRECT("'数据-取费表'!z"&amp;$G$1)</f>
        <v>0</v>
      </c>
    </row>
    <row r="7" spans="1:37" ht="18" customHeight="1">
      <c r="A7" s="1069"/>
      <c r="B7" s="3698"/>
      <c r="C7" s="1071"/>
      <c r="D7" s="307"/>
      <c r="E7" s="3454" t="s">
        <v>697</v>
      </c>
      <c r="F7" s="303">
        <f ca="1">IF(INDIRECT("'数据-取费表'!ah"&amp;$G$1)="",INDIRECT("'数据-取费表'!k"&amp;$G$1),INDIRECT("'数据-取费表'!ah"&amp;$G$1))</f>
        <v>654</v>
      </c>
      <c r="G7" s="1380"/>
      <c r="H7" s="304"/>
      <c r="I7" s="3698"/>
      <c r="J7" s="306"/>
      <c r="K7" s="307"/>
      <c r="L7" s="302" t="s">
        <v>697</v>
      </c>
      <c r="M7" s="303">
        <f ca="1">F7</f>
        <v>654</v>
      </c>
    </row>
    <row r="8" spans="1:37" ht="18" customHeight="1">
      <c r="A8" s="304"/>
      <c r="B8" s="3698"/>
      <c r="C8" s="306"/>
      <c r="D8" s="307"/>
      <c r="E8" s="302" t="s">
        <v>698</v>
      </c>
      <c r="F8" s="303">
        <f ca="1">INDIRECT("'数据-取费表'!ai"&amp;$G$1)</f>
        <v>12</v>
      </c>
      <c r="G8" s="1380"/>
      <c r="H8" s="304"/>
      <c r="I8" s="3698"/>
      <c r="J8" s="306"/>
      <c r="K8" s="307"/>
      <c r="L8" s="302" t="s">
        <v>698</v>
      </c>
      <c r="M8" s="303">
        <f ca="1">INDIRECT("'数据-取费表'!ai"&amp;$G$1)</f>
        <v>12</v>
      </c>
    </row>
    <row r="9" spans="1:37" ht="18" customHeight="1">
      <c r="A9" s="304"/>
      <c r="B9" s="3699"/>
      <c r="C9" s="306"/>
      <c r="D9" s="307"/>
      <c r="E9" s="302" t="s">
        <v>699</v>
      </c>
      <c r="F9" s="312">
        <f ca="1">INDIRECT("'数据-取费表'!w"&amp;$G$1)</f>
        <v>0.1</v>
      </c>
      <c r="G9" s="1380"/>
      <c r="H9" s="304"/>
      <c r="I9" s="3699"/>
      <c r="J9" s="306"/>
      <c r="K9" s="307"/>
      <c r="L9" s="313" t="s">
        <v>699</v>
      </c>
      <c r="M9" s="314">
        <f ca="1">INDIRECT("'数据-取费表'!ab"&amp;$G$1)</f>
        <v>0</v>
      </c>
    </row>
    <row r="10" spans="1:37" ht="18" customHeight="1">
      <c r="A10" s="1065" t="s">
        <v>402</v>
      </c>
      <c r="B10" s="1361" t="s">
        <v>700</v>
      </c>
      <c r="C10" s="316">
        <f ca="1">ROUND(IF(F10="押一",C6/12*F11,IF(F10="押二",C6/12*2*F11,IF(F10="押三",C6/12*3*F11,C11*F11))),0)</f>
        <v>1</v>
      </c>
      <c r="D10" s="1362" t="s">
        <v>2115</v>
      </c>
      <c r="E10" s="313" t="s">
        <v>701</v>
      </c>
      <c r="F10" s="1112" t="s">
        <v>3527</v>
      </c>
      <c r="G10" s="1380"/>
      <c r="H10" s="1065" t="s">
        <v>402</v>
      </c>
      <c r="I10" s="1361" t="s">
        <v>700</v>
      </c>
      <c r="J10" s="301">
        <f ca="1">ROUND(IF(M10="押一",J6/12*M11,IF(M10="押二",J6/12*2*M11,IF(M10="押三",J6/12*3*M11,J11*M11))),0)</f>
        <v>0</v>
      </c>
      <c r="K10" s="1362" t="s">
        <v>2115</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27179</v>
      </c>
      <c r="D13" s="3446" t="s">
        <v>705</v>
      </c>
      <c r="E13" s="3446" t="s">
        <v>706</v>
      </c>
      <c r="F13" s="1078">
        <f ca="1">INDIRECT("'数据-取费表'!y"&amp;$G$1)</f>
        <v>1</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20499</v>
      </c>
      <c r="D14" s="3450" t="s">
        <v>708</v>
      </c>
      <c r="E14" s="3448"/>
      <c r="F14" s="319"/>
      <c r="G14" s="1380"/>
      <c r="H14" s="978" t="s">
        <v>398</v>
      </c>
      <c r="I14" s="302" t="s">
        <v>709</v>
      </c>
      <c r="J14" s="21">
        <f ca="1">C29</f>
        <v>27179</v>
      </c>
      <c r="K14" s="3453"/>
      <c r="L14" s="803"/>
      <c r="M14" s="804"/>
    </row>
    <row r="15" spans="1:37" s="1393" customFormat="1" ht="18" customHeight="1" thickBot="1">
      <c r="A15" s="978" t="s">
        <v>399</v>
      </c>
      <c r="B15" s="302" t="s">
        <v>710</v>
      </c>
      <c r="C15" s="21">
        <f ca="1">ROUND(C14*F15,0)</f>
        <v>1025</v>
      </c>
      <c r="D15" s="3447" t="s">
        <v>711</v>
      </c>
      <c r="E15" s="3447"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15</v>
      </c>
      <c r="K16" s="1083" t="s">
        <v>715</v>
      </c>
      <c r="L16" s="3451"/>
      <c r="M16" s="1068"/>
    </row>
    <row r="17" spans="1:37" s="1393" customFormat="1" ht="18" customHeight="1">
      <c r="A17" s="978" t="s">
        <v>681</v>
      </c>
      <c r="B17" s="302" t="s">
        <v>716</v>
      </c>
      <c r="C17" s="21">
        <f ca="1">ROUND(F17*(F43+INDIRECT("'数据-取费表'!S"&amp;$G$1))/10000,0)</f>
        <v>683</v>
      </c>
      <c r="D17" s="302" t="s">
        <v>717</v>
      </c>
      <c r="E17" s="302" t="s">
        <v>718</v>
      </c>
      <c r="F17" s="23">
        <f>'数据-取费表'!B35</f>
        <v>200</v>
      </c>
      <c r="G17" s="1392"/>
      <c r="H17" s="978" t="s">
        <v>398</v>
      </c>
      <c r="I17" s="302" t="s">
        <v>719</v>
      </c>
      <c r="J17" s="2312">
        <f ca="1">ROUND(IF(AND(项目基本情况!B11="自然人",项目基本情况!B10="北京市"),J6*M17/(1+'数据-取费表'!C42),J18+J19+J20),2)</f>
        <v>1.4</v>
      </c>
      <c r="K17" s="3450" t="s">
        <v>720</v>
      </c>
      <c r="L17" s="3449"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307</v>
      </c>
      <c r="D18" s="302" t="s">
        <v>711</v>
      </c>
      <c r="E18" s="302" t="s">
        <v>712</v>
      </c>
      <c r="F18" s="322">
        <f>'数据-取费表'!B36</f>
        <v>1.4999999999999999E-2</v>
      </c>
      <c r="G18" s="1392"/>
      <c r="H18" s="978" t="s">
        <v>397</v>
      </c>
      <c r="I18" s="302" t="s">
        <v>723</v>
      </c>
      <c r="J18" s="21">
        <f ca="1">ROUND(J6*M18/(1+'数据-取费表'!C42),2)</f>
        <v>0</v>
      </c>
      <c r="K18" s="3449"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22514</v>
      </c>
      <c r="D19" s="131" t="s">
        <v>726</v>
      </c>
      <c r="E19" s="3456"/>
      <c r="F19" s="23"/>
      <c r="G19" s="1380"/>
      <c r="H19" s="978" t="s">
        <v>399</v>
      </c>
      <c r="I19" s="302" t="s">
        <v>727</v>
      </c>
      <c r="J19" s="21">
        <f ca="1">IF(K19="按租金收入计税",ROUND(J6*M19/(1+'数据-取费表'!C42),2),ROUND(C29*M19*0.7,2))</f>
        <v>0</v>
      </c>
      <c r="K19" s="1366" t="s">
        <v>3341</v>
      </c>
      <c r="L19" s="302" t="s">
        <v>712</v>
      </c>
      <c r="M19" s="322">
        <f>IF(K19="按租金收入计税",'数据-取费表'!B51,'数据-取费表'!B50)</f>
        <v>0.12</v>
      </c>
    </row>
    <row r="20" spans="1:37" s="1393" customFormat="1" ht="18" customHeight="1">
      <c r="A20" s="978" t="s">
        <v>402</v>
      </c>
      <c r="B20" s="302" t="s">
        <v>728</v>
      </c>
      <c r="C20" s="21">
        <f ca="1">ROUND(C19*F20,0)</f>
        <v>450</v>
      </c>
      <c r="D20" s="2424" t="s">
        <v>729</v>
      </c>
      <c r="E20" s="302" t="s">
        <v>712</v>
      </c>
      <c r="F20" s="322">
        <f>'数据-取费表'!B37</f>
        <v>0.02</v>
      </c>
      <c r="G20" s="1392"/>
      <c r="H20" s="978" t="s">
        <v>680</v>
      </c>
      <c r="I20" s="155" t="s">
        <v>730</v>
      </c>
      <c r="J20" s="22">
        <f ca="1">ROUND(M20*M21/10000,2)</f>
        <v>1.4</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2424" t="s">
        <v>734</v>
      </c>
      <c r="E21" s="302" t="s">
        <v>735</v>
      </c>
      <c r="F21" s="322">
        <f>'数据-取费表'!B38</f>
        <v>0.02</v>
      </c>
      <c r="G21" s="1392"/>
      <c r="H21" s="326"/>
      <c r="I21" s="311"/>
      <c r="J21" s="26"/>
      <c r="K21" s="327"/>
      <c r="L21" s="302" t="s">
        <v>736</v>
      </c>
      <c r="M21" s="303">
        <f ca="1">INDIRECT("'数据-取费表'!r"&amp;$G$1)</f>
        <v>9318.2800000000007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56"/>
      <c r="F22" s="23"/>
      <c r="G22" s="1380"/>
      <c r="H22" s="978" t="s">
        <v>402</v>
      </c>
      <c r="I22" s="302" t="s">
        <v>738</v>
      </c>
      <c r="J22" s="21">
        <f ca="1">ROUND(J14*M22,2)</f>
        <v>13.59</v>
      </c>
      <c r="K22" s="3449" t="s">
        <v>739</v>
      </c>
      <c r="L22" s="302" t="s">
        <v>712</v>
      </c>
      <c r="M22" s="328">
        <f ca="1">INDIRECT("'数据-取费表'!Ak"&amp;$G$1)</f>
        <v>5.0000000000000001E-4</v>
      </c>
    </row>
    <row r="23" spans="1:37" s="1393" customFormat="1" ht="18" customHeight="1">
      <c r="A23" s="978" t="s">
        <v>397</v>
      </c>
      <c r="B23" s="302" t="s">
        <v>740</v>
      </c>
      <c r="C23" s="21">
        <f ca="1">IF('数据-取费表'!B22&lt;=1,ROUND(C19*F24*F23/2,0)+ROUND(C20*F24*F23/2,0),ROUND(C19*(POWER((1+F24),F23/2)-1),0)+ROUND(C20*(POWER((1+F24),F23/2)-1),0))</f>
        <v>1023</v>
      </c>
      <c r="D23" s="329" t="str">
        <f>IF(F23&lt;=1,"(建造成本+管理费用)×利率×(建设周期÷2)","(建造成本+管理费用)×((1+利率)^(建设周期÷2)-1)")</f>
        <v>(建造成本+管理费用)×((1+利率)^(建设周期÷2)-1)</v>
      </c>
      <c r="E23" s="302" t="s">
        <v>741</v>
      </c>
      <c r="F23" s="325">
        <f>'数据-取费表'!B20</f>
        <v>2.5</v>
      </c>
      <c r="G23" s="1392"/>
      <c r="H23" s="978" t="s">
        <v>437</v>
      </c>
      <c r="I23" s="302" t="s">
        <v>742</v>
      </c>
      <c r="J23" s="21">
        <f ca="1">ROUND(J13*M23,2)</f>
        <v>0</v>
      </c>
      <c r="K23" s="3449" t="s">
        <v>743</v>
      </c>
      <c r="L23" s="302" t="s">
        <v>712</v>
      </c>
      <c r="M23" s="330">
        <f ca="1">INDIRECT("'数据-取费表'!Al"&amp;$G$1)</f>
        <v>5.0000000000000001E-4</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2"/>
      <c r="H24" s="1085" t="s">
        <v>683</v>
      </c>
      <c r="I24" s="1086" t="s">
        <v>728</v>
      </c>
      <c r="J24" s="1087">
        <f ca="1">ROUND(J5*M24,2)</f>
        <v>0</v>
      </c>
      <c r="K24" s="1088" t="s">
        <v>748</v>
      </c>
      <c r="L24" s="1086" t="s">
        <v>712</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3456"/>
      <c r="F25" s="23"/>
      <c r="G25" s="1380"/>
      <c r="H25" s="1075" t="s">
        <v>394</v>
      </c>
      <c r="I25" s="1090" t="s">
        <v>752</v>
      </c>
      <c r="J25" s="310">
        <f ca="1">J5-J16</f>
        <v>-15</v>
      </c>
      <c r="K25" s="1091" t="s">
        <v>753</v>
      </c>
      <c r="L25" s="1092"/>
      <c r="M25" s="1093"/>
    </row>
    <row r="26" spans="1:37">
      <c r="A26" s="978" t="s">
        <v>397</v>
      </c>
      <c r="B26" s="302" t="s">
        <v>754</v>
      </c>
      <c r="C26" s="21">
        <f ca="1">ROUND((C19+C20)*F26,0)</f>
        <v>1148</v>
      </c>
      <c r="D26" s="2424"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1E-3</v>
      </c>
      <c r="D27" s="2424" t="s">
        <v>761</v>
      </c>
      <c r="E27" s="3447"/>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4"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27179</v>
      </c>
      <c r="D29" s="1088"/>
      <c r="E29" s="1086"/>
      <c r="F29" s="1089"/>
      <c r="G29" s="1392"/>
      <c r="H29" s="334" t="s">
        <v>396</v>
      </c>
      <c r="I29" s="335" t="s">
        <v>768</v>
      </c>
      <c r="J29" s="336">
        <f ca="1">ROUND(J26/(1+F40)^F41,0)</f>
        <v>0</v>
      </c>
      <c r="K29" s="337" t="s">
        <v>769</v>
      </c>
      <c r="L29" s="338"/>
      <c r="M29" s="339">
        <f ca="1">INDIRECT("'数据-取费表'!k"&amp;$G$1)</f>
        <v>30561.740000000005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102</v>
      </c>
      <c r="D30" s="1083" t="s">
        <v>715</v>
      </c>
      <c r="E30" s="3451"/>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72.47</v>
      </c>
      <c r="D31" s="3450" t="s">
        <v>720</v>
      </c>
      <c r="E31" s="3449"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8" t="s">
        <v>397</v>
      </c>
      <c r="B32" s="302" t="s">
        <v>723</v>
      </c>
      <c r="C32" s="21">
        <f ca="1">IF(项目基本情况!B11="自然人","——",ROUND(C6*F32/(1+'数据-取费表'!C42),2))</f>
        <v>22.61</v>
      </c>
      <c r="D32" s="3449" t="s">
        <v>724</v>
      </c>
      <c r="E32" s="302" t="s">
        <v>712</v>
      </c>
      <c r="F32" s="331">
        <f>'数据-取费表'!B41</f>
        <v>5.6000000000000001E-2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48.46</v>
      </c>
      <c r="D33" s="1366" t="s">
        <v>3341</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1.4</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9318.2800000000007</v>
      </c>
      <c r="G35" s="1380"/>
      <c r="H35" s="2693"/>
      <c r="I35" s="1394"/>
      <c r="J35" s="1395"/>
      <c r="K35" s="2697"/>
      <c r="L35" s="2696"/>
      <c r="M35" s="2696"/>
    </row>
    <row r="36" spans="1:18" ht="18" customHeight="1">
      <c r="A36" s="1098" t="s">
        <v>402</v>
      </c>
      <c r="B36" s="302" t="s">
        <v>738</v>
      </c>
      <c r="C36" s="21">
        <f ca="1">ROUND(C29*F36,2)</f>
        <v>13.59</v>
      </c>
      <c r="D36" s="3449" t="s">
        <v>771</v>
      </c>
      <c r="E36" s="302" t="s">
        <v>712</v>
      </c>
      <c r="F36" s="328">
        <f ca="1">INDIRECT("'数据-取费表'!Ak"&amp;$G$1)</f>
        <v>5.0000000000000001E-4</v>
      </c>
      <c r="G36" s="1380"/>
      <c r="H36" s="2696"/>
      <c r="I36" s="1394"/>
      <c r="J36" s="1395"/>
      <c r="K36" s="2540"/>
      <c r="L36" s="2696"/>
      <c r="M36" s="2696"/>
    </row>
    <row r="37" spans="1:18" ht="18" customHeight="1">
      <c r="A37" s="978" t="s">
        <v>437</v>
      </c>
      <c r="B37" s="302" t="s">
        <v>742</v>
      </c>
      <c r="C37" s="21">
        <f ca="1">ROUND(C13*F37,2)</f>
        <v>13.59</v>
      </c>
      <c r="D37" s="3449" t="s">
        <v>743</v>
      </c>
      <c r="E37" s="302" t="s">
        <v>712</v>
      </c>
      <c r="F37" s="330">
        <f ca="1">INDIRECT("'数据-取费表'!Al"&amp;$G$1)</f>
        <v>5.0000000000000001E-4</v>
      </c>
      <c r="G37" s="1380"/>
      <c r="H37" s="2696"/>
      <c r="I37" s="1394"/>
      <c r="J37" s="1395"/>
      <c r="K37" s="2540"/>
      <c r="L37" s="2696"/>
      <c r="M37" s="2696"/>
    </row>
    <row r="38" spans="1:18" ht="18" customHeight="1" thickBot="1">
      <c r="A38" s="1085" t="s">
        <v>683</v>
      </c>
      <c r="B38" s="1086" t="s">
        <v>728</v>
      </c>
      <c r="C38" s="1087">
        <f ca="1">ROUND(C5*F38,2)</f>
        <v>2.13</v>
      </c>
      <c r="D38" s="1088" t="s">
        <v>748</v>
      </c>
      <c r="E38" s="1086" t="s">
        <v>712</v>
      </c>
      <c r="F38" s="1082">
        <f ca="1">INDIRECT("'数据-取费表'!Am"&amp;$G$1)</f>
        <v>5.0000000000000001E-3</v>
      </c>
      <c r="G38" s="1380"/>
      <c r="H38" s="2696">
        <f ca="1">C30/C5</f>
        <v>0.24</v>
      </c>
      <c r="I38" s="1394"/>
      <c r="J38" s="1395"/>
      <c r="K38" s="2700"/>
      <c r="L38" s="2696"/>
      <c r="M38" s="2696"/>
    </row>
    <row r="39" spans="1:18" ht="24.6" customHeight="1" thickTop="1">
      <c r="A39" s="1075" t="s">
        <v>394</v>
      </c>
      <c r="B39" s="1090" t="s">
        <v>752</v>
      </c>
      <c r="C39" s="310">
        <f ca="1">C5-C30</f>
        <v>323</v>
      </c>
      <c r="D39" s="1091" t="s">
        <v>753</v>
      </c>
      <c r="E39" s="1092"/>
      <c r="F39" s="1093"/>
      <c r="G39" s="1380"/>
      <c r="H39" s="2696"/>
      <c r="I39" s="1394"/>
      <c r="J39" s="1395"/>
      <c r="K39" s="2700"/>
      <c r="L39" s="2696"/>
      <c r="M39" s="2696"/>
    </row>
    <row r="40" spans="1:18" ht="18" customHeight="1">
      <c r="A40" s="299" t="s">
        <v>395</v>
      </c>
      <c r="B40" s="300" t="s">
        <v>774</v>
      </c>
      <c r="C40" s="301">
        <f ca="1">ROUND(C39*(1-((1+F42)/(1+F40))^F41)/(F40-F42),0)</f>
        <v>6753</v>
      </c>
      <c r="D40" s="324" t="s">
        <v>758</v>
      </c>
      <c r="E40" s="302" t="s">
        <v>759</v>
      </c>
      <c r="F40" s="312">
        <f ca="1">INDIRECT("'数据-取费表'!I"&amp;$G$1)</f>
        <v>0.05</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34.04</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2210</v>
      </c>
      <c r="D43" s="337" t="s">
        <v>777</v>
      </c>
      <c r="E43" s="338" t="s">
        <v>778</v>
      </c>
      <c r="F43" s="339">
        <f ca="1">INDIRECT("'数据-取费表'!k"&amp;$G$1)</f>
        <v>30561.740000000005</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-7207</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3528</v>
      </c>
      <c r="K47" s="1412" t="s">
        <v>816</v>
      </c>
      <c r="L47" s="1413">
        <f ca="1">INDIRECT("'数据-取费表'!d"&amp;$G$1)</f>
        <v>50</v>
      </c>
      <c r="M47" s="1376" t="str">
        <f>IF(ISNUMBER(FIND("住宅",C1)),"住宅","非住宅")</f>
        <v>非住宅</v>
      </c>
      <c r="O47" s="1414" t="s">
        <v>403</v>
      </c>
      <c r="P47" s="1415" t="s">
        <v>817</v>
      </c>
      <c r="Q47" s="1416">
        <f ca="1">C40+J29</f>
        <v>6753</v>
      </c>
      <c r="R47" s="1416" t="s">
        <v>818</v>
      </c>
    </row>
    <row r="48" spans="1:18" s="1380" customFormat="1" ht="28.5" thickBot="1">
      <c r="A48" s="1106" t="s">
        <v>438</v>
      </c>
      <c r="B48" s="300" t="s">
        <v>692</v>
      </c>
      <c r="C48" s="3455">
        <f ca="1">C49+C53+C55</f>
        <v>0</v>
      </c>
      <c r="D48" s="1108"/>
      <c r="E48" s="1109"/>
      <c r="F48" s="958"/>
      <c r="G48" s="722"/>
      <c r="H48" s="723"/>
      <c r="I48" s="1417" t="s">
        <v>819</v>
      </c>
      <c r="J48" s="1418" t="s">
        <v>3529</v>
      </c>
      <c r="K48" s="1419" t="s">
        <v>820</v>
      </c>
      <c r="L48" s="1420">
        <f ca="1">INDIRECT("'数据-取费表'!f"&amp;$G$1)</f>
        <v>34.24</v>
      </c>
      <c r="O48" s="1414" t="s">
        <v>404</v>
      </c>
      <c r="P48" s="1415" t="s">
        <v>821</v>
      </c>
      <c r="Q48" s="1416" t="str">
        <f ca="1">J60</f>
        <v>0</v>
      </c>
      <c r="R48" s="1416" t="s">
        <v>822</v>
      </c>
    </row>
    <row r="49" spans="1:18" s="1380" customFormat="1" ht="13.5" thickBot="1">
      <c r="A49" s="971" t="s">
        <v>439</v>
      </c>
      <c r="B49" s="1367" t="s">
        <v>779</v>
      </c>
      <c r="C49" s="1110">
        <f ca="1">ROUND(F49*F51*F50*(1-F52)/10000,0)</f>
        <v>0</v>
      </c>
      <c r="D49" s="1051" t="s">
        <v>2107</v>
      </c>
      <c r="E49" s="1368" t="s">
        <v>780</v>
      </c>
      <c r="F49" s="1056"/>
      <c r="G49" s="1421"/>
      <c r="H49" s="723"/>
      <c r="I49" s="1417" t="s">
        <v>823</v>
      </c>
      <c r="J49" s="1422">
        <v>2023</v>
      </c>
      <c r="K49" s="1419" t="s">
        <v>824</v>
      </c>
      <c r="L49" s="1423"/>
      <c r="O49" s="1424" t="s">
        <v>405</v>
      </c>
      <c r="P49" s="1415" t="s">
        <v>825</v>
      </c>
      <c r="Q49" s="1416">
        <f ca="1">C29</f>
        <v>27179</v>
      </c>
      <c r="R49" s="1416" t="s">
        <v>818</v>
      </c>
    </row>
    <row r="50" spans="1:18" s="1380" customFormat="1" ht="13.5" thickBot="1">
      <c r="A50" s="972"/>
      <c r="B50" s="975"/>
      <c r="C50" s="1114"/>
      <c r="D50" s="949"/>
      <c r="E50" s="1052" t="s">
        <v>697</v>
      </c>
      <c r="F50" s="1053">
        <f ca="1">F7</f>
        <v>654</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3">
        <f ca="1">F8</f>
        <v>12</v>
      </c>
      <c r="I51" s="1428" t="s">
        <v>829</v>
      </c>
      <c r="J51" s="1429">
        <f>IF(J49="",J50,J49+J50-YEAR('数据-取费表'!B2))</f>
        <v>60</v>
      </c>
      <c r="K51" s="1430" t="s">
        <v>830</v>
      </c>
      <c r="L51" s="1431">
        <f ca="1">ROUND(-PV(INDIRECT("'数据-取费表'!h"&amp;$G$1),J51,(C39-C13*C76),0),0)</f>
        <v>-32598</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34.04</v>
      </c>
      <c r="R52" s="1416" t="s">
        <v>835</v>
      </c>
    </row>
    <row r="53" spans="1:18" s="1380" customFormat="1" ht="24.75" thickBot="1">
      <c r="A53" s="1148" t="s">
        <v>440</v>
      </c>
      <c r="B53" s="1369" t="s">
        <v>700</v>
      </c>
      <c r="C53" s="316">
        <f ca="1">ROUND(IF(F53="押一",C49/12*F11,IF(F53="押二",C49/12*2*F11,IF(F53="押三",C49/12*3*F11,C54*F11))),0)</f>
        <v>0</v>
      </c>
      <c r="D53" s="1362" t="s">
        <v>2115</v>
      </c>
      <c r="E53" s="313" t="s">
        <v>701</v>
      </c>
      <c r="F53" s="1112"/>
      <c r="I53" s="1435" t="s">
        <v>836</v>
      </c>
      <c r="J53" s="2164">
        <f ca="1">IF(M47="住宅",IF(D1="——",MAX(J51,L48),MAX(J51,L48-'数据-取费表'!B24)),IF(D1="——",MIN(J51,L48),MIN(J51,L48-'数据-取费表'!B24)))</f>
        <v>34.04</v>
      </c>
      <c r="K53" s="3700" t="s">
        <v>837</v>
      </c>
      <c r="L53" s="3701"/>
      <c r="O53" s="1414" t="s">
        <v>409</v>
      </c>
      <c r="P53" s="1415" t="s">
        <v>838</v>
      </c>
      <c r="Q53" s="1416">
        <f ca="1">Q47+Q48</f>
        <v>6753</v>
      </c>
      <c r="R53" s="1416" t="s">
        <v>410</v>
      </c>
    </row>
    <row r="54" spans="1:18" s="1380" customFormat="1" ht="13.5" thickBot="1">
      <c r="A54" s="1149"/>
      <c r="B54" s="1363" t="s">
        <v>679</v>
      </c>
      <c r="C54" s="955"/>
      <c r="D54" s="1362"/>
      <c r="E54" s="3452"/>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2"/>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3">
        <v>2</v>
      </c>
      <c r="B56" s="954" t="s">
        <v>704</v>
      </c>
      <c r="C56" s="232">
        <f ca="1">C13</f>
        <v>27179</v>
      </c>
      <c r="D56" s="1443"/>
      <c r="E56" s="1444"/>
      <c r="F56" s="1436"/>
      <c r="I56" s="1445" t="s">
        <v>842</v>
      </c>
      <c r="J56" s="1446" t="s">
        <v>3405</v>
      </c>
      <c r="K56" s="1417" t="s">
        <v>843</v>
      </c>
      <c r="L56" s="1420" t="str">
        <f ca="1">IF(L48&lt;J51,"——",L48-J53)</f>
        <v>——</v>
      </c>
      <c r="O56" s="1414" t="s">
        <v>403</v>
      </c>
      <c r="P56" s="1415" t="s">
        <v>817</v>
      </c>
      <c r="Q56" s="1416">
        <f ca="1">C40+J29</f>
        <v>6753</v>
      </c>
      <c r="R56" s="1416" t="s">
        <v>818</v>
      </c>
    </row>
    <row r="57" spans="1:18" s="1380" customFormat="1" ht="24.75" thickBot="1">
      <c r="A57" s="1447"/>
      <c r="B57" s="946" t="s">
        <v>767</v>
      </c>
      <c r="C57" s="238">
        <f ca="1">C29</f>
        <v>27179</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28</v>
      </c>
      <c r="D58" s="956" t="s">
        <v>715</v>
      </c>
      <c r="E58" s="957"/>
      <c r="F58" s="958"/>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f ca="1">IF(项目基本情况!B11="自然人","——",IF(D61="按租金收入计税",ROUND(C49*F61/(1+'数据-取费表'!C42),2),IF(D61="按房产原值计税",ROUND(C57*F61*0.7,2),INDIRECT("'数据-取费表'!Aj"&amp;$G$1))))</f>
        <v>0</v>
      </c>
      <c r="D61" s="1366" t="s">
        <v>3341</v>
      </c>
      <c r="E61" s="946" t="s">
        <v>712</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8" t="s">
        <v>784</v>
      </c>
      <c r="B62" s="945" t="s">
        <v>730</v>
      </c>
      <c r="C62" s="22">
        <f ca="1">IF(项目基本情况!B11="自然人","——",ROUND(F62*F63/10000,2))</f>
        <v>1.4</v>
      </c>
      <c r="D62" s="961" t="s">
        <v>731</v>
      </c>
      <c r="E62" s="946" t="s">
        <v>732</v>
      </c>
      <c r="F62" s="325">
        <f t="shared" si="0"/>
        <v>1.5</v>
      </c>
      <c r="I62" s="1458" t="s">
        <v>858</v>
      </c>
      <c r="J62" s="1459" t="s">
        <v>859</v>
      </c>
      <c r="K62" s="1459" t="s">
        <v>860</v>
      </c>
      <c r="L62" s="1459" t="s">
        <v>861</v>
      </c>
      <c r="M62" s="1460" t="s">
        <v>862</v>
      </c>
      <c r="O62" s="1414" t="s">
        <v>409</v>
      </c>
      <c r="P62" s="1415" t="s">
        <v>838</v>
      </c>
      <c r="Q62" s="1416">
        <f ca="1">Q56+Q57</f>
        <v>6753</v>
      </c>
      <c r="R62" s="1416" t="s">
        <v>410</v>
      </c>
    </row>
    <row r="63" spans="1:18" s="1380" customFormat="1" ht="13.5" thickBot="1">
      <c r="A63" s="326"/>
      <c r="B63" s="952"/>
      <c r="C63" s="26"/>
      <c r="D63" s="962"/>
      <c r="E63" s="946" t="s">
        <v>736</v>
      </c>
      <c r="F63" s="303">
        <f t="shared" ca="1" si="0"/>
        <v>9318.2800000000007</v>
      </c>
      <c r="I63" s="1458" t="s">
        <v>864</v>
      </c>
      <c r="J63" s="1459">
        <v>70</v>
      </c>
      <c r="K63" s="1459">
        <v>50</v>
      </c>
      <c r="L63" s="1459">
        <v>80</v>
      </c>
      <c r="M63" s="1461">
        <v>0.02</v>
      </c>
      <c r="O63" s="1399" t="s">
        <v>865</v>
      </c>
      <c r="P63" s="1377"/>
      <c r="Q63" s="1377"/>
      <c r="R63" s="1377"/>
    </row>
    <row r="64" spans="1:18" s="1380" customFormat="1" ht="13.5" thickBot="1">
      <c r="A64" s="978" t="s">
        <v>402</v>
      </c>
      <c r="B64" s="946" t="s">
        <v>738</v>
      </c>
      <c r="C64" s="21">
        <f ca="1">ROUND(C57*F64,2)</f>
        <v>13.59</v>
      </c>
      <c r="D64" s="960" t="s">
        <v>771</v>
      </c>
      <c r="E64" s="946" t="s">
        <v>712</v>
      </c>
      <c r="F64" s="328">
        <f t="shared" ca="1" si="0"/>
        <v>5.0000000000000001E-4</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13.59</v>
      </c>
      <c r="D65" s="960" t="s">
        <v>743</v>
      </c>
      <c r="E65" s="946" t="s">
        <v>712</v>
      </c>
      <c r="F65" s="330">
        <f t="shared" ca="1" si="0"/>
        <v>5.0000000000000001E-4</v>
      </c>
      <c r="I65" s="1458" t="s">
        <v>867</v>
      </c>
      <c r="J65" s="1459">
        <v>40</v>
      </c>
      <c r="K65" s="1459">
        <v>30</v>
      </c>
      <c r="L65" s="1459">
        <v>50</v>
      </c>
      <c r="M65" s="1461">
        <v>0.02</v>
      </c>
      <c r="O65" s="1414" t="s">
        <v>403</v>
      </c>
      <c r="P65" s="1415" t="s">
        <v>817</v>
      </c>
      <c r="Q65" s="1416">
        <f ca="1">C40+J29</f>
        <v>6753</v>
      </c>
      <c r="R65" s="1416" t="s">
        <v>818</v>
      </c>
    </row>
    <row r="66" spans="1:18" s="1380" customFormat="1" ht="16.5" thickBot="1">
      <c r="A66" s="978" t="s">
        <v>793</v>
      </c>
      <c r="B66" s="946" t="s">
        <v>728</v>
      </c>
      <c r="C66" s="21">
        <f ca="1">ROUND(C48*F66,2)</f>
        <v>0</v>
      </c>
      <c r="D66" s="960" t="s">
        <v>748</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-28</v>
      </c>
      <c r="D67" s="959" t="s">
        <v>753</v>
      </c>
      <c r="E67" s="964"/>
      <c r="F67" s="965"/>
      <c r="O67" s="1424" t="s">
        <v>405</v>
      </c>
      <c r="P67" s="1415" t="s">
        <v>850</v>
      </c>
      <c r="Q67" s="1462">
        <f ca="1">L51</f>
        <v>-32598</v>
      </c>
      <c r="R67" s="1416" t="s">
        <v>870</v>
      </c>
    </row>
    <row r="68" spans="1:18" s="1380" customFormat="1" ht="16.5" thickBot="1">
      <c r="A68" s="943" t="s">
        <v>395</v>
      </c>
      <c r="B68" s="944" t="s">
        <v>774</v>
      </c>
      <c r="C68" s="301">
        <f ca="1">ROUND(C67*(1-((1+F70)/(1+F68))^F69)/(F68-F70),0)</f>
        <v>-454</v>
      </c>
      <c r="D68" s="961" t="s">
        <v>758</v>
      </c>
      <c r="E68" s="946" t="s">
        <v>759</v>
      </c>
      <c r="F68" s="312">
        <f ca="1">F40</f>
        <v>0.05</v>
      </c>
      <c r="O68" s="1424" t="s">
        <v>406</v>
      </c>
      <c r="P68" s="1463" t="s">
        <v>871</v>
      </c>
      <c r="Q68" s="1416">
        <f ca="1">ROUND(Q69-Q70*Q71,0)</f>
        <v>-1580</v>
      </c>
      <c r="R68" s="1416" t="s">
        <v>414</v>
      </c>
    </row>
    <row r="69" spans="1:18" s="1380" customFormat="1" ht="13.5" thickBot="1">
      <c r="A69" s="947"/>
      <c r="B69" s="948"/>
      <c r="C69" s="306"/>
      <c r="D69" s="966" t="s">
        <v>762</v>
      </c>
      <c r="E69" s="946" t="s">
        <v>763</v>
      </c>
      <c r="F69" s="333">
        <f ca="1">F41</f>
        <v>34.04</v>
      </c>
      <c r="O69" s="1424" t="s">
        <v>411</v>
      </c>
      <c r="P69" s="1463" t="s">
        <v>872</v>
      </c>
      <c r="Q69" s="1416">
        <f ca="1">C39</f>
        <v>323</v>
      </c>
      <c r="R69" s="1416" t="s">
        <v>818</v>
      </c>
    </row>
    <row r="70" spans="1:18" s="1380" customFormat="1" ht="13.5" thickBot="1">
      <c r="A70" s="950"/>
      <c r="B70" s="951"/>
      <c r="C70" s="310"/>
      <c r="D70" s="962"/>
      <c r="E70" s="946" t="s">
        <v>766</v>
      </c>
      <c r="F70" s="1050"/>
      <c r="O70" s="1424" t="s">
        <v>412</v>
      </c>
      <c r="P70" s="1463" t="s">
        <v>873</v>
      </c>
      <c r="Q70" s="1416">
        <f ca="1">C13</f>
        <v>27179</v>
      </c>
      <c r="R70" s="1416" t="s">
        <v>818</v>
      </c>
    </row>
    <row r="71" spans="1:18" s="1380" customFormat="1" ht="13.5" thickBot="1">
      <c r="A71" s="967" t="s">
        <v>396</v>
      </c>
      <c r="B71" s="968" t="s">
        <v>776</v>
      </c>
      <c r="C71" s="336">
        <f ca="1">ROUND(C68*10000/F71,0)</f>
        <v>-149</v>
      </c>
      <c r="D71" s="969" t="s">
        <v>777</v>
      </c>
      <c r="E71" s="970" t="s">
        <v>778</v>
      </c>
      <c r="F71" s="339">
        <f ca="1">F43</f>
        <v>30561.740000000005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1903</v>
      </c>
      <c r="D75" s="1380"/>
      <c r="E75" s="1380"/>
      <c r="F75" s="1380"/>
      <c r="K75" s="1398"/>
      <c r="L75" s="1380"/>
      <c r="O75" s="1414" t="s">
        <v>409</v>
      </c>
      <c r="P75" s="1415" t="s">
        <v>838</v>
      </c>
      <c r="Q75" s="1416">
        <f ca="1">Q65+Q66</f>
        <v>6753</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-4.8920000000000003</v>
      </c>
    </row>
    <row r="80" spans="1:18">
      <c r="B80" s="340" t="s">
        <v>800</v>
      </c>
      <c r="C80" s="274">
        <f ca="1">ROUND(C75/C39,3)</f>
        <v>5.8920000000000003</v>
      </c>
    </row>
    <row r="81" spans="2:3">
      <c r="B81" s="270" t="s">
        <v>801</v>
      </c>
      <c r="C81" s="238"/>
    </row>
    <row r="82" spans="2:3">
      <c r="B82" s="273" t="s">
        <v>802</v>
      </c>
      <c r="C82" s="275">
        <f ca="1">1-C83</f>
        <v>-3.0250000000000004</v>
      </c>
    </row>
    <row r="83" spans="2:3">
      <c r="B83" s="273" t="s">
        <v>803</v>
      </c>
      <c r="C83" s="274">
        <f ca="1">ROUND(C13/C40,3)</f>
        <v>4.0250000000000004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673</v>
      </c>
      <c r="D1" s="3491" t="s">
        <v>3571</v>
      </c>
      <c r="E1" s="1359" t="s">
        <v>678</v>
      </c>
      <c r="F1" s="1058">
        <f ca="1">J53</f>
        <v>24.04</v>
      </c>
      <c r="G1" s="1374">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22058</v>
      </c>
      <c r="C2" s="1383" t="s">
        <v>805</v>
      </c>
      <c r="D2" s="1383"/>
      <c r="E2" s="1384"/>
      <c r="F2" s="1385"/>
      <c r="G2" s="2702"/>
      <c r="H2" s="2691"/>
      <c r="I2" s="2691"/>
      <c r="J2" s="2691"/>
      <c r="K2" s="2692"/>
      <c r="L2" s="2691"/>
      <c r="M2" s="2691"/>
    </row>
    <row r="3" spans="1:37" ht="18" customHeight="1" thickBot="1">
      <c r="A3" s="1386" t="s">
        <v>806</v>
      </c>
      <c r="B3" s="1387">
        <f ca="1">IF(ISERROR(B2*10000/F43),0,ROUND(B2*10000/F43,0))</f>
        <v>14665</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1731</v>
      </c>
      <c r="D5" s="1360" t="s">
        <v>693</v>
      </c>
      <c r="E5" s="1067"/>
      <c r="F5" s="1068"/>
      <c r="G5" s="1380"/>
      <c r="H5" s="299">
        <v>1</v>
      </c>
      <c r="I5" s="300" t="s">
        <v>692</v>
      </c>
      <c r="J5" s="1066">
        <f ca="1">J6+J10+J12</f>
        <v>0</v>
      </c>
      <c r="K5" s="1360" t="s">
        <v>693</v>
      </c>
      <c r="L5" s="1067"/>
      <c r="M5" s="1068"/>
    </row>
    <row r="6" spans="1:37" ht="18" customHeight="1">
      <c r="A6" s="1065" t="s">
        <v>398</v>
      </c>
      <c r="B6" s="3697" t="s">
        <v>694</v>
      </c>
      <c r="C6" s="1070">
        <f ca="1">ROUND(F6*F8*F7*(1-F9)/10000,0)</f>
        <v>1729</v>
      </c>
      <c r="D6" s="155" t="s">
        <v>2108</v>
      </c>
      <c r="E6" s="302" t="s">
        <v>696</v>
      </c>
      <c r="F6" s="303">
        <f ca="1">INDIRECT("'数据-取费表'!u"&amp;$G$1)</f>
        <v>3.5</v>
      </c>
      <c r="G6" s="1380"/>
      <c r="H6" s="1065" t="s">
        <v>398</v>
      </c>
      <c r="I6" s="3697" t="s">
        <v>694</v>
      </c>
      <c r="J6" s="301">
        <f ca="1">ROUND(M6*M8*M7*(1-M9)/10000,0)</f>
        <v>0</v>
      </c>
      <c r="K6" s="155" t="s">
        <v>2107</v>
      </c>
      <c r="L6" s="302" t="s">
        <v>696</v>
      </c>
      <c r="M6" s="303">
        <f ca="1">INDIRECT("'数据-取费表'!z"&amp;$G$1)</f>
        <v>0</v>
      </c>
    </row>
    <row r="7" spans="1:37" ht="18" customHeight="1">
      <c r="A7" s="1069"/>
      <c r="B7" s="3698"/>
      <c r="C7" s="1071"/>
      <c r="D7" s="307"/>
      <c r="E7" s="3454" t="s">
        <v>697</v>
      </c>
      <c r="F7" s="303">
        <f ca="1">IF(INDIRECT("'数据-取费表'!ah"&amp;$G$1)="",INDIRECT("'数据-取费表'!k"&amp;$G$1),INDIRECT("'数据-取费表'!ah"&amp;$G$1))</f>
        <v>15041.17</v>
      </c>
      <c r="G7" s="1380"/>
      <c r="H7" s="304"/>
      <c r="I7" s="3698"/>
      <c r="J7" s="306"/>
      <c r="K7" s="307"/>
      <c r="L7" s="302" t="s">
        <v>697</v>
      </c>
      <c r="M7" s="303">
        <f ca="1">F7</f>
        <v>15041.17</v>
      </c>
    </row>
    <row r="8" spans="1:37" ht="18" customHeight="1">
      <c r="A8" s="304"/>
      <c r="B8" s="3698"/>
      <c r="C8" s="306"/>
      <c r="D8" s="307"/>
      <c r="E8" s="302" t="s">
        <v>698</v>
      </c>
      <c r="F8" s="303">
        <f ca="1">INDIRECT("'数据-取费表'!ai"&amp;$G$1)</f>
        <v>365</v>
      </c>
      <c r="G8" s="1380"/>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0"/>
      <c r="H9" s="304"/>
      <c r="I9" s="3699"/>
      <c r="J9" s="306"/>
      <c r="K9" s="307"/>
      <c r="L9" s="313" t="s">
        <v>699</v>
      </c>
      <c r="M9" s="314">
        <f ca="1">INDIRECT("'数据-取费表'!ab"&amp;$G$1)</f>
        <v>0</v>
      </c>
    </row>
    <row r="10" spans="1:37" ht="18" customHeight="1">
      <c r="A10" s="1065" t="s">
        <v>402</v>
      </c>
      <c r="B10" s="1361" t="s">
        <v>700</v>
      </c>
      <c r="C10" s="316">
        <f ca="1">ROUND(IF(F10="押一",C6/12*F11,IF(F10="押二",C6/12*2*F11,IF(F10="押三",C6/12*3*F11,C11*F11))),0)</f>
        <v>2</v>
      </c>
      <c r="D10" s="1362" t="s">
        <v>2115</v>
      </c>
      <c r="E10" s="313" t="s">
        <v>701</v>
      </c>
      <c r="F10" s="1112" t="s">
        <v>3527</v>
      </c>
      <c r="G10" s="1380"/>
      <c r="H10" s="1065" t="s">
        <v>402</v>
      </c>
      <c r="I10" s="1361" t="s">
        <v>700</v>
      </c>
      <c r="J10" s="301">
        <f ca="1">ROUND(IF(M10="押一",J6/12*M11,IF(M10="押二",J6/12*2*M11,IF(M10="押三",J6/12*3*M11,J11*M11))),0)</f>
        <v>0</v>
      </c>
      <c r="K10" s="1362" t="s">
        <v>2115</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16747</v>
      </c>
      <c r="D13" s="3446" t="s">
        <v>705</v>
      </c>
      <c r="E13" s="3446" t="s">
        <v>706</v>
      </c>
      <c r="F13" s="1078">
        <f ca="1">INDIRECT("'数据-取费表'!y"&amp;$G$1)</f>
        <v>1</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11593</v>
      </c>
      <c r="D14" s="3450" t="s">
        <v>708</v>
      </c>
      <c r="E14" s="3448"/>
      <c r="F14" s="319"/>
      <c r="G14" s="1380"/>
      <c r="H14" s="978" t="s">
        <v>398</v>
      </c>
      <c r="I14" s="302" t="s">
        <v>709</v>
      </c>
      <c r="J14" s="21">
        <f ca="1">C29</f>
        <v>16747</v>
      </c>
      <c r="K14" s="3453"/>
      <c r="L14" s="803"/>
      <c r="M14" s="804"/>
    </row>
    <row r="15" spans="1:37" s="1393" customFormat="1" ht="18" customHeight="1" thickBot="1">
      <c r="A15" s="978" t="s">
        <v>399</v>
      </c>
      <c r="B15" s="302" t="s">
        <v>710</v>
      </c>
      <c r="C15" s="21">
        <f ca="1">ROUND(C14*F15,0)</f>
        <v>580</v>
      </c>
      <c r="D15" s="3447" t="s">
        <v>711</v>
      </c>
      <c r="E15" s="3447"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84</v>
      </c>
      <c r="K16" s="1083" t="s">
        <v>715</v>
      </c>
      <c r="L16" s="3451"/>
      <c r="M16" s="1068"/>
    </row>
    <row r="17" spans="1:37" s="1393" customFormat="1" ht="18" customHeight="1">
      <c r="A17" s="978" t="s">
        <v>681</v>
      </c>
      <c r="B17" s="302" t="s">
        <v>716</v>
      </c>
      <c r="C17" s="21">
        <f ca="1">ROUND(F17*(F43+INDIRECT("'数据-取费表'!S"&amp;$G$1))/10000,0)</f>
        <v>336</v>
      </c>
      <c r="D17" s="302" t="s">
        <v>717</v>
      </c>
      <c r="E17" s="302" t="s">
        <v>718</v>
      </c>
      <c r="F17" s="23">
        <f>'数据-取费表'!B35</f>
        <v>200</v>
      </c>
      <c r="G17" s="1392"/>
      <c r="H17" s="978" t="s">
        <v>398</v>
      </c>
      <c r="I17" s="302" t="s">
        <v>719</v>
      </c>
      <c r="J17" s="2312">
        <f ca="1">ROUND(IF(AND(项目基本情况!B11="自然人",项目基本情况!B10="北京市"),J6*M17/(1+'数据-取费表'!C42),J18+J19+J20),2)</f>
        <v>0.69</v>
      </c>
      <c r="K17" s="3450" t="s">
        <v>720</v>
      </c>
      <c r="L17" s="3449"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174</v>
      </c>
      <c r="D18" s="302" t="s">
        <v>711</v>
      </c>
      <c r="E18" s="302" t="s">
        <v>712</v>
      </c>
      <c r="F18" s="322">
        <f>'数据-取费表'!B36</f>
        <v>1.4999999999999999E-2</v>
      </c>
      <c r="G18" s="1392"/>
      <c r="H18" s="978" t="s">
        <v>397</v>
      </c>
      <c r="I18" s="302" t="s">
        <v>723</v>
      </c>
      <c r="J18" s="21">
        <f ca="1">ROUND(J6*M18/(1+'数据-取费表'!C42),2)</f>
        <v>0</v>
      </c>
      <c r="K18" s="3449"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12683</v>
      </c>
      <c r="D19" s="131" t="s">
        <v>726</v>
      </c>
      <c r="E19" s="3456"/>
      <c r="F19" s="23"/>
      <c r="G19" s="1380"/>
      <c r="H19" s="978" t="s">
        <v>399</v>
      </c>
      <c r="I19" s="302" t="s">
        <v>727</v>
      </c>
      <c r="J19" s="21">
        <f ca="1">IF(K19="按租金收入计税",ROUND(J6*M19/(1+'数据-取费表'!C42),2),ROUND(C29*M19*0.7,2))</f>
        <v>0</v>
      </c>
      <c r="K19" s="1366" t="s">
        <v>3341</v>
      </c>
      <c r="L19" s="302" t="s">
        <v>712</v>
      </c>
      <c r="M19" s="322">
        <f>IF(K19="按租金收入计税",'数据-取费表'!B51,'数据-取费表'!B50)</f>
        <v>0.12</v>
      </c>
    </row>
    <row r="20" spans="1:37" s="1393" customFormat="1" ht="18" customHeight="1">
      <c r="A20" s="978" t="s">
        <v>402</v>
      </c>
      <c r="B20" s="302" t="s">
        <v>728</v>
      </c>
      <c r="C20" s="21">
        <f ca="1">ROUND(C19*F20,0)</f>
        <v>254</v>
      </c>
      <c r="D20" s="2424" t="s">
        <v>729</v>
      </c>
      <c r="E20" s="302" t="s">
        <v>712</v>
      </c>
      <c r="F20" s="322">
        <f>'数据-取费表'!B37</f>
        <v>0.02</v>
      </c>
      <c r="G20" s="1392"/>
      <c r="H20" s="978" t="s">
        <v>680</v>
      </c>
      <c r="I20" s="155" t="s">
        <v>730</v>
      </c>
      <c r="J20" s="22">
        <f ca="1">ROUND(M20*M21/10000,2)</f>
        <v>0.69</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2424" t="s">
        <v>734</v>
      </c>
      <c r="E21" s="302" t="s">
        <v>735</v>
      </c>
      <c r="F21" s="322">
        <f>'数据-取费表'!B38</f>
        <v>0.02</v>
      </c>
      <c r="G21" s="1392"/>
      <c r="H21" s="326"/>
      <c r="I21" s="311"/>
      <c r="J21" s="26"/>
      <c r="K21" s="327"/>
      <c r="L21" s="302" t="s">
        <v>736</v>
      </c>
      <c r="M21" s="303">
        <f ca="1">INDIRECT("'数据-取费表'!r"&amp;$G$1)</f>
        <v>4586.05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56"/>
      <c r="F22" s="23"/>
      <c r="G22" s="1380"/>
      <c r="H22" s="978" t="s">
        <v>402</v>
      </c>
      <c r="I22" s="302" t="s">
        <v>738</v>
      </c>
      <c r="J22" s="21">
        <f ca="1">ROUND(J14*M22,2)</f>
        <v>83.74</v>
      </c>
      <c r="K22" s="3449"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576</v>
      </c>
      <c r="D23" s="329" t="str">
        <f>IF(F23&lt;=1,"(建造成本+管理费用)×利率×(建设周期÷2)","(建造成本+管理费用)×((1+利率)^(建设周期÷2)-1)")</f>
        <v>(建造成本+管理费用)×((1+利率)^(建设周期÷2)-1)</v>
      </c>
      <c r="E23" s="302" t="s">
        <v>741</v>
      </c>
      <c r="F23" s="325">
        <f>'数据-取费表'!B20</f>
        <v>2.5</v>
      </c>
      <c r="G23" s="1392"/>
      <c r="H23" s="978" t="s">
        <v>437</v>
      </c>
      <c r="I23" s="302" t="s">
        <v>742</v>
      </c>
      <c r="J23" s="21">
        <f ca="1">ROUND(J13*M23,2)</f>
        <v>0</v>
      </c>
      <c r="K23" s="3449" t="s">
        <v>743</v>
      </c>
      <c r="L23" s="302" t="s">
        <v>712</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2"/>
      <c r="H24" s="1085" t="s">
        <v>683</v>
      </c>
      <c r="I24" s="1086" t="s">
        <v>728</v>
      </c>
      <c r="J24" s="1087">
        <f ca="1">ROUND(J5*M24,2)</f>
        <v>0</v>
      </c>
      <c r="K24" s="1088" t="s">
        <v>748</v>
      </c>
      <c r="L24" s="1086" t="s">
        <v>712</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3456"/>
      <c r="F25" s="23"/>
      <c r="G25" s="1380"/>
      <c r="H25" s="1075" t="s">
        <v>394</v>
      </c>
      <c r="I25" s="1090" t="s">
        <v>752</v>
      </c>
      <c r="J25" s="310">
        <f ca="1">J5-J16</f>
        <v>-84</v>
      </c>
      <c r="K25" s="1091" t="s">
        <v>753</v>
      </c>
      <c r="L25" s="1092"/>
      <c r="M25" s="1093"/>
    </row>
    <row r="26" spans="1:37">
      <c r="A26" s="978" t="s">
        <v>397</v>
      </c>
      <c r="B26" s="302" t="s">
        <v>754</v>
      </c>
      <c r="C26" s="21">
        <f ca="1">ROUND((C19+C20)*F26,0)</f>
        <v>1941</v>
      </c>
      <c r="D26" s="2424"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4" t="s">
        <v>761</v>
      </c>
      <c r="E27" s="3447"/>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4"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16747</v>
      </c>
      <c r="D29" s="1088"/>
      <c r="E29" s="1086"/>
      <c r="F29" s="1089"/>
      <c r="G29" s="1392"/>
      <c r="H29" s="334" t="s">
        <v>396</v>
      </c>
      <c r="I29" s="335" t="s">
        <v>768</v>
      </c>
      <c r="J29" s="336">
        <f ca="1">ROUND(J26/(1+F40)^F41,0)</f>
        <v>0</v>
      </c>
      <c r="K29" s="337" t="s">
        <v>769</v>
      </c>
      <c r="L29" s="338"/>
      <c r="M29" s="339">
        <f ca="1">INDIRECT("'数据-取费表'!k"&amp;$G$1)</f>
        <v>15041.17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408</v>
      </c>
      <c r="D30" s="1083" t="s">
        <v>715</v>
      </c>
      <c r="E30" s="3451"/>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290.5</v>
      </c>
      <c r="D31" s="3450" t="s">
        <v>720</v>
      </c>
      <c r="E31" s="3449"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8" t="s">
        <v>397</v>
      </c>
      <c r="B32" s="302" t="s">
        <v>723</v>
      </c>
      <c r="C32" s="21">
        <f ca="1">IF(项目基本情况!B11="自然人","——",ROUND(C6*F32/(1+'数据-取费表'!C42),2))</f>
        <v>92.21</v>
      </c>
      <c r="D32" s="3449" t="s">
        <v>724</v>
      </c>
      <c r="E32" s="302" t="s">
        <v>712</v>
      </c>
      <c r="F32" s="331">
        <f>'数据-取费表'!B41</f>
        <v>5.6000000000000001E-2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197.6</v>
      </c>
      <c r="D33" s="1366" t="s">
        <v>3341</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0.69</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4586.05</v>
      </c>
      <c r="G35" s="1380"/>
      <c r="H35" s="2693"/>
      <c r="I35" s="1394"/>
      <c r="J35" s="1395"/>
      <c r="K35" s="2697"/>
      <c r="L35" s="2696"/>
      <c r="M35" s="2696"/>
    </row>
    <row r="36" spans="1:18" ht="18" customHeight="1">
      <c r="A36" s="1098" t="s">
        <v>402</v>
      </c>
      <c r="B36" s="302" t="s">
        <v>738</v>
      </c>
      <c r="C36" s="21">
        <f ca="1">ROUND(C29*F36,2)</f>
        <v>83.74</v>
      </c>
      <c r="D36" s="3449" t="s">
        <v>771</v>
      </c>
      <c r="E36" s="302" t="s">
        <v>712</v>
      </c>
      <c r="F36" s="328">
        <f ca="1">INDIRECT("'数据-取费表'!Ak"&amp;$G$1)</f>
        <v>5.0000000000000001E-3</v>
      </c>
      <c r="G36" s="1380"/>
      <c r="H36" s="2696"/>
      <c r="I36" s="1394"/>
      <c r="J36" s="1395"/>
      <c r="K36" s="2540"/>
      <c r="L36" s="2696"/>
      <c r="M36" s="2696"/>
    </row>
    <row r="37" spans="1:18" ht="18" customHeight="1">
      <c r="A37" s="978" t="s">
        <v>437</v>
      </c>
      <c r="B37" s="302" t="s">
        <v>742</v>
      </c>
      <c r="C37" s="21">
        <f ca="1">ROUND(C13*F37,2)</f>
        <v>16.75</v>
      </c>
      <c r="D37" s="3449" t="s">
        <v>743</v>
      </c>
      <c r="E37" s="302" t="s">
        <v>712</v>
      </c>
      <c r="F37" s="330">
        <f ca="1">INDIRECT("'数据-取费表'!Al"&amp;$G$1)</f>
        <v>1E-3</v>
      </c>
      <c r="G37" s="1380"/>
      <c r="H37" s="2696"/>
      <c r="I37" s="1394"/>
      <c r="J37" s="1395"/>
      <c r="K37" s="2540"/>
      <c r="L37" s="2696"/>
      <c r="M37" s="2696"/>
    </row>
    <row r="38" spans="1:18" ht="18" customHeight="1" thickBot="1">
      <c r="A38" s="1085" t="s">
        <v>683</v>
      </c>
      <c r="B38" s="1086" t="s">
        <v>728</v>
      </c>
      <c r="C38" s="1087">
        <f ca="1">ROUND(C5*F38,2)</f>
        <v>17.309999999999999</v>
      </c>
      <c r="D38" s="1088" t="s">
        <v>748</v>
      </c>
      <c r="E38" s="1086" t="s">
        <v>712</v>
      </c>
      <c r="F38" s="1082">
        <f ca="1">INDIRECT("'数据-取费表'!Am"&amp;$G$1)</f>
        <v>0.01</v>
      </c>
      <c r="G38" s="1380"/>
      <c r="H38" s="2696">
        <f ca="1">C30/C5</f>
        <v>0.23570190641247835</v>
      </c>
      <c r="I38" s="1394"/>
      <c r="J38" s="1395"/>
      <c r="K38" s="2700"/>
      <c r="L38" s="2696"/>
      <c r="M38" s="2696"/>
    </row>
    <row r="39" spans="1:18" ht="24.6" customHeight="1" thickTop="1">
      <c r="A39" s="1075" t="s">
        <v>394</v>
      </c>
      <c r="B39" s="1090" t="s">
        <v>752</v>
      </c>
      <c r="C39" s="310">
        <f ca="1">C5-C30</f>
        <v>1323</v>
      </c>
      <c r="D39" s="1091" t="s">
        <v>753</v>
      </c>
      <c r="E39" s="1092"/>
      <c r="F39" s="1093"/>
      <c r="G39" s="1380"/>
      <c r="H39" s="2696"/>
      <c r="I39" s="1394"/>
      <c r="J39" s="1395"/>
      <c r="K39" s="2700"/>
      <c r="L39" s="2696"/>
      <c r="M39" s="2696"/>
    </row>
    <row r="40" spans="1:18" ht="18" customHeight="1">
      <c r="A40" s="299" t="s">
        <v>395</v>
      </c>
      <c r="B40" s="300" t="s">
        <v>774</v>
      </c>
      <c r="C40" s="301">
        <f ca="1">ROUND(C39*(1-((1+F42)/(1+F40))^F41)/(F40-F42),0)</f>
        <v>22058</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24.04</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ROUND(C40*10000/F43,0)</f>
        <v>14665</v>
      </c>
      <c r="D43" s="337" t="s">
        <v>777</v>
      </c>
      <c r="E43" s="338" t="s">
        <v>778</v>
      </c>
      <c r="F43" s="339">
        <f ca="1">INDIRECT("'数据-取费表'!k"&amp;$G$1)</f>
        <v>15041.17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-23387</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3528</v>
      </c>
      <c r="K47" s="1412" t="s">
        <v>816</v>
      </c>
      <c r="L47" s="1413">
        <f ca="1">INDIRECT("'数据-取费表'!d"&amp;$G$1)</f>
        <v>40</v>
      </c>
      <c r="M47" s="1376" t="str">
        <f>IF(ISNUMBER(FIND("住宅",C1)),"住宅","非住宅")</f>
        <v>非住宅</v>
      </c>
      <c r="O47" s="1414" t="s">
        <v>403</v>
      </c>
      <c r="P47" s="1415" t="s">
        <v>817</v>
      </c>
      <c r="Q47" s="1416">
        <f ca="1">C40+J29</f>
        <v>22058</v>
      </c>
      <c r="R47" s="1416" t="s">
        <v>818</v>
      </c>
    </row>
    <row r="48" spans="1:18" s="1380" customFormat="1" ht="28.5" thickBot="1">
      <c r="A48" s="1106" t="s">
        <v>438</v>
      </c>
      <c r="B48" s="300" t="s">
        <v>692</v>
      </c>
      <c r="C48" s="3455">
        <f ca="1">C49+C53+C55</f>
        <v>0</v>
      </c>
      <c r="D48" s="1108"/>
      <c r="E48" s="1109"/>
      <c r="F48" s="958"/>
      <c r="G48" s="722"/>
      <c r="H48" s="723"/>
      <c r="I48" s="1417" t="s">
        <v>819</v>
      </c>
      <c r="J48" s="1418" t="s">
        <v>3529</v>
      </c>
      <c r="K48" s="1419" t="s">
        <v>820</v>
      </c>
      <c r="L48" s="1420">
        <f ca="1">INDIRECT("'数据-取费表'!f"&amp;$G$1)</f>
        <v>24.24</v>
      </c>
      <c r="O48" s="1414" t="s">
        <v>404</v>
      </c>
      <c r="P48" s="1415" t="s">
        <v>821</v>
      </c>
      <c r="Q48" s="1416" t="str">
        <f ca="1">J60</f>
        <v>0</v>
      </c>
      <c r="R48" s="1416" t="s">
        <v>822</v>
      </c>
    </row>
    <row r="49" spans="1:18" s="1380" customFormat="1" ht="13.5" thickBot="1">
      <c r="A49" s="971" t="s">
        <v>439</v>
      </c>
      <c r="B49" s="1367" t="s">
        <v>779</v>
      </c>
      <c r="C49" s="1110">
        <f ca="1">ROUND(F49*F51*F50*(1-F52)/10000,0)</f>
        <v>0</v>
      </c>
      <c r="D49" s="1051" t="s">
        <v>2107</v>
      </c>
      <c r="E49" s="1368" t="s">
        <v>780</v>
      </c>
      <c r="F49" s="1056"/>
      <c r="G49" s="1421"/>
      <c r="H49" s="723"/>
      <c r="I49" s="1417" t="s">
        <v>823</v>
      </c>
      <c r="J49" s="1422">
        <v>2023</v>
      </c>
      <c r="K49" s="1419" t="s">
        <v>824</v>
      </c>
      <c r="L49" s="1423"/>
      <c r="O49" s="1424" t="s">
        <v>405</v>
      </c>
      <c r="P49" s="1415" t="s">
        <v>825</v>
      </c>
      <c r="Q49" s="1416">
        <f ca="1">C29</f>
        <v>16747</v>
      </c>
      <c r="R49" s="1416" t="s">
        <v>818</v>
      </c>
    </row>
    <row r="50" spans="1:18" s="1380" customFormat="1" ht="13.5" thickBot="1">
      <c r="A50" s="972"/>
      <c r="B50" s="975"/>
      <c r="C50" s="1114"/>
      <c r="D50" s="949"/>
      <c r="E50" s="1052" t="s">
        <v>697</v>
      </c>
      <c r="F50" s="1053">
        <f ca="1">F7</f>
        <v>15041.17</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3">
        <f ca="1">F8</f>
        <v>365</v>
      </c>
      <c r="I51" s="1428" t="s">
        <v>829</v>
      </c>
      <c r="J51" s="1429">
        <f>IF(J49="",J50,J49+J50-YEAR('数据-取费表'!B2))</f>
        <v>60</v>
      </c>
      <c r="K51" s="1430" t="s">
        <v>830</v>
      </c>
      <c r="L51" s="1431">
        <f ca="1">ROUND(-PV(INDIRECT("'数据-取费表'!h"&amp;$G$1),J51,(C39-C13*C76),0),0)</f>
        <v>2853</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24.04</v>
      </c>
      <c r="R52" s="1416" t="s">
        <v>835</v>
      </c>
    </row>
    <row r="53" spans="1:18" s="1380" customFormat="1" ht="24.75" thickBot="1">
      <c r="A53" s="1148" t="s">
        <v>440</v>
      </c>
      <c r="B53" s="1369" t="s">
        <v>700</v>
      </c>
      <c r="C53" s="316">
        <f ca="1">ROUND(IF(F53="押一",C49/12*F11,IF(F53="押二",C49/12*2*F11,IF(F53="押三",C49/12*3*F11,C54*F11))),0)</f>
        <v>0</v>
      </c>
      <c r="D53" s="1362" t="s">
        <v>2115</v>
      </c>
      <c r="E53" s="313" t="s">
        <v>701</v>
      </c>
      <c r="F53" s="1112"/>
      <c r="I53" s="1435" t="s">
        <v>836</v>
      </c>
      <c r="J53" s="2164">
        <f ca="1">IF(M47="住宅",IF(D1="——",MAX(J51,L48),MAX(J51,L48-'数据-取费表'!B24)),IF(D1="——",MIN(J51,L48),MIN(J51,L48-'数据-取费表'!B24)))</f>
        <v>24.04</v>
      </c>
      <c r="K53" s="3700" t="s">
        <v>837</v>
      </c>
      <c r="L53" s="3701"/>
      <c r="O53" s="1414" t="s">
        <v>409</v>
      </c>
      <c r="P53" s="1415" t="s">
        <v>838</v>
      </c>
      <c r="Q53" s="1416">
        <f ca="1">Q47+Q48</f>
        <v>22058</v>
      </c>
      <c r="R53" s="1416" t="s">
        <v>410</v>
      </c>
    </row>
    <row r="54" spans="1:18" s="1380" customFormat="1" ht="13.5" thickBot="1">
      <c r="A54" s="1149"/>
      <c r="B54" s="1363" t="s">
        <v>679</v>
      </c>
      <c r="C54" s="955"/>
      <c r="D54" s="1362"/>
      <c r="E54" s="3452"/>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2"/>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3">
        <v>2</v>
      </c>
      <c r="B56" s="954" t="s">
        <v>704</v>
      </c>
      <c r="C56" s="232">
        <f ca="1">C13</f>
        <v>16747</v>
      </c>
      <c r="D56" s="1443"/>
      <c r="E56" s="1444"/>
      <c r="F56" s="1436"/>
      <c r="I56" s="1445" t="s">
        <v>842</v>
      </c>
      <c r="J56" s="1446" t="s">
        <v>3405</v>
      </c>
      <c r="K56" s="1417" t="s">
        <v>843</v>
      </c>
      <c r="L56" s="1420" t="str">
        <f ca="1">IF(L48&lt;J51,"——",L48-J53)</f>
        <v>——</v>
      </c>
      <c r="O56" s="1414" t="s">
        <v>403</v>
      </c>
      <c r="P56" s="1415" t="s">
        <v>817</v>
      </c>
      <c r="Q56" s="1416">
        <f ca="1">C40+J29</f>
        <v>22058</v>
      </c>
      <c r="R56" s="1416" t="s">
        <v>818</v>
      </c>
    </row>
    <row r="57" spans="1:18" s="1380" customFormat="1" ht="24.75" thickBot="1">
      <c r="A57" s="1447"/>
      <c r="B57" s="946" t="s">
        <v>767</v>
      </c>
      <c r="C57" s="238">
        <f ca="1">C29</f>
        <v>16747</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101</v>
      </c>
      <c r="D58" s="956" t="s">
        <v>715</v>
      </c>
      <c r="E58" s="957"/>
      <c r="F58" s="958"/>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f ca="1">IF(项目基本情况!B11="自然人","——",IF(D61="按租金收入计税",ROUND(C49*F61/(1+'数据-取费表'!C42),2),IF(D61="按房产原值计税",ROUND(C57*F61*0.7,2),INDIRECT("'数据-取费表'!Aj"&amp;$G$1))))</f>
        <v>0</v>
      </c>
      <c r="D61" s="1366" t="s">
        <v>3341</v>
      </c>
      <c r="E61" s="946" t="s">
        <v>712</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8" t="s">
        <v>784</v>
      </c>
      <c r="B62" s="945" t="s">
        <v>730</v>
      </c>
      <c r="C62" s="22">
        <f ca="1">IF(项目基本情况!B11="自然人","——",ROUND(F62*F63/10000,2))</f>
        <v>0.69</v>
      </c>
      <c r="D62" s="961" t="s">
        <v>731</v>
      </c>
      <c r="E62" s="946" t="s">
        <v>732</v>
      </c>
      <c r="F62" s="325">
        <f t="shared" si="0"/>
        <v>1.5</v>
      </c>
      <c r="I62" s="1458" t="s">
        <v>858</v>
      </c>
      <c r="J62" s="1459" t="s">
        <v>859</v>
      </c>
      <c r="K62" s="1459" t="s">
        <v>860</v>
      </c>
      <c r="L62" s="1459" t="s">
        <v>861</v>
      </c>
      <c r="M62" s="1460" t="s">
        <v>862</v>
      </c>
      <c r="O62" s="1414" t="s">
        <v>409</v>
      </c>
      <c r="P62" s="1415" t="s">
        <v>838</v>
      </c>
      <c r="Q62" s="1416">
        <f ca="1">Q56+Q57</f>
        <v>22058</v>
      </c>
      <c r="R62" s="1416" t="s">
        <v>410</v>
      </c>
    </row>
    <row r="63" spans="1:18" s="1380" customFormat="1" ht="13.5" thickBot="1">
      <c r="A63" s="326"/>
      <c r="B63" s="952"/>
      <c r="C63" s="26"/>
      <c r="D63" s="962"/>
      <c r="E63" s="946" t="s">
        <v>736</v>
      </c>
      <c r="F63" s="303">
        <f t="shared" ca="1" si="0"/>
        <v>4586.05</v>
      </c>
      <c r="I63" s="1458" t="s">
        <v>864</v>
      </c>
      <c r="J63" s="1459">
        <v>70</v>
      </c>
      <c r="K63" s="1459">
        <v>50</v>
      </c>
      <c r="L63" s="1459">
        <v>80</v>
      </c>
      <c r="M63" s="1461">
        <v>0.02</v>
      </c>
      <c r="O63" s="1399" t="s">
        <v>865</v>
      </c>
      <c r="P63" s="1377"/>
      <c r="Q63" s="1377"/>
      <c r="R63" s="1377"/>
    </row>
    <row r="64" spans="1:18" s="1380" customFormat="1" ht="13.5" thickBot="1">
      <c r="A64" s="978" t="s">
        <v>402</v>
      </c>
      <c r="B64" s="946" t="s">
        <v>738</v>
      </c>
      <c r="C64" s="21">
        <f ca="1">ROUND(C57*F64,2)</f>
        <v>83.74</v>
      </c>
      <c r="D64" s="960" t="s">
        <v>771</v>
      </c>
      <c r="E64" s="946" t="s">
        <v>712</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16.75</v>
      </c>
      <c r="D65" s="960" t="s">
        <v>743</v>
      </c>
      <c r="E65" s="946" t="s">
        <v>712</v>
      </c>
      <c r="F65" s="330">
        <f t="shared" ca="1" si="0"/>
        <v>1E-3</v>
      </c>
      <c r="I65" s="1458" t="s">
        <v>867</v>
      </c>
      <c r="J65" s="1459">
        <v>40</v>
      </c>
      <c r="K65" s="1459">
        <v>30</v>
      </c>
      <c r="L65" s="1459">
        <v>50</v>
      </c>
      <c r="M65" s="1461">
        <v>0.02</v>
      </c>
      <c r="O65" s="1414" t="s">
        <v>403</v>
      </c>
      <c r="P65" s="1415" t="s">
        <v>817</v>
      </c>
      <c r="Q65" s="1416">
        <f ca="1">C40+J29</f>
        <v>22058</v>
      </c>
      <c r="R65" s="1416" t="s">
        <v>818</v>
      </c>
    </row>
    <row r="66" spans="1:18" s="1380" customFormat="1" ht="16.5" thickBot="1">
      <c r="A66" s="978" t="s">
        <v>793</v>
      </c>
      <c r="B66" s="946" t="s">
        <v>728</v>
      </c>
      <c r="C66" s="21">
        <f ca="1">ROUND(C48*F66,2)</f>
        <v>0</v>
      </c>
      <c r="D66" s="960" t="s">
        <v>748</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-101</v>
      </c>
      <c r="D67" s="959" t="s">
        <v>753</v>
      </c>
      <c r="E67" s="964"/>
      <c r="F67" s="965"/>
      <c r="O67" s="1424" t="s">
        <v>405</v>
      </c>
      <c r="P67" s="1415" t="s">
        <v>850</v>
      </c>
      <c r="Q67" s="1462">
        <f ca="1">L51</f>
        <v>2853</v>
      </c>
      <c r="R67" s="1416" t="s">
        <v>870</v>
      </c>
    </row>
    <row r="68" spans="1:18" s="1380" customFormat="1" ht="16.5" thickBot="1">
      <c r="A68" s="943" t="s">
        <v>395</v>
      </c>
      <c r="B68" s="944" t="s">
        <v>774</v>
      </c>
      <c r="C68" s="301">
        <f ca="1">ROUND(C67*(1-((1+F70)/(1+F68))^F69)/(F68-F70),0)</f>
        <v>-1329</v>
      </c>
      <c r="D68" s="961" t="s">
        <v>758</v>
      </c>
      <c r="E68" s="946" t="s">
        <v>759</v>
      </c>
      <c r="F68" s="312">
        <f ca="1">F40</f>
        <v>5.5E-2</v>
      </c>
      <c r="O68" s="1424" t="s">
        <v>406</v>
      </c>
      <c r="P68" s="1463" t="s">
        <v>871</v>
      </c>
      <c r="Q68" s="1416">
        <f ca="1">ROUND(Q69-Q70*Q71,0)</f>
        <v>151</v>
      </c>
      <c r="R68" s="1416" t="s">
        <v>414</v>
      </c>
    </row>
    <row r="69" spans="1:18" s="1380" customFormat="1" ht="13.5" thickBot="1">
      <c r="A69" s="947"/>
      <c r="B69" s="948"/>
      <c r="C69" s="306"/>
      <c r="D69" s="966" t="s">
        <v>762</v>
      </c>
      <c r="E69" s="946" t="s">
        <v>763</v>
      </c>
      <c r="F69" s="333">
        <f ca="1">F41</f>
        <v>24.04</v>
      </c>
      <c r="O69" s="1424" t="s">
        <v>411</v>
      </c>
      <c r="P69" s="1463" t="s">
        <v>872</v>
      </c>
      <c r="Q69" s="1416">
        <f ca="1">C39</f>
        <v>1323</v>
      </c>
      <c r="R69" s="1416" t="s">
        <v>818</v>
      </c>
    </row>
    <row r="70" spans="1:18" s="1380" customFormat="1" ht="13.5" thickBot="1">
      <c r="A70" s="950"/>
      <c r="B70" s="951"/>
      <c r="C70" s="310"/>
      <c r="D70" s="962"/>
      <c r="E70" s="946" t="s">
        <v>766</v>
      </c>
      <c r="F70" s="1050"/>
      <c r="O70" s="1424" t="s">
        <v>412</v>
      </c>
      <c r="P70" s="1463" t="s">
        <v>873</v>
      </c>
      <c r="Q70" s="1416">
        <f ca="1">C13</f>
        <v>16747</v>
      </c>
      <c r="R70" s="1416" t="s">
        <v>818</v>
      </c>
    </row>
    <row r="71" spans="1:18" s="1380" customFormat="1" ht="13.5" thickBot="1">
      <c r="A71" s="967" t="s">
        <v>396</v>
      </c>
      <c r="B71" s="968" t="s">
        <v>776</v>
      </c>
      <c r="C71" s="336">
        <f ca="1">ROUND(C68*10000/F71,0)</f>
        <v>-884</v>
      </c>
      <c r="D71" s="969" t="s">
        <v>777</v>
      </c>
      <c r="E71" s="970" t="s">
        <v>778</v>
      </c>
      <c r="F71" s="339">
        <f ca="1">F43</f>
        <v>15041.17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1172</v>
      </c>
      <c r="D75" s="1380"/>
      <c r="E75" s="1380"/>
      <c r="F75" s="1380"/>
      <c r="K75" s="1398"/>
      <c r="L75" s="1380"/>
      <c r="O75" s="1414" t="s">
        <v>409</v>
      </c>
      <c r="P75" s="1415" t="s">
        <v>838</v>
      </c>
      <c r="Q75" s="1416">
        <f ca="1">Q65+Q66</f>
        <v>22058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0.11399999999999999</v>
      </c>
    </row>
    <row r="80" spans="1:18">
      <c r="B80" s="340" t="s">
        <v>800</v>
      </c>
      <c r="C80" s="274">
        <f ca="1">ROUND(C75/C39,3)</f>
        <v>0.88600000000000001</v>
      </c>
    </row>
    <row r="81" spans="2:3">
      <c r="B81" s="270" t="s">
        <v>801</v>
      </c>
      <c r="C81" s="238"/>
    </row>
    <row r="82" spans="2:3">
      <c r="B82" s="273" t="s">
        <v>802</v>
      </c>
      <c r="C82" s="275">
        <f ca="1">1-C83</f>
        <v>0.24099999999999999</v>
      </c>
    </row>
    <row r="83" spans="2:3">
      <c r="B83" s="273" t="s">
        <v>803</v>
      </c>
      <c r="C83" s="274">
        <f ca="1">ROUND(C13/C40,3)</f>
        <v>0.75900000000000001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21</v>
      </c>
      <c r="D1" s="3491" t="s">
        <v>3571</v>
      </c>
      <c r="E1" s="1359" t="s">
        <v>678</v>
      </c>
      <c r="F1" s="1058">
        <f ca="1">J53</f>
        <v>34.04</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173246</v>
      </c>
      <c r="C2" s="1383" t="s">
        <v>805</v>
      </c>
      <c r="D2" s="1383"/>
      <c r="E2" s="1384"/>
      <c r="F2" s="1385"/>
      <c r="G2" s="2702"/>
      <c r="H2" s="2691"/>
      <c r="I2" s="2691"/>
      <c r="J2" s="2691"/>
      <c r="K2" s="2692"/>
      <c r="L2" s="2691"/>
      <c r="M2" s="2691"/>
    </row>
    <row r="3" spans="1:37" ht="18" customHeight="1" thickBot="1">
      <c r="A3" s="1386" t="s">
        <v>806</v>
      </c>
      <c r="B3" s="1387">
        <f ca="1">IF(ISERROR(B2*10000/F43),0,ROUND(B2*10000/F43,0))</f>
        <v>23979</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10693</v>
      </c>
      <c r="D5" s="1360" t="s">
        <v>693</v>
      </c>
      <c r="E5" s="1067"/>
      <c r="F5" s="1068"/>
      <c r="G5" s="1380"/>
      <c r="H5" s="299">
        <v>1</v>
      </c>
      <c r="I5" s="300" t="s">
        <v>692</v>
      </c>
      <c r="J5" s="1066">
        <f ca="1">J6+J10+J12</f>
        <v>0</v>
      </c>
      <c r="K5" s="1360" t="s">
        <v>693</v>
      </c>
      <c r="L5" s="1067"/>
      <c r="M5" s="1068"/>
    </row>
    <row r="6" spans="1:37" ht="18" customHeight="1">
      <c r="A6" s="1065" t="s">
        <v>398</v>
      </c>
      <c r="B6" s="3697" t="s">
        <v>694</v>
      </c>
      <c r="C6" s="1070">
        <f ca="1">ROUND(F6*F8*F7*(1-F9)/10000,0)</f>
        <v>10680</v>
      </c>
      <c r="D6" s="155" t="s">
        <v>2108</v>
      </c>
      <c r="E6" s="302" t="s">
        <v>696</v>
      </c>
      <c r="F6" s="303">
        <f ca="1">INDIRECT("'数据-取费表'!u"&amp;$G$1)</f>
        <v>4.5</v>
      </c>
      <c r="G6" s="1380"/>
      <c r="H6" s="1065" t="s">
        <v>398</v>
      </c>
      <c r="I6" s="3697" t="s">
        <v>694</v>
      </c>
      <c r="J6" s="301">
        <f ca="1">ROUND(M6*M8*M7*(1-M9)/10000,0)</f>
        <v>0</v>
      </c>
      <c r="K6" s="155" t="s">
        <v>2107</v>
      </c>
      <c r="L6" s="302" t="s">
        <v>696</v>
      </c>
      <c r="M6" s="303">
        <f ca="1">INDIRECT("'数据-取费表'!z"&amp;$G$1)</f>
        <v>0</v>
      </c>
    </row>
    <row r="7" spans="1:37" ht="18" customHeight="1">
      <c r="A7" s="1069"/>
      <c r="B7" s="3698"/>
      <c r="C7" s="1071"/>
      <c r="D7" s="307"/>
      <c r="E7" s="1072" t="s">
        <v>697</v>
      </c>
      <c r="F7" s="303">
        <f ca="1">IF(INDIRECT("'数据-取费表'!ah"&amp;$G$1)="",INDIRECT("'数据-取费表'!k"&amp;$G$1),INDIRECT("'数据-取费表'!ah"&amp;$G$1))</f>
        <v>72248.599999999991</v>
      </c>
      <c r="G7" s="1380"/>
      <c r="H7" s="304"/>
      <c r="I7" s="3698"/>
      <c r="J7" s="306"/>
      <c r="K7" s="307"/>
      <c r="L7" s="302" t="s">
        <v>697</v>
      </c>
      <c r="M7" s="303">
        <f ca="1">F7</f>
        <v>72248.599999999991</v>
      </c>
    </row>
    <row r="8" spans="1:37" ht="18" customHeight="1">
      <c r="A8" s="304"/>
      <c r="B8" s="3698"/>
      <c r="C8" s="306"/>
      <c r="D8" s="307"/>
      <c r="E8" s="302" t="s">
        <v>698</v>
      </c>
      <c r="F8" s="303">
        <f ca="1">INDIRECT("'数据-取费表'!ai"&amp;$G$1)</f>
        <v>365</v>
      </c>
      <c r="G8" s="1380"/>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0"/>
      <c r="H9" s="304"/>
      <c r="I9" s="3699"/>
      <c r="J9" s="306"/>
      <c r="K9" s="307"/>
      <c r="L9" s="313" t="s">
        <v>699</v>
      </c>
      <c r="M9" s="314">
        <f ca="1">INDIRECT("'数据-取费表'!ab"&amp;$G$1)</f>
        <v>0</v>
      </c>
    </row>
    <row r="10" spans="1:37" ht="18" customHeight="1">
      <c r="A10" s="1065" t="s">
        <v>402</v>
      </c>
      <c r="B10" s="1361" t="s">
        <v>700</v>
      </c>
      <c r="C10" s="316">
        <f ca="1">ROUND(IF(F10="押一",C6/12*F11,IF(F10="押二",C6/12*2*F11,IF(F10="押三",C6/12*3*F11,C11*F11))),0)</f>
        <v>13</v>
      </c>
      <c r="D10" s="1362" t="s">
        <v>2116</v>
      </c>
      <c r="E10" s="313" t="s">
        <v>701</v>
      </c>
      <c r="F10" s="1112" t="s">
        <v>3527</v>
      </c>
      <c r="G10" s="1380"/>
      <c r="H10" s="1065" t="s">
        <v>402</v>
      </c>
      <c r="I10" s="1361" t="s">
        <v>700</v>
      </c>
      <c r="J10" s="301">
        <f ca="1">ROUND(IF(M10="押一",J6/12*M11,IF(M10="押二",J6/12*2*M11,IF(M10="押三",J6/12*3*M11,J11*M11))),0)</f>
        <v>0</v>
      </c>
      <c r="K10" s="1362" t="s">
        <v>2115</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80437</v>
      </c>
      <c r="D13" s="1077" t="s">
        <v>705</v>
      </c>
      <c r="E13" s="1077" t="s">
        <v>706</v>
      </c>
      <c r="F13" s="1078">
        <f ca="1">INDIRECT("'数据-取费表'!y"&amp;$G$1)</f>
        <v>1</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55685</v>
      </c>
      <c r="D14" s="1341" t="s">
        <v>708</v>
      </c>
      <c r="E14" s="1338"/>
      <c r="F14" s="319"/>
      <c r="G14" s="1380"/>
      <c r="H14" s="978" t="s">
        <v>398</v>
      </c>
      <c r="I14" s="302" t="s">
        <v>709</v>
      </c>
      <c r="J14" s="21">
        <f ca="1">C29</f>
        <v>80437</v>
      </c>
      <c r="K14" s="12"/>
      <c r="L14" s="803"/>
      <c r="M14" s="804"/>
    </row>
    <row r="15" spans="1:37" s="1393" customFormat="1" ht="18" customHeight="1" thickBot="1">
      <c r="A15" s="978" t="s">
        <v>399</v>
      </c>
      <c r="B15" s="302" t="s">
        <v>710</v>
      </c>
      <c r="C15" s="21">
        <f ca="1">ROUND(C14*F15,0)</f>
        <v>2784</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405</v>
      </c>
      <c r="K16" s="1083" t="s">
        <v>715</v>
      </c>
      <c r="L16" s="1084"/>
      <c r="M16" s="1068"/>
    </row>
    <row r="17" spans="1:37" s="1393" customFormat="1" ht="18" customHeight="1">
      <c r="A17" s="978" t="s">
        <v>681</v>
      </c>
      <c r="B17" s="302" t="s">
        <v>716</v>
      </c>
      <c r="C17" s="21">
        <f ca="1">ROUND(F17*(F43+INDIRECT("'数据-取费表'!S"&amp;$G$1))/10000,0)</f>
        <v>1615</v>
      </c>
      <c r="D17" s="302" t="s">
        <v>717</v>
      </c>
      <c r="E17" s="302" t="s">
        <v>718</v>
      </c>
      <c r="F17" s="23">
        <f>'数据-取费表'!B35</f>
        <v>200</v>
      </c>
      <c r="G17" s="1392"/>
      <c r="H17" s="978" t="s">
        <v>398</v>
      </c>
      <c r="I17" s="302" t="s">
        <v>719</v>
      </c>
      <c r="J17" s="2312">
        <f ca="1">ROUND(IF(AND(项目基本情况!B11="自然人",项目基本情况!B10="北京市"),J6*M17/(1+'数据-取费表'!C42),J18+J19+J20),2)</f>
        <v>3.3</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835</v>
      </c>
      <c r="D18" s="302" t="s">
        <v>711</v>
      </c>
      <c r="E18" s="302" t="s">
        <v>712</v>
      </c>
      <c r="F18" s="322">
        <f>'数据-取费表'!B36</f>
        <v>1.4999999999999999E-2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60919</v>
      </c>
      <c r="D19" s="131" t="s">
        <v>726</v>
      </c>
      <c r="E19" s="1356"/>
      <c r="F19" s="23"/>
      <c r="G19" s="1380"/>
      <c r="H19" s="978" t="s">
        <v>399</v>
      </c>
      <c r="I19" s="302" t="s">
        <v>727</v>
      </c>
      <c r="J19" s="21">
        <f ca="1">IF(K19="按租金收入计税",ROUND(J6*M19/(1+'数据-取费表'!C42),2),ROUND(C29*M19*0.7,2))</f>
        <v>0</v>
      </c>
      <c r="K19" s="1366" t="s">
        <v>3341</v>
      </c>
      <c r="L19" s="302" t="s">
        <v>712</v>
      </c>
      <c r="M19" s="322">
        <f>IF(K19="按租金收入计税",'数据-取费表'!B51,'数据-取费表'!B50)</f>
        <v>0.12</v>
      </c>
    </row>
    <row r="20" spans="1:37" s="1393" customFormat="1" ht="18" customHeight="1">
      <c r="A20" s="978" t="s">
        <v>402</v>
      </c>
      <c r="B20" s="302" t="s">
        <v>728</v>
      </c>
      <c r="C20" s="21">
        <f ca="1">ROUND(C19*F20,0)</f>
        <v>1218</v>
      </c>
      <c r="D20" s="323" t="s">
        <v>729</v>
      </c>
      <c r="E20" s="302" t="s">
        <v>712</v>
      </c>
      <c r="F20" s="322">
        <f>'数据-取费表'!B37</f>
        <v>0.02</v>
      </c>
      <c r="G20" s="1392"/>
      <c r="H20" s="978" t="s">
        <v>680</v>
      </c>
      <c r="I20" s="155" t="s">
        <v>730</v>
      </c>
      <c r="J20" s="22">
        <f ca="1">ROUND(M20*M21/10000,2)</f>
        <v>3.3</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22028.620000000003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402.19</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2769</v>
      </c>
      <c r="D23" s="329" t="str">
        <f>IF(F23&lt;=1,"(建造成本+管理费用)×利率×(建设周期÷2)","(建造成本+管理费用)×((1+利率)^(建设周期÷2)-1)")</f>
        <v>(建造成本+管理费用)×((1+利率)^(建设周期÷2)-1)</v>
      </c>
      <c r="E23" s="302" t="s">
        <v>741</v>
      </c>
      <c r="F23" s="325">
        <f>'数据-取费表'!B20</f>
        <v>2.5</v>
      </c>
      <c r="G23" s="1392"/>
      <c r="H23" s="978"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-405</v>
      </c>
      <c r="K25" s="1091" t="s">
        <v>753</v>
      </c>
      <c r="L25" s="1092"/>
      <c r="M25" s="1093"/>
    </row>
    <row r="26" spans="1:37">
      <c r="A26" s="978" t="s">
        <v>397</v>
      </c>
      <c r="B26" s="302" t="s">
        <v>754</v>
      </c>
      <c r="C26" s="21">
        <f ca="1">ROUND((C19+C20)*F26,0)</f>
        <v>9321</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80437</v>
      </c>
      <c r="D29" s="1088"/>
      <c r="E29" s="1086"/>
      <c r="F29" s="1089"/>
      <c r="G29" s="1392"/>
      <c r="H29" s="334" t="s">
        <v>396</v>
      </c>
      <c r="I29" s="335" t="s">
        <v>768</v>
      </c>
      <c r="J29" s="336">
        <f ca="1">ROUND(J26/(1+F40)^F41,0)</f>
        <v>0</v>
      </c>
      <c r="K29" s="337" t="s">
        <v>769</v>
      </c>
      <c r="L29" s="338"/>
      <c r="M29" s="339">
        <f ca="1">INDIRECT("'数据-取费表'!k"&amp;$G$1)</f>
        <v>72248.599999999991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2383</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1793.47</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8" t="s">
        <v>397</v>
      </c>
      <c r="B32" s="302" t="s">
        <v>723</v>
      </c>
      <c r="C32" s="21">
        <f ca="1">IF(项目基本情况!B11="自然人","——",ROUND(C6*F32/(1+'数据-取费表'!C42),2))</f>
        <v>569.6</v>
      </c>
      <c r="D32" s="1340" t="s">
        <v>724</v>
      </c>
      <c r="E32" s="302" t="s">
        <v>712</v>
      </c>
      <c r="F32" s="331">
        <f>'数据-取费表'!B41</f>
        <v>5.6000000000000001E-2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1220.57</v>
      </c>
      <c r="D33" s="1366" t="s">
        <v>3341</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3.3</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22028.620000000003</v>
      </c>
      <c r="G35" s="1380"/>
      <c r="H35" s="2693"/>
      <c r="I35" s="1394"/>
      <c r="J35" s="1395"/>
      <c r="K35" s="2697"/>
      <c r="L35" s="2696"/>
      <c r="M35" s="2696"/>
    </row>
    <row r="36" spans="1:18" ht="18" customHeight="1">
      <c r="A36" s="1098" t="s">
        <v>402</v>
      </c>
      <c r="B36" s="302" t="s">
        <v>738</v>
      </c>
      <c r="C36" s="21">
        <f ca="1">ROUND(C29*F36,2)</f>
        <v>402.19</v>
      </c>
      <c r="D36" s="1340" t="s">
        <v>771</v>
      </c>
      <c r="E36" s="302" t="s">
        <v>712</v>
      </c>
      <c r="F36" s="328">
        <f ca="1">INDIRECT("'数据-取费表'!Ak"&amp;$G$1)</f>
        <v>5.0000000000000001E-3</v>
      </c>
      <c r="G36" s="1380"/>
      <c r="H36" s="2696"/>
      <c r="I36" s="1394"/>
      <c r="J36" s="1395"/>
      <c r="K36" s="2540"/>
      <c r="L36" s="2696"/>
      <c r="M36" s="2696"/>
    </row>
    <row r="37" spans="1:18" ht="18" customHeight="1">
      <c r="A37" s="978" t="s">
        <v>437</v>
      </c>
      <c r="B37" s="302" t="s">
        <v>742</v>
      </c>
      <c r="C37" s="21">
        <f ca="1">ROUND(C13*F37,2)</f>
        <v>80.44</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ROUND(C5*F38,2)</f>
        <v>106.93</v>
      </c>
      <c r="D38" s="1088" t="s">
        <v>748</v>
      </c>
      <c r="E38" s="1086" t="s">
        <v>744</v>
      </c>
      <c r="F38" s="1082">
        <f ca="1">INDIRECT("'数据-取费表'!Am"&amp;$G$1)</f>
        <v>0.01</v>
      </c>
      <c r="G38" s="1380"/>
      <c r="H38" s="2696">
        <f ca="1">C30/C5</f>
        <v>0.22285607406714672</v>
      </c>
      <c r="I38" s="1394"/>
      <c r="J38" s="1395"/>
      <c r="K38" s="2700"/>
      <c r="L38" s="2696"/>
      <c r="M38" s="2696"/>
    </row>
    <row r="39" spans="1:18" ht="24.6" customHeight="1" thickTop="1">
      <c r="A39" s="1075" t="s">
        <v>394</v>
      </c>
      <c r="B39" s="1090" t="s">
        <v>772</v>
      </c>
      <c r="C39" s="310">
        <f ca="1">C5-C30</f>
        <v>8310</v>
      </c>
      <c r="D39" s="1091" t="s">
        <v>773</v>
      </c>
      <c r="E39" s="1092"/>
      <c r="F39" s="1093"/>
      <c r="G39" s="1380"/>
      <c r="H39" s="2696"/>
      <c r="I39" s="1394"/>
      <c r="J39" s="1395"/>
      <c r="K39" s="2700"/>
      <c r="L39" s="2696"/>
      <c r="M39" s="2696"/>
    </row>
    <row r="40" spans="1:18" ht="18" customHeight="1">
      <c r="A40" s="299" t="s">
        <v>395</v>
      </c>
      <c r="B40" s="300" t="s">
        <v>774</v>
      </c>
      <c r="C40" s="301">
        <f ca="1">ROUND(C39*(1-((1+F42)/(1+F40))^F41)/(F40-F42),0)</f>
        <v>173246</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34.04</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ROUND(C40*10000/F43,0)</f>
        <v>23979</v>
      </c>
      <c r="D43" s="337" t="s">
        <v>777</v>
      </c>
      <c r="E43" s="338" t="s">
        <v>778</v>
      </c>
      <c r="F43" s="339">
        <f ca="1">INDIRECT("'数据-取费表'!k"&amp;$G$1)</f>
        <v>72248.599999999991</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-180654</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3528</v>
      </c>
      <c r="K47" s="1412" t="s">
        <v>816</v>
      </c>
      <c r="L47" s="1413">
        <f ca="1">INDIRECT("'数据-取费表'!d"&amp;$G$1)</f>
        <v>50</v>
      </c>
      <c r="M47" s="1376" t="str">
        <f>IF(ISNUMBER(FIND("住宅",C1)),"住宅","非住宅")</f>
        <v>非住宅</v>
      </c>
      <c r="O47" s="1414" t="s">
        <v>403</v>
      </c>
      <c r="P47" s="1415" t="s">
        <v>817</v>
      </c>
      <c r="Q47" s="1416">
        <f ca="1">C40+J29</f>
        <v>173246</v>
      </c>
      <c r="R47" s="1416" t="s">
        <v>818</v>
      </c>
    </row>
    <row r="48" spans="1:18" s="1380" customFormat="1" ht="28.5" thickBot="1">
      <c r="A48" s="1106" t="s">
        <v>438</v>
      </c>
      <c r="B48" s="300" t="s">
        <v>692</v>
      </c>
      <c r="C48" s="1355">
        <f ca="1">C49+C53+C55</f>
        <v>0</v>
      </c>
      <c r="D48" s="1108"/>
      <c r="E48" s="1109"/>
      <c r="F48" s="958"/>
      <c r="G48" s="722"/>
      <c r="H48" s="723"/>
      <c r="I48" s="1417" t="s">
        <v>819</v>
      </c>
      <c r="J48" s="1418" t="s">
        <v>3529</v>
      </c>
      <c r="K48" s="1419" t="s">
        <v>820</v>
      </c>
      <c r="L48" s="1420">
        <f ca="1">INDIRECT("'数据-取费表'!f"&amp;$G$1)</f>
        <v>34.24</v>
      </c>
      <c r="O48" s="1414" t="s">
        <v>404</v>
      </c>
      <c r="P48" s="1415" t="s">
        <v>821</v>
      </c>
      <c r="Q48" s="1416" t="str">
        <f ca="1">J60</f>
        <v>0</v>
      </c>
      <c r="R48" s="1416" t="s">
        <v>822</v>
      </c>
    </row>
    <row r="49" spans="1:18" s="1380" customFormat="1" ht="13.5" thickBot="1">
      <c r="A49" s="971" t="s">
        <v>439</v>
      </c>
      <c r="B49" s="1367" t="s">
        <v>779</v>
      </c>
      <c r="C49" s="1110">
        <f ca="1">ROUND(F49*F51*F50*(1-F52)/10000,0)</f>
        <v>0</v>
      </c>
      <c r="D49" s="1051" t="s">
        <v>2109</v>
      </c>
      <c r="E49" s="1368" t="s">
        <v>780</v>
      </c>
      <c r="F49" s="1056"/>
      <c r="G49" s="1421"/>
      <c r="H49" s="723"/>
      <c r="I49" s="1417" t="s">
        <v>823</v>
      </c>
      <c r="J49" s="1422">
        <v>2023</v>
      </c>
      <c r="K49" s="1419" t="s">
        <v>824</v>
      </c>
      <c r="L49" s="1423"/>
      <c r="O49" s="1424" t="s">
        <v>405</v>
      </c>
      <c r="P49" s="1415" t="s">
        <v>825</v>
      </c>
      <c r="Q49" s="1416">
        <f ca="1">C29</f>
        <v>80437</v>
      </c>
      <c r="R49" s="1416" t="s">
        <v>818</v>
      </c>
    </row>
    <row r="50" spans="1:18" s="1380" customFormat="1" ht="13.5" thickBot="1">
      <c r="A50" s="972"/>
      <c r="B50" s="975"/>
      <c r="C50" s="1114"/>
      <c r="D50" s="949"/>
      <c r="E50" s="1052" t="s">
        <v>697</v>
      </c>
      <c r="F50" s="1053">
        <f ca="1">F7</f>
        <v>72248.599999999991</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3">
        <f ca="1">F8</f>
        <v>365</v>
      </c>
      <c r="I51" s="1428" t="s">
        <v>829</v>
      </c>
      <c r="J51" s="1429">
        <f>IF(J49="",J50,J49+J50-YEAR('数据-取费表'!B2))</f>
        <v>60</v>
      </c>
      <c r="K51" s="1430" t="s">
        <v>830</v>
      </c>
      <c r="L51" s="1431">
        <f ca="1">ROUND(-PV(INDIRECT("'数据-取费表'!h"&amp;$G$1),J51,(C39-C13*C76),0),0)</f>
        <v>50719</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34.04</v>
      </c>
      <c r="R52" s="1416" t="s">
        <v>835</v>
      </c>
    </row>
    <row r="53" spans="1:18" s="1380" customFormat="1" ht="24.75" thickBot="1">
      <c r="A53" s="1148" t="s">
        <v>440</v>
      </c>
      <c r="B53" s="1369" t="s">
        <v>700</v>
      </c>
      <c r="C53" s="316">
        <f ca="1">ROUND(IF(F53="押一",C49/12*F11,IF(F53="押二",C49/12*2*F11,IF(F53="押三",C49/12*3*F11,C54*F11))),0)</f>
        <v>0</v>
      </c>
      <c r="D53" s="1362" t="s">
        <v>2115</v>
      </c>
      <c r="E53" s="313" t="s">
        <v>701</v>
      </c>
      <c r="F53" s="1112"/>
      <c r="I53" s="1435" t="s">
        <v>836</v>
      </c>
      <c r="J53" s="2164">
        <f ca="1">IF(M47="住宅",IF(D1="——",MAX(J51,L48),MAX(J51,L48-'数据-取费表'!B24)),IF(D1="——",MIN(J51,L48),MIN(J51,L48-'数据-取费表'!B24)))</f>
        <v>34.04</v>
      </c>
      <c r="K53" s="3700" t="s">
        <v>837</v>
      </c>
      <c r="L53" s="3701"/>
      <c r="O53" s="1414" t="s">
        <v>409</v>
      </c>
      <c r="P53" s="1415" t="s">
        <v>838</v>
      </c>
      <c r="Q53" s="1416">
        <f ca="1">Q47+Q48</f>
        <v>173246</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3">
        <v>2</v>
      </c>
      <c r="B56" s="954" t="s">
        <v>704</v>
      </c>
      <c r="C56" s="232">
        <f ca="1">C13</f>
        <v>80437</v>
      </c>
      <c r="D56" s="1443"/>
      <c r="E56" s="1444"/>
      <c r="F56" s="1436"/>
      <c r="I56" s="1445" t="s">
        <v>842</v>
      </c>
      <c r="J56" s="1446" t="s">
        <v>3405</v>
      </c>
      <c r="K56" s="1417" t="s">
        <v>843</v>
      </c>
      <c r="L56" s="1420" t="str">
        <f ca="1">IF(L48&lt;J51,"——",L48-J53)</f>
        <v>——</v>
      </c>
      <c r="O56" s="1414" t="s">
        <v>403</v>
      </c>
      <c r="P56" s="1415" t="s">
        <v>817</v>
      </c>
      <c r="Q56" s="1416">
        <f ca="1">C40+J29</f>
        <v>173246</v>
      </c>
      <c r="R56" s="1416" t="s">
        <v>818</v>
      </c>
    </row>
    <row r="57" spans="1:18" s="1380" customFormat="1" ht="24.75" thickBot="1">
      <c r="A57" s="1447"/>
      <c r="B57" s="946" t="s">
        <v>767</v>
      </c>
      <c r="C57" s="238">
        <f ca="1">C29</f>
        <v>80437</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486</v>
      </c>
      <c r="D58" s="956" t="s">
        <v>715</v>
      </c>
      <c r="E58" s="957"/>
      <c r="F58" s="958"/>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3</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3341</v>
      </c>
      <c r="E61" s="946"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8" t="s">
        <v>784</v>
      </c>
      <c r="B62" s="945" t="s">
        <v>785</v>
      </c>
      <c r="C62" s="22">
        <f ca="1">IF(项目基本情况!B11="自然人","——",ROUND(F62*F63/10000,2))</f>
        <v>3.3</v>
      </c>
      <c r="D62" s="961" t="s">
        <v>786</v>
      </c>
      <c r="E62" s="946" t="s">
        <v>787</v>
      </c>
      <c r="F62" s="325">
        <f t="shared" si="0"/>
        <v>1.5</v>
      </c>
      <c r="I62" s="1458" t="s">
        <v>858</v>
      </c>
      <c r="J62" s="1459" t="s">
        <v>859</v>
      </c>
      <c r="K62" s="1459" t="s">
        <v>860</v>
      </c>
      <c r="L62" s="1459" t="s">
        <v>861</v>
      </c>
      <c r="M62" s="1460" t="s">
        <v>862</v>
      </c>
      <c r="O62" s="1414" t="s">
        <v>409</v>
      </c>
      <c r="P62" s="1415" t="s">
        <v>863</v>
      </c>
      <c r="Q62" s="1416">
        <f ca="1">Q56+Q57</f>
        <v>173246</v>
      </c>
      <c r="R62" s="1416" t="s">
        <v>410</v>
      </c>
    </row>
    <row r="63" spans="1:18" s="1380" customFormat="1" ht="13.5" thickBot="1">
      <c r="A63" s="326"/>
      <c r="B63" s="952"/>
      <c r="C63" s="26"/>
      <c r="D63" s="962"/>
      <c r="E63" s="946" t="s">
        <v>788</v>
      </c>
      <c r="F63" s="303">
        <f t="shared" ca="1" si="0"/>
        <v>22028.620000000003</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402.19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80.44</v>
      </c>
      <c r="D65" s="960" t="s">
        <v>743</v>
      </c>
      <c r="E65" s="946" t="s">
        <v>744</v>
      </c>
      <c r="F65" s="330">
        <f t="shared" ca="1" si="0"/>
        <v>1E-3</v>
      </c>
      <c r="I65" s="1458" t="s">
        <v>867</v>
      </c>
      <c r="J65" s="1459">
        <v>40</v>
      </c>
      <c r="K65" s="1459">
        <v>30</v>
      </c>
      <c r="L65" s="1459">
        <v>50</v>
      </c>
      <c r="M65" s="1461">
        <v>0.02</v>
      </c>
      <c r="O65" s="1414" t="s">
        <v>403</v>
      </c>
      <c r="P65" s="1415" t="s">
        <v>868</v>
      </c>
      <c r="Q65" s="1416">
        <f ca="1">C40+J29</f>
        <v>173246</v>
      </c>
      <c r="R65" s="1416" t="s">
        <v>818</v>
      </c>
    </row>
    <row r="66" spans="1:18" s="1380" customFormat="1" ht="16.5" thickBot="1">
      <c r="A66" s="978" t="s">
        <v>793</v>
      </c>
      <c r="B66" s="946" t="s">
        <v>728</v>
      </c>
      <c r="C66" s="21">
        <f ca="1">ROUND(C48*F66,2)</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-486</v>
      </c>
      <c r="D67" s="959" t="s">
        <v>753</v>
      </c>
      <c r="E67" s="964"/>
      <c r="F67" s="965"/>
      <c r="O67" s="1424" t="s">
        <v>405</v>
      </c>
      <c r="P67" s="1415" t="s">
        <v>850</v>
      </c>
      <c r="Q67" s="1462">
        <f ca="1">L51</f>
        <v>50719</v>
      </c>
      <c r="R67" s="1416" t="s">
        <v>870</v>
      </c>
    </row>
    <row r="68" spans="1:18" s="1380" customFormat="1" ht="16.5" thickBot="1">
      <c r="A68" s="943" t="s">
        <v>395</v>
      </c>
      <c r="B68" s="944" t="s">
        <v>774</v>
      </c>
      <c r="C68" s="301">
        <f ca="1">ROUND(C67*(1-((1+F70)/(1+F68))^F69)/(F68-F70),0)</f>
        <v>-7408</v>
      </c>
      <c r="D68" s="961" t="s">
        <v>758</v>
      </c>
      <c r="E68" s="946" t="s">
        <v>759</v>
      </c>
      <c r="F68" s="312">
        <f ca="1">F40</f>
        <v>5.5E-2</v>
      </c>
      <c r="O68" s="1424" t="s">
        <v>406</v>
      </c>
      <c r="P68" s="1463" t="s">
        <v>871</v>
      </c>
      <c r="Q68" s="1416">
        <f ca="1">ROUND(Q69-Q70*Q71,0)</f>
        <v>2679</v>
      </c>
      <c r="R68" s="1416" t="s">
        <v>414</v>
      </c>
    </row>
    <row r="69" spans="1:18" s="1380" customFormat="1" ht="13.5" thickBot="1">
      <c r="A69" s="947"/>
      <c r="B69" s="948"/>
      <c r="C69" s="306"/>
      <c r="D69" s="966" t="s">
        <v>762</v>
      </c>
      <c r="E69" s="946" t="s">
        <v>763</v>
      </c>
      <c r="F69" s="333">
        <f ca="1">F41</f>
        <v>34.04</v>
      </c>
      <c r="O69" s="1424" t="s">
        <v>411</v>
      </c>
      <c r="P69" s="1463" t="s">
        <v>872</v>
      </c>
      <c r="Q69" s="1416">
        <f ca="1">C39</f>
        <v>8310</v>
      </c>
      <c r="R69" s="1416" t="s">
        <v>818</v>
      </c>
    </row>
    <row r="70" spans="1:18" s="1380" customFormat="1" ht="13.5" thickBot="1">
      <c r="A70" s="950"/>
      <c r="B70" s="951"/>
      <c r="C70" s="310"/>
      <c r="D70" s="962"/>
      <c r="E70" s="946" t="s">
        <v>766</v>
      </c>
      <c r="F70" s="1050"/>
      <c r="O70" s="1424" t="s">
        <v>412</v>
      </c>
      <c r="P70" s="1463" t="s">
        <v>873</v>
      </c>
      <c r="Q70" s="1416">
        <f ca="1">C13</f>
        <v>80437</v>
      </c>
      <c r="R70" s="1416" t="s">
        <v>818</v>
      </c>
    </row>
    <row r="71" spans="1:18" s="1380" customFormat="1" ht="13.5" thickBot="1">
      <c r="A71" s="967" t="s">
        <v>396</v>
      </c>
      <c r="B71" s="968" t="s">
        <v>776</v>
      </c>
      <c r="C71" s="336">
        <f ca="1">ROUND(C68*10000/F71,0)</f>
        <v>-1025</v>
      </c>
      <c r="D71" s="969" t="s">
        <v>777</v>
      </c>
      <c r="E71" s="970" t="s">
        <v>778</v>
      </c>
      <c r="F71" s="339">
        <f ca="1">F43</f>
        <v>72248.599999999991</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5631</v>
      </c>
      <c r="D75" s="1380"/>
      <c r="E75" s="1380"/>
      <c r="F75" s="1380"/>
      <c r="K75" s="1398"/>
      <c r="L75" s="1380"/>
      <c r="O75" s="1414" t="s">
        <v>409</v>
      </c>
      <c r="P75" s="1415" t="s">
        <v>838</v>
      </c>
      <c r="Q75" s="1416">
        <f ca="1">Q65+Q66</f>
        <v>173246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0.32199999999999995</v>
      </c>
    </row>
    <row r="80" spans="1:18">
      <c r="B80" s="340" t="s">
        <v>800</v>
      </c>
      <c r="C80" s="274">
        <f ca="1">ROUND(C75/C39,3)</f>
        <v>0.67800000000000005</v>
      </c>
    </row>
    <row r="81" spans="2:3">
      <c r="B81" s="270" t="s">
        <v>801</v>
      </c>
      <c r="C81" s="238"/>
    </row>
    <row r="82" spans="2:3">
      <c r="B82" s="273" t="s">
        <v>802</v>
      </c>
      <c r="C82" s="275">
        <f ca="1">1-C83</f>
        <v>0.53600000000000003</v>
      </c>
    </row>
    <row r="83" spans="2:3">
      <c r="B83" s="273" t="s">
        <v>803</v>
      </c>
      <c r="C83" s="274">
        <f ca="1">ROUND(C13/C40,3)</f>
        <v>0.46400000000000002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0</v>
      </c>
      <c r="D5" s="1360" t="s">
        <v>889</v>
      </c>
      <c r="E5" s="1067"/>
      <c r="F5" s="1068"/>
      <c r="G5" s="1380"/>
      <c r="H5" s="299">
        <v>1</v>
      </c>
      <c r="I5" s="300" t="s">
        <v>888</v>
      </c>
      <c r="J5" s="1066">
        <f ca="1">J6+J10+J12</f>
        <v>0</v>
      </c>
      <c r="K5" s="1360" t="s">
        <v>889</v>
      </c>
      <c r="L5" s="1067"/>
      <c r="M5" s="1068"/>
    </row>
    <row r="6" spans="1:37" ht="18" customHeight="1">
      <c r="A6" s="1065" t="s">
        <v>398</v>
      </c>
      <c r="B6" s="3697" t="s">
        <v>694</v>
      </c>
      <c r="C6" s="1070">
        <f ca="1">ROUND(F6*F8*F7*(1-F9),0)</f>
        <v>0</v>
      </c>
      <c r="D6" s="155" t="s">
        <v>2105</v>
      </c>
      <c r="E6" s="302" t="s">
        <v>696</v>
      </c>
      <c r="F6" s="303">
        <f ca="1">INDIRECT("'数据-取费表'!u"&amp;$G$1)</f>
        <v>0</v>
      </c>
      <c r="G6" s="1380"/>
      <c r="H6" s="1065" t="s">
        <v>398</v>
      </c>
      <c r="I6" s="3697" t="s">
        <v>694</v>
      </c>
      <c r="J6" s="301">
        <f ca="1">ROUND(M6*M8*M7*(1-M9),0)</f>
        <v>0</v>
      </c>
      <c r="K6" s="1372" t="s">
        <v>2106</v>
      </c>
      <c r="L6" s="302" t="s">
        <v>696</v>
      </c>
      <c r="M6" s="303">
        <f ca="1">INDIRECT("'数据-取费表'!z"&amp;$G$1)</f>
        <v>0</v>
      </c>
    </row>
    <row r="7" spans="1:37" ht="18" customHeight="1">
      <c r="A7" s="1069"/>
      <c r="B7" s="3698"/>
      <c r="C7" s="1071"/>
      <c r="D7" s="307"/>
      <c r="E7" s="1072" t="s">
        <v>697</v>
      </c>
      <c r="F7" s="303">
        <f ca="1">IF(INDIRECT("'数据-取费表'!ah"&amp;$G$1)="",INDIRECT("'数据-取费表'!k"&amp;$G$1),INDIRECT("'数据-取费表'!ah"&amp;$G$1))</f>
        <v>0</v>
      </c>
      <c r="G7" s="1380"/>
      <c r="H7" s="304"/>
      <c r="I7" s="3698"/>
      <c r="J7" s="306"/>
      <c r="K7" s="307"/>
      <c r="L7" s="302" t="s">
        <v>697</v>
      </c>
      <c r="M7" s="303">
        <f ca="1">F7</f>
        <v>0</v>
      </c>
    </row>
    <row r="8" spans="1:37" ht="18" customHeight="1">
      <c r="A8" s="304"/>
      <c r="B8" s="3698"/>
      <c r="C8" s="306"/>
      <c r="D8" s="307"/>
      <c r="E8" s="302" t="s">
        <v>698</v>
      </c>
      <c r="F8" s="303">
        <f ca="1">INDIRECT("'数据-取费表'!ai"&amp;$G$1)</f>
        <v>0</v>
      </c>
      <c r="G8" s="1380"/>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0"/>
      <c r="H9" s="304"/>
      <c r="I9" s="369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73" t="s">
        <v>2117</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ROUND(F17*(F43+INDIRECT("'数据-取费表'!S"&amp;$G$1)),0)</f>
        <v>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1.4999999999999999E-2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IF(K19="按租金收入计税",ROUND(J6*M19/(1+'数据-取费表'!C42),0),ROUND(C29*M19*0.7,0))</f>
        <v>0</v>
      </c>
      <c r="K19" s="1366" t="s">
        <v>3341</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2"/>
      <c r="H23" s="978"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8"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6" t="s">
        <v>3341</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IF(项目基本情况!B11="自然人","——",ROUND(F34*F35,0))</f>
        <v>0</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0</v>
      </c>
      <c r="G35" s="1380"/>
      <c r="H35" s="2693"/>
      <c r="I35" s="1394"/>
      <c r="J35" s="1395"/>
      <c r="K35" s="2697"/>
      <c r="L35" s="2696"/>
      <c r="M35" s="2696"/>
    </row>
    <row r="36" spans="1:18" ht="18" customHeight="1">
      <c r="A36" s="1098"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8"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10">
        <f ca="1">C5-C30</f>
        <v>0</v>
      </c>
      <c r="D39" s="1091" t="s">
        <v>773</v>
      </c>
      <c r="E39" s="1092"/>
      <c r="F39" s="1093"/>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3357</v>
      </c>
      <c r="B45" s="1396"/>
      <c r="C45" s="1468" t="e">
        <f ca="1">ROUND((C68-C40)/10000,4)</f>
        <v>#DIV/0!</v>
      </c>
      <c r="D45" s="3428" t="s">
        <v>3358</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3" t="s">
        <v>700</v>
      </c>
      <c r="C53" s="316">
        <f ca="1">ROUND(IF(F53="押一",C49/12*F11,IF(F53="押二",C49/12*2*F11,IF(F53="押三",C49/12*3*F11,C54*F11))),0)</f>
        <v>0</v>
      </c>
      <c r="D53" s="1362" t="s">
        <v>2118</v>
      </c>
      <c r="E53" s="313" t="s">
        <v>701</v>
      </c>
      <c r="F53" s="1112"/>
      <c r="I53" s="1435" t="s">
        <v>836</v>
      </c>
      <c r="J53" s="2164">
        <f ca="1">IF(M47="住宅",IF(D1="——",MAX(J51,L48),MAX(J51,L48-'数据-取费表'!B24)),IF(D1="——",MIN(J51,L48),MIN(J51,L48-'数据-取费表'!B24)))</f>
        <v>0</v>
      </c>
      <c r="K53" s="3700" t="s">
        <v>837</v>
      </c>
      <c r="L53" s="3701"/>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3341</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1" t="s">
        <v>2318</v>
      </c>
      <c r="B2" s="2839" t="e">
        <f>IF(D2="——",C40,C40+E2)</f>
        <v>#DIV/0!</v>
      </c>
      <c r="C2" s="2840" t="s">
        <v>2319</v>
      </c>
      <c r="D2" s="3439" t="s">
        <v>3364</v>
      </c>
      <c r="E2" s="3440"/>
      <c r="F2" s="2842"/>
      <c r="G2" s="2843"/>
      <c r="H2" s="2844"/>
      <c r="I2" s="2845"/>
      <c r="J2" s="3702" t="s">
        <v>2320</v>
      </c>
      <c r="K2" s="3703"/>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04" t="s">
        <v>2330</v>
      </c>
      <c r="K3" s="3705"/>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04" t="s">
        <v>2332</v>
      </c>
      <c r="K4" s="3705"/>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06" t="s">
        <v>2336</v>
      </c>
      <c r="B6" s="3707"/>
      <c r="C6" s="3708"/>
      <c r="D6" s="2866"/>
      <c r="E6" s="2867"/>
      <c r="F6" s="2868"/>
      <c r="G6" s="2869"/>
      <c r="H6" s="2844"/>
      <c r="I6" s="2845"/>
      <c r="J6" s="3709">
        <v>1</v>
      </c>
      <c r="K6" s="3710"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09"/>
      <c r="K7" s="3711"/>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13" t="s">
        <v>2350</v>
      </c>
      <c r="C8" s="3714"/>
      <c r="D8" s="2885" t="s">
        <v>2351</v>
      </c>
      <c r="E8" s="2886" t="s">
        <v>2352</v>
      </c>
      <c r="F8" s="2887" t="s">
        <v>2353</v>
      </c>
      <c r="G8" s="2888"/>
      <c r="H8" s="2844"/>
      <c r="I8" s="2845"/>
      <c r="J8" s="3709"/>
      <c r="K8" s="3711"/>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13" t="s">
        <v>2356</v>
      </c>
      <c r="C9" s="3714"/>
      <c r="D9" s="2885">
        <f>ROUND(D6*E9,0)</f>
        <v>0</v>
      </c>
      <c r="E9" s="2889"/>
      <c r="F9" s="2890" t="s">
        <v>2357</v>
      </c>
      <c r="G9" s="2869"/>
      <c r="H9" s="2844"/>
      <c r="I9" s="2845"/>
      <c r="J9" s="3709"/>
      <c r="K9" s="3711"/>
      <c r="L9" s="2879" t="s">
        <v>2358</v>
      </c>
      <c r="M9" s="2880"/>
      <c r="N9" s="2856"/>
      <c r="O9" s="2881"/>
      <c r="P9" s="2881"/>
      <c r="Q9" s="2882">
        <v>365</v>
      </c>
      <c r="R9" s="2883">
        <f t="shared" si="0"/>
        <v>0</v>
      </c>
      <c r="S9" s="2837"/>
      <c r="T9" s="2837"/>
      <c r="U9" s="2837"/>
      <c r="V9" s="2845"/>
    </row>
    <row r="10" spans="1:22" s="2849" customFormat="1" ht="13.15" customHeight="1">
      <c r="A10" s="2884">
        <v>2</v>
      </c>
      <c r="B10" s="3713" t="s">
        <v>2359</v>
      </c>
      <c r="C10" s="3714"/>
      <c r="D10" s="2885">
        <f>ROUND(D6*E10,0)</f>
        <v>0</v>
      </c>
      <c r="E10" s="2889"/>
      <c r="F10" s="2890" t="s">
        <v>2360</v>
      </c>
      <c r="G10" s="2869"/>
      <c r="H10" s="2844"/>
      <c r="I10" s="2845"/>
      <c r="J10" s="3709"/>
      <c r="K10" s="3711"/>
      <c r="L10" s="2879" t="s">
        <v>2361</v>
      </c>
      <c r="M10" s="2880"/>
      <c r="N10" s="2856"/>
      <c r="O10" s="2881"/>
      <c r="P10" s="2881"/>
      <c r="Q10" s="2882">
        <v>365</v>
      </c>
      <c r="R10" s="2883">
        <f t="shared" si="0"/>
        <v>0</v>
      </c>
      <c r="S10" s="2837"/>
      <c r="T10" s="2837"/>
      <c r="U10" s="2837"/>
      <c r="V10" s="2845"/>
    </row>
    <row r="11" spans="1:22" s="2849" customFormat="1" ht="13.15" customHeight="1">
      <c r="A11" s="2884">
        <v>3</v>
      </c>
      <c r="B11" s="3713" t="s">
        <v>2362</v>
      </c>
      <c r="C11" s="3714"/>
      <c r="D11" s="2885">
        <f>D12+D14+D15+D16</f>
        <v>0</v>
      </c>
      <c r="E11" s="2891" t="e">
        <f>D11/D6</f>
        <v>#DIV/0!</v>
      </c>
      <c r="F11" s="2887"/>
      <c r="G11" s="2888"/>
      <c r="H11" s="2844"/>
      <c r="I11" s="2845"/>
      <c r="J11" s="3709"/>
      <c r="K11" s="3711"/>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15" t="s">
        <v>2365</v>
      </c>
      <c r="C12" s="3716"/>
      <c r="D12" s="2893">
        <f>ROUND(D13*1.2%*(1-30%),0)</f>
        <v>0</v>
      </c>
      <c r="E12" s="2894">
        <v>1.2E-2</v>
      </c>
      <c r="F12" s="2887" t="s">
        <v>2366</v>
      </c>
      <c r="G12" s="2888"/>
      <c r="H12" s="2844"/>
      <c r="I12" s="2845"/>
      <c r="J12" s="3709"/>
      <c r="K12" s="3711"/>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09"/>
      <c r="K13" s="3711"/>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15" t="s">
        <v>2371</v>
      </c>
      <c r="C14" s="3716"/>
      <c r="D14" s="2893">
        <f>ROUND(E14*B5/10000,0)</f>
        <v>0</v>
      </c>
      <c r="E14" s="2882"/>
      <c r="F14" s="2887" t="s">
        <v>2372</v>
      </c>
      <c r="G14" s="2888"/>
      <c r="H14" s="2844"/>
      <c r="I14" s="2845"/>
      <c r="J14" s="3709"/>
      <c r="K14" s="3712"/>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15" t="s">
        <v>2375</v>
      </c>
      <c r="C15" s="3716"/>
      <c r="D15" s="2893">
        <f>ROUND(D6*E15,0)</f>
        <v>0</v>
      </c>
      <c r="E15" s="2894">
        <v>5.5E-2</v>
      </c>
      <c r="F15" s="2887" t="s">
        <v>2376</v>
      </c>
      <c r="G15" s="2869"/>
      <c r="H15" s="2844"/>
      <c r="I15" s="2845"/>
      <c r="J15" s="3709">
        <v>2</v>
      </c>
      <c r="K15" s="3710"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15" t="s">
        <v>2384</v>
      </c>
      <c r="C16" s="3716"/>
      <c r="D16" s="2904">
        <f>D6*E16</f>
        <v>0</v>
      </c>
      <c r="E16" s="2905"/>
      <c r="F16" s="2890" t="s">
        <v>2385</v>
      </c>
      <c r="G16" s="2869"/>
      <c r="H16" s="2844"/>
      <c r="I16" s="2845"/>
      <c r="J16" s="3709"/>
      <c r="K16" s="3711"/>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17" t="s">
        <v>2387</v>
      </c>
      <c r="C17" s="3718"/>
      <c r="D17" s="2907">
        <f>ROUND(D6*E17,0)</f>
        <v>0</v>
      </c>
      <c r="E17" s="2908"/>
      <c r="F17" s="2909" t="s">
        <v>2388</v>
      </c>
      <c r="G17" s="2869"/>
      <c r="H17" s="2844"/>
      <c r="I17" s="2845"/>
      <c r="J17" s="3709"/>
      <c r="K17" s="3711"/>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09"/>
      <c r="K18" s="3711"/>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09"/>
      <c r="K19" s="3712"/>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09">
        <v>3</v>
      </c>
      <c r="K20" s="3710"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09"/>
      <c r="K21" s="3711"/>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09"/>
      <c r="K22" s="3711"/>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09"/>
      <c r="K23" s="3711"/>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09"/>
      <c r="K24" s="3712"/>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19">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2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02" t="s">
        <v>2320</v>
      </c>
      <c r="K32" s="3703"/>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04" t="s">
        <v>2330</v>
      </c>
      <c r="K33" s="3705"/>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04" t="s">
        <v>2332</v>
      </c>
      <c r="K34" s="370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09">
        <v>1</v>
      </c>
      <c r="K36" s="3710"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09"/>
      <c r="K37" s="3711"/>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09"/>
      <c r="K38" s="3711"/>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09"/>
      <c r="K39" s="3711"/>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09"/>
      <c r="K40" s="3712"/>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9">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2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1657</v>
      </c>
      <c r="B1" s="1864"/>
      <c r="C1" s="1864"/>
      <c r="D1" s="1864"/>
      <c r="E1" s="1865"/>
      <c r="F1" s="2703"/>
      <c r="G1" s="1485"/>
      <c r="H1" s="1485"/>
      <c r="I1" s="1485"/>
      <c r="J1" s="1485"/>
      <c r="K1" s="1485"/>
      <c r="L1" s="1485"/>
      <c r="M1" s="1485"/>
      <c r="N1" s="1485"/>
      <c r="O1" s="1485"/>
      <c r="P1" s="1485"/>
      <c r="Q1" s="1485"/>
      <c r="R1" s="1485"/>
      <c r="S1" s="1485"/>
    </row>
    <row r="2" spans="1:22" ht="15.75">
      <c r="A2" s="1866" t="s">
        <v>1461</v>
      </c>
      <c r="B2" s="1867">
        <f ca="1">SUMIF(B6:B13,"&lt;&gt;#ref!",B6:B13)</f>
        <v>202057</v>
      </c>
      <c r="C2" s="1868" t="s">
        <v>1650</v>
      </c>
      <c r="D2" s="1869" t="s">
        <v>1651</v>
      </c>
      <c r="E2" s="2603">
        <f>SUM(E6:E13)</f>
        <v>131745.91</v>
      </c>
      <c r="F2" s="2703"/>
      <c r="G2" s="1485"/>
      <c r="H2" s="1485"/>
      <c r="I2" s="1485"/>
      <c r="J2" s="1485"/>
      <c r="K2" s="1485"/>
      <c r="L2" s="1485"/>
      <c r="M2" s="1485"/>
      <c r="N2" s="1485"/>
      <c r="O2" s="1485"/>
      <c r="P2" s="1485"/>
      <c r="Q2" s="1485"/>
      <c r="R2" s="1485"/>
      <c r="S2" s="1485"/>
    </row>
    <row r="3" spans="1:22" ht="15.75">
      <c r="A3" s="1866" t="s">
        <v>686</v>
      </c>
      <c r="B3" s="2597">
        <f ca="1">ROUND(B2*10000/E2,0)</f>
        <v>15337</v>
      </c>
      <c r="C3" s="1868" t="s">
        <v>1658</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1652</v>
      </c>
      <c r="B5" s="3721" t="s">
        <v>1653</v>
      </c>
      <c r="C5" s="3722"/>
      <c r="D5" s="2704"/>
      <c r="E5" s="1870" t="s">
        <v>1654</v>
      </c>
      <c r="F5" s="1871" t="s">
        <v>1655</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173246</v>
      </c>
      <c r="C6" s="1868" t="s">
        <v>1650</v>
      </c>
      <c r="D6" s="2705"/>
      <c r="E6" s="2602">
        <f>IF(OR(A6=0,F6="否"),0,'数据-取费表'!K6+'数据-取费表'!S6)</f>
        <v>80766.53</v>
      </c>
      <c r="F6" s="1872" t="s">
        <v>1656</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22058</v>
      </c>
      <c r="C7" s="1868" t="s">
        <v>1650</v>
      </c>
      <c r="D7" s="2705"/>
      <c r="E7" s="2602">
        <f>IF(OR(A7=0,F7="否"),0,'数据-取费表'!K7+'数据-取费表'!S7)</f>
        <v>16814.490000000002</v>
      </c>
      <c r="F7" s="1872" t="s">
        <v>1656</v>
      </c>
      <c r="G7" s="1485"/>
      <c r="H7" s="1485"/>
      <c r="I7" s="1485"/>
      <c r="J7" s="1485"/>
      <c r="K7" s="1485"/>
      <c r="L7" s="1485"/>
      <c r="M7" s="1485"/>
      <c r="N7" s="1485"/>
      <c r="O7" s="1485"/>
      <c r="P7" s="1485"/>
      <c r="Q7" s="1485"/>
      <c r="R7" s="1485"/>
      <c r="S7" s="1485"/>
    </row>
    <row r="8" spans="1:22">
      <c r="A8" s="2600" t="str">
        <f>'数据-取费表'!AN8</f>
        <v>收益法-地下车库</v>
      </c>
      <c r="B8" s="2598">
        <f ca="1">IF(F8="是",'数据-取费表'!AO8,0)</f>
        <v>6753</v>
      </c>
      <c r="C8" s="1868" t="s">
        <v>1650</v>
      </c>
      <c r="D8" s="2705"/>
      <c r="E8" s="2602">
        <f>IF(OR(A8=0,F8="否"),0,'数据-取费表'!K8+'数据-取费表'!S8)</f>
        <v>34164.890000000007</v>
      </c>
      <c r="F8" s="1872" t="s">
        <v>1656</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1650</v>
      </c>
      <c r="D9" s="2705"/>
      <c r="E9" s="2602">
        <f>IF(OR(A9=0,F9="否"),0,'数据-取费表'!K9+'数据-取费表'!S9)</f>
        <v>0</v>
      </c>
      <c r="F9" s="1872" t="s">
        <v>1656</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1650</v>
      </c>
      <c r="D10" s="2705"/>
      <c r="E10" s="2602">
        <f>IF(OR(A10=0,F10="否"),0,'数据-取费表'!K10+'数据-取费表'!S10)</f>
        <v>0</v>
      </c>
      <c r="F10" s="1872" t="s">
        <v>1656</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1650</v>
      </c>
      <c r="D11" s="2705"/>
      <c r="E11" s="2602">
        <f>IF(OR(A11=0,F11="否"),0,'数据-取费表'!K11+'数据-取费表'!S11)</f>
        <v>0</v>
      </c>
      <c r="F11" s="1872" t="s">
        <v>1656</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1650</v>
      </c>
      <c r="D12" s="2705"/>
      <c r="E12" s="2602">
        <f>IF(OR(A12=0,F12="否"),0,'数据-取费表'!K12+'数据-取费表'!S12)</f>
        <v>0</v>
      </c>
      <c r="F12" s="1872" t="s">
        <v>1656</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1650</v>
      </c>
      <c r="D13" s="2706"/>
      <c r="E13" s="2602">
        <f>IF(OR(A13=0,F13="否"),0,'数据-取费表'!K13+'数据-取费表'!S13)</f>
        <v>0</v>
      </c>
      <c r="F13" s="1872" t="s">
        <v>1656</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4" t="s">
        <v>1660</v>
      </c>
      <c r="C1" s="1234" t="s">
        <v>1661</v>
      </c>
      <c r="D1" s="1221"/>
      <c r="E1" s="3422"/>
      <c r="F1" s="1875"/>
      <c r="G1" s="1231" t="s">
        <v>1662</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1663</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1664</v>
      </c>
      <c r="D3" s="353">
        <f>IF(D1="",'数据-汇总表'!E3,SUMIF('数据-汇总表'!$C19:$C33,D1,'数据-汇总表'!$E19:$E33))</f>
        <v>131745.91</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1665</v>
      </c>
      <c r="B4" s="356"/>
      <c r="C4" s="3741" t="s">
        <v>1666</v>
      </c>
      <c r="D4" s="3742"/>
      <c r="E4" s="3743" t="s">
        <v>1667</v>
      </c>
      <c r="F4" s="3744"/>
      <c r="G4" s="3741" t="s">
        <v>1668</v>
      </c>
      <c r="H4" s="3742"/>
      <c r="I4" s="3741" t="s">
        <v>1669</v>
      </c>
      <c r="J4" s="3742"/>
      <c r="K4" s="1885" t="s">
        <v>1670</v>
      </c>
      <c r="L4" s="2711"/>
      <c r="M4" s="2712"/>
      <c r="N4" s="2712"/>
      <c r="O4" s="2712"/>
      <c r="P4" s="3745" t="s">
        <v>1671</v>
      </c>
      <c r="Q4" s="3746"/>
      <c r="R4" s="3728" t="s">
        <v>1667</v>
      </c>
      <c r="S4" s="3729"/>
      <c r="T4" s="3728" t="s">
        <v>1668</v>
      </c>
      <c r="U4" s="3729"/>
      <c r="V4" s="3753" t="s">
        <v>1669</v>
      </c>
      <c r="W4" s="3753"/>
      <c r="X4" s="1351"/>
      <c r="Y4" s="3728" t="s">
        <v>1671</v>
      </c>
      <c r="Z4" s="3729"/>
      <c r="AA4" s="3723" t="s">
        <v>1667</v>
      </c>
      <c r="AB4" s="3723" t="s">
        <v>1668</v>
      </c>
      <c r="AC4" s="3723" t="s">
        <v>1669</v>
      </c>
    </row>
    <row r="5" spans="1:29" ht="15">
      <c r="A5" s="358"/>
      <c r="B5" s="359"/>
      <c r="C5" s="3734" t="s">
        <v>1672</v>
      </c>
      <c r="D5" s="3735"/>
      <c r="E5" s="3732" t="s">
        <v>1673</v>
      </c>
      <c r="F5" s="3733"/>
      <c r="G5" s="3734" t="s">
        <v>1674</v>
      </c>
      <c r="H5" s="3735"/>
      <c r="I5" s="3734" t="s">
        <v>1675</v>
      </c>
      <c r="J5" s="3735"/>
      <c r="K5" s="1886"/>
      <c r="L5" s="2711"/>
      <c r="M5" s="2712"/>
      <c r="N5" s="2712"/>
      <c r="O5" s="2712"/>
      <c r="P5" s="3747"/>
      <c r="Q5" s="3748"/>
      <c r="R5" s="3730"/>
      <c r="S5" s="3731"/>
      <c r="T5" s="3730"/>
      <c r="U5" s="3731"/>
      <c r="V5" s="3753"/>
      <c r="W5" s="3753"/>
      <c r="X5" s="1351"/>
      <c r="Y5" s="3730"/>
      <c r="Z5" s="3731"/>
      <c r="AA5" s="3724"/>
      <c r="AB5" s="3724"/>
      <c r="AC5" s="3724"/>
    </row>
    <row r="6" spans="1:29" ht="15.75" thickBot="1">
      <c r="A6" s="360"/>
      <c r="B6" s="361"/>
      <c r="C6" s="3736" t="s">
        <v>1676</v>
      </c>
      <c r="D6" s="3737"/>
      <c r="E6" s="3738" t="s">
        <v>1676</v>
      </c>
      <c r="F6" s="3739"/>
      <c r="G6" s="3736" t="s">
        <v>1676</v>
      </c>
      <c r="H6" s="3737"/>
      <c r="I6" s="3736" t="s">
        <v>1676</v>
      </c>
      <c r="J6" s="3737"/>
      <c r="K6" s="1886" t="s">
        <v>1677</v>
      </c>
      <c r="L6" s="2711"/>
      <c r="M6" s="2712"/>
      <c r="N6" s="2712"/>
      <c r="O6" s="2712"/>
      <c r="P6" s="3749"/>
      <c r="Q6" s="3750"/>
      <c r="R6" s="3730"/>
      <c r="S6" s="3731"/>
      <c r="T6" s="3751"/>
      <c r="U6" s="3752"/>
      <c r="V6" s="3753"/>
      <c r="W6" s="3753"/>
      <c r="X6" s="1351"/>
      <c r="Y6" s="3751"/>
      <c r="Z6" s="3752"/>
      <c r="AA6" s="3725"/>
      <c r="AB6" s="3725"/>
      <c r="AC6" s="3725"/>
    </row>
    <row r="7" spans="1:29" s="108" customFormat="1" ht="15.75" thickBot="1">
      <c r="A7" s="362" t="s">
        <v>1678</v>
      </c>
      <c r="B7" s="363"/>
      <c r="C7" s="364">
        <f>'数据-取费表'!B2</f>
        <v>45147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26" t="s">
        <v>1679</v>
      </c>
      <c r="Q7" s="3754"/>
      <c r="R7" s="701" t="s">
        <v>20</v>
      </c>
      <c r="S7" s="702">
        <f t="shared" ref="S7:S15" si="0">F7</f>
        <v>0</v>
      </c>
      <c r="T7" s="701" t="s">
        <v>20</v>
      </c>
      <c r="U7" s="702">
        <f t="shared" ref="U7:U15" si="1">H7</f>
        <v>0</v>
      </c>
      <c r="V7" s="701" t="s">
        <v>20</v>
      </c>
      <c r="W7" s="702">
        <f t="shared" ref="W7:W15" si="2">J7</f>
        <v>0</v>
      </c>
      <c r="X7" s="703"/>
      <c r="Y7" s="3726" t="s">
        <v>1679</v>
      </c>
      <c r="Z7" s="3727"/>
      <c r="AA7" s="704" t="e">
        <f>D7/F7</f>
        <v>#DIV/0!</v>
      </c>
      <c r="AB7" s="704" t="e">
        <f>D7/H7</f>
        <v>#DIV/0!</v>
      </c>
      <c r="AC7" s="704" t="e">
        <f>D7/J7</f>
        <v>#DIV/0!</v>
      </c>
    </row>
    <row r="8" spans="1:29" s="108" customFormat="1" ht="15.75" thickBot="1">
      <c r="A8" s="362" t="s">
        <v>1680</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26" t="s">
        <v>1682</v>
      </c>
      <c r="Q8" s="3727"/>
      <c r="R8" s="701" t="s">
        <v>20</v>
      </c>
      <c r="S8" s="702">
        <f t="shared" si="0"/>
        <v>100</v>
      </c>
      <c r="T8" s="701" t="s">
        <v>20</v>
      </c>
      <c r="U8" s="702">
        <f t="shared" si="1"/>
        <v>100</v>
      </c>
      <c r="V8" s="701" t="s">
        <v>20</v>
      </c>
      <c r="W8" s="702">
        <f t="shared" si="2"/>
        <v>100</v>
      </c>
      <c r="X8" s="703"/>
      <c r="Y8" s="3726" t="s">
        <v>1682</v>
      </c>
      <c r="Z8" s="372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40" t="s">
        <v>1685</v>
      </c>
      <c r="Q9" s="1339"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40"/>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0"/>
      <c r="Q11" s="1339" t="str">
        <f t="shared" si="6"/>
        <v>容积率</v>
      </c>
      <c r="R11" s="701" t="s">
        <v>18</v>
      </c>
      <c r="S11" s="702" t="e">
        <f t="shared" si="0"/>
        <v>#N/A</v>
      </c>
      <c r="T11" s="701" t="s">
        <v>18</v>
      </c>
      <c r="U11" s="702" t="e">
        <f t="shared" si="1"/>
        <v>#N/A</v>
      </c>
      <c r="V11" s="701" t="s">
        <v>18</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40"/>
      <c r="Q12" s="1339">
        <f t="shared" si="6"/>
        <v>111</v>
      </c>
      <c r="R12" s="701" t="s">
        <v>18</v>
      </c>
      <c r="S12" s="702">
        <f t="shared" si="0"/>
        <v>100</v>
      </c>
      <c r="T12" s="701" t="s">
        <v>18</v>
      </c>
      <c r="U12" s="702">
        <f t="shared" si="1"/>
        <v>100</v>
      </c>
      <c r="V12" s="701" t="s">
        <v>18</v>
      </c>
      <c r="W12" s="702">
        <f t="shared" si="2"/>
        <v>100</v>
      </c>
      <c r="X12" s="703"/>
      <c r="Y12" s="3651"/>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40"/>
      <c r="Q13" s="1339">
        <f t="shared" si="6"/>
        <v>111</v>
      </c>
      <c r="R13" s="701" t="s">
        <v>18</v>
      </c>
      <c r="S13" s="702">
        <f t="shared" si="0"/>
        <v>100</v>
      </c>
      <c r="T13" s="701" t="s">
        <v>18</v>
      </c>
      <c r="U13" s="702">
        <f t="shared" si="1"/>
        <v>100</v>
      </c>
      <c r="V13" s="701" t="s">
        <v>18</v>
      </c>
      <c r="W13" s="702">
        <f t="shared" si="2"/>
        <v>100</v>
      </c>
      <c r="X13" s="703"/>
      <c r="Y13" s="3651"/>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40"/>
      <c r="Q14" s="1339">
        <f t="shared" si="6"/>
        <v>111</v>
      </c>
      <c r="R14" s="701" t="s">
        <v>18</v>
      </c>
      <c r="S14" s="702">
        <f t="shared" si="0"/>
        <v>100</v>
      </c>
      <c r="T14" s="701" t="s">
        <v>18</v>
      </c>
      <c r="U14" s="702">
        <f t="shared" si="1"/>
        <v>100</v>
      </c>
      <c r="V14" s="701" t="s">
        <v>18</v>
      </c>
      <c r="W14" s="702">
        <f t="shared" si="2"/>
        <v>100</v>
      </c>
      <c r="X14" s="703"/>
      <c r="Y14" s="3651"/>
      <c r="Z14" s="52">
        <f t="shared" si="7"/>
        <v>111</v>
      </c>
      <c r="AA14" s="704">
        <f t="shared" si="3"/>
        <v>1</v>
      </c>
      <c r="AB14" s="704">
        <f t="shared" si="4"/>
        <v>1</v>
      </c>
      <c r="AC14" s="704">
        <f t="shared" si="5"/>
        <v>1</v>
      </c>
    </row>
    <row r="15" spans="1:29" ht="85.5">
      <c r="A15" s="391" t="s">
        <v>1689</v>
      </c>
      <c r="B15" s="61" t="s">
        <v>1256</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67" t="s">
        <v>1690</v>
      </c>
      <c r="Q15" s="1348" t="str">
        <f t="shared" si="6"/>
        <v>居住社区成熟度</v>
      </c>
      <c r="R15" s="705" t="s">
        <v>18</v>
      </c>
      <c r="S15" s="706">
        <f t="shared" si="0"/>
        <v>100</v>
      </c>
      <c r="T15" s="705" t="s">
        <v>18</v>
      </c>
      <c r="U15" s="706">
        <f t="shared" si="1"/>
        <v>100</v>
      </c>
      <c r="V15" s="705" t="s">
        <v>18</v>
      </c>
      <c r="W15" s="706">
        <f t="shared" si="2"/>
        <v>100</v>
      </c>
      <c r="X15" s="1351"/>
      <c r="Y15" s="3760" t="s">
        <v>1690</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68"/>
      <c r="Q16" s="1348"/>
      <c r="R16" s="705"/>
      <c r="S16" s="706"/>
      <c r="T16" s="705"/>
      <c r="U16" s="706"/>
      <c r="V16" s="705"/>
      <c r="W16" s="706"/>
      <c r="X16" s="1351"/>
      <c r="Y16" s="3761"/>
      <c r="Z16" s="1352"/>
      <c r="AA16" s="1349">
        <v>1</v>
      </c>
      <c r="AB16" s="1349">
        <v>1</v>
      </c>
      <c r="AC16" s="1349">
        <v>1</v>
      </c>
    </row>
    <row r="17" spans="1:29" ht="71.25">
      <c r="A17" s="379"/>
      <c r="B17" s="402" t="s">
        <v>1258</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68"/>
      <c r="Q17" s="1348" t="str">
        <f>B17</f>
        <v>交通便捷度</v>
      </c>
      <c r="R17" s="705" t="s">
        <v>18</v>
      </c>
      <c r="S17" s="706">
        <f>F17</f>
        <v>100</v>
      </c>
      <c r="T17" s="705" t="s">
        <v>18</v>
      </c>
      <c r="U17" s="706">
        <f>H17</f>
        <v>100</v>
      </c>
      <c r="V17" s="705" t="s">
        <v>18</v>
      </c>
      <c r="W17" s="706">
        <f>J17</f>
        <v>100</v>
      </c>
      <c r="X17" s="1351"/>
      <c r="Y17" s="3761"/>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68"/>
      <c r="Q18" s="1348"/>
      <c r="R18" s="705"/>
      <c r="S18" s="706"/>
      <c r="T18" s="705"/>
      <c r="U18" s="706"/>
      <c r="V18" s="705"/>
      <c r="W18" s="706"/>
      <c r="X18" s="1351"/>
      <c r="Y18" s="3761"/>
      <c r="Z18" s="1352"/>
      <c r="AA18" s="1349">
        <v>1</v>
      </c>
      <c r="AB18" s="1349">
        <v>1</v>
      </c>
      <c r="AC18" s="1349">
        <v>1</v>
      </c>
    </row>
    <row r="19" spans="1:29" ht="42.75">
      <c r="A19" s="379"/>
      <c r="B19" s="402" t="s">
        <v>1257</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68"/>
      <c r="Q19" s="1348" t="str">
        <f>B19</f>
        <v>公共配套设施</v>
      </c>
      <c r="R19" s="705" t="s">
        <v>18</v>
      </c>
      <c r="S19" s="706">
        <f>F19</f>
        <v>100</v>
      </c>
      <c r="T19" s="705" t="s">
        <v>18</v>
      </c>
      <c r="U19" s="706">
        <f>H19</f>
        <v>100</v>
      </c>
      <c r="V19" s="705" t="s">
        <v>18</v>
      </c>
      <c r="W19" s="706">
        <f>J19</f>
        <v>100</v>
      </c>
      <c r="X19" s="1351"/>
      <c r="Y19" s="3761"/>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68"/>
      <c r="Q20" s="1348"/>
      <c r="R20" s="705"/>
      <c r="S20" s="706"/>
      <c r="T20" s="705"/>
      <c r="U20" s="706"/>
      <c r="V20" s="705"/>
      <c r="W20" s="706"/>
      <c r="X20" s="1351"/>
      <c r="Y20" s="3761"/>
      <c r="Z20" s="1352"/>
      <c r="AA20" s="1349">
        <v>1</v>
      </c>
      <c r="AB20" s="1349">
        <v>1</v>
      </c>
      <c r="AC20" s="1349">
        <v>1</v>
      </c>
    </row>
    <row r="21" spans="1:29" ht="28.5">
      <c r="A21" s="379"/>
      <c r="B21" s="1127" t="s">
        <v>1259</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68"/>
      <c r="Q21" s="1348" t="str">
        <f>B21</f>
        <v>基础设施水平</v>
      </c>
      <c r="R21" s="705" t="s">
        <v>14</v>
      </c>
      <c r="S21" s="706">
        <f>F21</f>
        <v>100</v>
      </c>
      <c r="T21" s="705" t="s">
        <v>14</v>
      </c>
      <c r="U21" s="706">
        <f>H21</f>
        <v>100</v>
      </c>
      <c r="V21" s="705" t="s">
        <v>14</v>
      </c>
      <c r="W21" s="706">
        <f>J21</f>
        <v>100</v>
      </c>
      <c r="X21" s="1351"/>
      <c r="Y21" s="376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68"/>
      <c r="Q22" s="1348"/>
      <c r="R22" s="705"/>
      <c r="S22" s="706"/>
      <c r="T22" s="705"/>
      <c r="U22" s="706"/>
      <c r="V22" s="705"/>
      <c r="W22" s="706"/>
      <c r="X22" s="1351"/>
      <c r="Y22" s="3761"/>
      <c r="Z22" s="1352"/>
      <c r="AA22" s="1349">
        <v>1</v>
      </c>
      <c r="AB22" s="1349">
        <v>1</v>
      </c>
      <c r="AC22" s="1349">
        <v>1</v>
      </c>
    </row>
    <row r="23" spans="1:29" ht="42.75">
      <c r="A23" s="379"/>
      <c r="B23" s="402" t="s">
        <v>1260</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68"/>
      <c r="Q23" s="1348" t="str">
        <f>B23</f>
        <v>自然及人文环境</v>
      </c>
      <c r="R23" s="705" t="s">
        <v>18</v>
      </c>
      <c r="S23" s="706">
        <f>F23</f>
        <v>100</v>
      </c>
      <c r="T23" s="705" t="s">
        <v>18</v>
      </c>
      <c r="U23" s="706">
        <f>H23</f>
        <v>100</v>
      </c>
      <c r="V23" s="705" t="s">
        <v>18</v>
      </c>
      <c r="W23" s="706">
        <f>J23</f>
        <v>100</v>
      </c>
      <c r="X23" s="1351"/>
      <c r="Y23" s="3761"/>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68"/>
      <c r="Q24" s="1348"/>
      <c r="R24" s="705"/>
      <c r="S24" s="706"/>
      <c r="T24" s="705"/>
      <c r="U24" s="706"/>
      <c r="V24" s="705"/>
      <c r="W24" s="706"/>
      <c r="X24" s="1351"/>
      <c r="Y24" s="3761"/>
      <c r="Z24" s="1352"/>
      <c r="AA24" s="1349">
        <v>1</v>
      </c>
      <c r="AB24" s="1349">
        <v>1</v>
      </c>
      <c r="AC24" s="1349">
        <v>1</v>
      </c>
    </row>
    <row r="25" spans="1:29" ht="15">
      <c r="A25" s="379"/>
      <c r="B25" s="375" t="s">
        <v>1691</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68"/>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61"/>
      <c r="Z25" s="1352" t="str">
        <f>Q25</f>
        <v>楼层-1</v>
      </c>
      <c r="AA25" s="1349">
        <f t="shared" ref="AA25:AA46" si="15">D25/F25</f>
        <v>1</v>
      </c>
      <c r="AB25" s="1349">
        <f t="shared" ref="AB25:AB46" si="16">D25/H25</f>
        <v>1</v>
      </c>
      <c r="AC25" s="1349">
        <f t="shared" ref="AC25:AC46" si="17">D25/J25</f>
        <v>1</v>
      </c>
    </row>
    <row r="26" spans="1:29" ht="15">
      <c r="A26" s="379"/>
      <c r="B26" s="375" t="s">
        <v>1692</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68"/>
      <c r="Q26" s="1348" t="str">
        <f t="shared" si="11"/>
        <v>朝向</v>
      </c>
      <c r="R26" s="705" t="s">
        <v>18</v>
      </c>
      <c r="S26" s="706">
        <f t="shared" si="12"/>
        <v>100</v>
      </c>
      <c r="T26" s="705" t="s">
        <v>18</v>
      </c>
      <c r="U26" s="706">
        <f t="shared" si="13"/>
        <v>100</v>
      </c>
      <c r="V26" s="705" t="s">
        <v>18</v>
      </c>
      <c r="W26" s="706">
        <f t="shared" si="14"/>
        <v>100</v>
      </c>
      <c r="X26" s="1351"/>
      <c r="Y26" s="3761"/>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68"/>
      <c r="Q27" s="1339">
        <f t="shared" si="11"/>
        <v>111</v>
      </c>
      <c r="R27" s="701" t="s">
        <v>18</v>
      </c>
      <c r="S27" s="702">
        <f t="shared" si="12"/>
        <v>100</v>
      </c>
      <c r="T27" s="701" t="s">
        <v>18</v>
      </c>
      <c r="U27" s="702">
        <f t="shared" si="13"/>
        <v>100</v>
      </c>
      <c r="V27" s="701" t="s">
        <v>18</v>
      </c>
      <c r="W27" s="702">
        <f t="shared" si="14"/>
        <v>100</v>
      </c>
      <c r="X27" s="703"/>
      <c r="Y27" s="3761"/>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68"/>
      <c r="Q28" s="1348">
        <f t="shared" si="11"/>
        <v>111</v>
      </c>
      <c r="R28" s="705" t="s">
        <v>18</v>
      </c>
      <c r="S28" s="706">
        <f t="shared" si="12"/>
        <v>100</v>
      </c>
      <c r="T28" s="705" t="s">
        <v>18</v>
      </c>
      <c r="U28" s="706">
        <f t="shared" si="13"/>
        <v>100</v>
      </c>
      <c r="V28" s="705" t="s">
        <v>18</v>
      </c>
      <c r="W28" s="706">
        <f t="shared" si="14"/>
        <v>100</v>
      </c>
      <c r="X28" s="1351"/>
      <c r="Y28" s="3761"/>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68"/>
      <c r="Q29" s="1348">
        <f t="shared" si="11"/>
        <v>111</v>
      </c>
      <c r="R29" s="705" t="s">
        <v>18</v>
      </c>
      <c r="S29" s="706">
        <f t="shared" si="12"/>
        <v>100</v>
      </c>
      <c r="T29" s="705" t="s">
        <v>18</v>
      </c>
      <c r="U29" s="706">
        <f t="shared" si="13"/>
        <v>100</v>
      </c>
      <c r="V29" s="705" t="s">
        <v>18</v>
      </c>
      <c r="W29" s="706">
        <f t="shared" si="14"/>
        <v>100</v>
      </c>
      <c r="X29" s="1351"/>
      <c r="Y29" s="3761"/>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68"/>
      <c r="Q30" s="1348">
        <f t="shared" si="11"/>
        <v>111</v>
      </c>
      <c r="R30" s="705" t="s">
        <v>18</v>
      </c>
      <c r="S30" s="706">
        <f t="shared" si="12"/>
        <v>100</v>
      </c>
      <c r="T30" s="705" t="s">
        <v>18</v>
      </c>
      <c r="U30" s="706">
        <f t="shared" si="13"/>
        <v>100</v>
      </c>
      <c r="V30" s="705" t="s">
        <v>18</v>
      </c>
      <c r="W30" s="706">
        <f t="shared" si="14"/>
        <v>100</v>
      </c>
      <c r="X30" s="1351"/>
      <c r="Y30" s="3761"/>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68"/>
      <c r="Q31" s="1348">
        <f t="shared" si="11"/>
        <v>111</v>
      </c>
      <c r="R31" s="705" t="s">
        <v>18</v>
      </c>
      <c r="S31" s="706">
        <f t="shared" si="12"/>
        <v>100</v>
      </c>
      <c r="T31" s="705" t="s">
        <v>18</v>
      </c>
      <c r="U31" s="706">
        <f t="shared" si="13"/>
        <v>100</v>
      </c>
      <c r="V31" s="705" t="s">
        <v>18</v>
      </c>
      <c r="W31" s="706">
        <f t="shared" si="14"/>
        <v>100</v>
      </c>
      <c r="X31" s="1351"/>
      <c r="Y31" s="3761"/>
      <c r="Z31" s="1352">
        <f t="shared" si="18"/>
        <v>111</v>
      </c>
      <c r="AA31" s="1349">
        <f t="shared" si="15"/>
        <v>1</v>
      </c>
      <c r="AB31" s="1349">
        <f t="shared" si="16"/>
        <v>1</v>
      </c>
      <c r="AC31" s="1349">
        <f t="shared" si="17"/>
        <v>1</v>
      </c>
    </row>
    <row r="32" spans="1:29" ht="15">
      <c r="A32" s="391" t="s">
        <v>1693</v>
      </c>
      <c r="B32" s="63" t="s">
        <v>1694</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62" t="s">
        <v>1695</v>
      </c>
      <c r="Q32" s="1348" t="str">
        <f t="shared" si="11"/>
        <v>建筑类型</v>
      </c>
      <c r="R32" s="705" t="s">
        <v>18</v>
      </c>
      <c r="S32" s="706">
        <f t="shared" si="12"/>
        <v>100</v>
      </c>
      <c r="T32" s="705" t="s">
        <v>18</v>
      </c>
      <c r="U32" s="706">
        <f t="shared" si="13"/>
        <v>100</v>
      </c>
      <c r="V32" s="705" t="s">
        <v>18</v>
      </c>
      <c r="W32" s="706">
        <f t="shared" si="14"/>
        <v>100</v>
      </c>
      <c r="X32" s="1351"/>
      <c r="Y32" s="3765" t="s">
        <v>1695</v>
      </c>
      <c r="Z32" s="1352" t="str">
        <f t="shared" si="18"/>
        <v>建筑类型</v>
      </c>
      <c r="AA32" s="1349">
        <f t="shared" si="15"/>
        <v>1</v>
      </c>
      <c r="AB32" s="1349">
        <f t="shared" si="16"/>
        <v>1</v>
      </c>
      <c r="AC32" s="1349">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63"/>
      <c r="Q33" s="707" t="str">
        <f t="shared" si="11"/>
        <v>项目建筑规模</v>
      </c>
      <c r="R33" s="708" t="s">
        <v>18</v>
      </c>
      <c r="S33" s="709" t="e">
        <f t="shared" si="12"/>
        <v>#N/A</v>
      </c>
      <c r="T33" s="708" t="s">
        <v>18</v>
      </c>
      <c r="U33" s="709" t="e">
        <f t="shared" si="13"/>
        <v>#N/A</v>
      </c>
      <c r="V33" s="708" t="s">
        <v>18</v>
      </c>
      <c r="W33" s="709" t="e">
        <f t="shared" si="14"/>
        <v>#N/A</v>
      </c>
      <c r="X33" s="710"/>
      <c r="Y33" s="3765"/>
      <c r="Z33" s="711" t="str">
        <f t="shared" si="18"/>
        <v>项目建筑规模</v>
      </c>
      <c r="AA33" s="1349" t="e">
        <f t="shared" si="15"/>
        <v>#N/A</v>
      </c>
      <c r="AB33" s="1349" t="e">
        <f t="shared" si="16"/>
        <v>#N/A</v>
      </c>
      <c r="AC33" s="1349" t="e">
        <f t="shared" si="17"/>
        <v>#N/A</v>
      </c>
    </row>
    <row r="34" spans="1:29" ht="15">
      <c r="A34" s="423"/>
      <c r="B34" s="375" t="s">
        <v>1697</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63"/>
      <c r="Q34" s="1348" t="str">
        <f t="shared" si="11"/>
        <v>建筑结构</v>
      </c>
      <c r="R34" s="705" t="s">
        <v>18</v>
      </c>
      <c r="S34" s="706">
        <f t="shared" si="12"/>
        <v>100</v>
      </c>
      <c r="T34" s="705" t="s">
        <v>18</v>
      </c>
      <c r="U34" s="706">
        <f t="shared" si="13"/>
        <v>100</v>
      </c>
      <c r="V34" s="705" t="s">
        <v>18</v>
      </c>
      <c r="W34" s="706">
        <f t="shared" si="14"/>
        <v>100</v>
      </c>
      <c r="X34" s="1351"/>
      <c r="Y34" s="3765"/>
      <c r="Z34" s="1352" t="str">
        <f t="shared" si="18"/>
        <v>建筑结构</v>
      </c>
      <c r="AA34" s="1349">
        <f t="shared" si="15"/>
        <v>1</v>
      </c>
      <c r="AB34" s="1349">
        <f t="shared" si="16"/>
        <v>1</v>
      </c>
      <c r="AC34" s="1349">
        <f t="shared" si="17"/>
        <v>1</v>
      </c>
    </row>
    <row r="35" spans="1:29" ht="15">
      <c r="A35" s="423"/>
      <c r="B35" s="375" t="s">
        <v>1698</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63"/>
      <c r="Q35" s="1348" t="str">
        <f t="shared" si="11"/>
        <v>建筑品质</v>
      </c>
      <c r="R35" s="705" t="s">
        <v>18</v>
      </c>
      <c r="S35" s="706">
        <f t="shared" si="12"/>
        <v>100</v>
      </c>
      <c r="T35" s="705" t="s">
        <v>18</v>
      </c>
      <c r="U35" s="706">
        <f t="shared" si="13"/>
        <v>100</v>
      </c>
      <c r="V35" s="705" t="s">
        <v>18</v>
      </c>
      <c r="W35" s="706">
        <f t="shared" si="14"/>
        <v>100</v>
      </c>
      <c r="X35" s="1351"/>
      <c r="Y35" s="3765"/>
      <c r="Z35" s="1352" t="str">
        <f t="shared" si="18"/>
        <v>建筑品质</v>
      </c>
      <c r="AA35" s="1349">
        <f t="shared" si="15"/>
        <v>1</v>
      </c>
      <c r="AB35" s="1349">
        <f t="shared" si="16"/>
        <v>1</v>
      </c>
      <c r="AC35" s="1349">
        <f t="shared" si="17"/>
        <v>1</v>
      </c>
    </row>
    <row r="36" spans="1:29" ht="15">
      <c r="A36" s="423"/>
      <c r="B36" s="375" t="s">
        <v>1699</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63"/>
      <c r="Q36" s="1348" t="str">
        <f t="shared" si="11"/>
        <v>公共部分装修</v>
      </c>
      <c r="R36" s="705" t="s">
        <v>18</v>
      </c>
      <c r="S36" s="706">
        <f t="shared" si="12"/>
        <v>100</v>
      </c>
      <c r="T36" s="705" t="s">
        <v>18</v>
      </c>
      <c r="U36" s="706">
        <f t="shared" si="13"/>
        <v>100</v>
      </c>
      <c r="V36" s="705" t="s">
        <v>18</v>
      </c>
      <c r="W36" s="706">
        <f t="shared" si="14"/>
        <v>100</v>
      </c>
      <c r="X36" s="1351"/>
      <c r="Y36" s="3765"/>
      <c r="Z36" s="1352" t="str">
        <f t="shared" si="18"/>
        <v>公共部分装修</v>
      </c>
      <c r="AA36" s="1349">
        <f t="shared" si="15"/>
        <v>1</v>
      </c>
      <c r="AB36" s="1349">
        <f t="shared" si="16"/>
        <v>1</v>
      </c>
      <c r="AC36" s="1349">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63"/>
      <c r="Q37" s="1339" t="str">
        <f t="shared" si="11"/>
        <v>成新度</v>
      </c>
      <c r="R37" s="701" t="s">
        <v>18</v>
      </c>
      <c r="S37" s="702" t="e">
        <f t="shared" si="12"/>
        <v>#N/A</v>
      </c>
      <c r="T37" s="701" t="s">
        <v>18</v>
      </c>
      <c r="U37" s="702" t="e">
        <f t="shared" si="13"/>
        <v>#N/A</v>
      </c>
      <c r="V37" s="701" t="s">
        <v>18</v>
      </c>
      <c r="W37" s="702" t="e">
        <f t="shared" si="14"/>
        <v>#N/A</v>
      </c>
      <c r="X37" s="703"/>
      <c r="Y37" s="3765"/>
      <c r="Z37" s="52" t="str">
        <f t="shared" si="18"/>
        <v>成新度</v>
      </c>
      <c r="AA37" s="704" t="e">
        <f t="shared" si="15"/>
        <v>#N/A</v>
      </c>
      <c r="AB37" s="704" t="e">
        <f t="shared" si="16"/>
        <v>#N/A</v>
      </c>
      <c r="AC37" s="704" t="e">
        <f t="shared" si="17"/>
        <v>#N/A</v>
      </c>
    </row>
    <row r="38" spans="1:29" ht="15">
      <c r="A38" s="423"/>
      <c r="B38" s="375" t="s">
        <v>1701</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63" t="s">
        <v>1695</v>
      </c>
      <c r="Q38" s="1348" t="str">
        <f t="shared" si="11"/>
        <v>物业管理</v>
      </c>
      <c r="R38" s="705" t="s">
        <v>18</v>
      </c>
      <c r="S38" s="706">
        <f t="shared" si="12"/>
        <v>100</v>
      </c>
      <c r="T38" s="705" t="s">
        <v>18</v>
      </c>
      <c r="U38" s="706">
        <f t="shared" si="13"/>
        <v>100</v>
      </c>
      <c r="V38" s="705" t="s">
        <v>18</v>
      </c>
      <c r="W38" s="706">
        <f t="shared" si="14"/>
        <v>100</v>
      </c>
      <c r="X38" s="1351"/>
      <c r="Y38" s="3765" t="s">
        <v>1695</v>
      </c>
      <c r="Z38" s="1352" t="str">
        <f t="shared" si="18"/>
        <v>物业管理</v>
      </c>
      <c r="AA38" s="1349">
        <f t="shared" si="15"/>
        <v>1</v>
      </c>
      <c r="AB38" s="1349">
        <f t="shared" si="16"/>
        <v>1</v>
      </c>
      <c r="AC38" s="1349">
        <f t="shared" si="17"/>
        <v>1</v>
      </c>
    </row>
    <row r="39" spans="1:29" ht="15">
      <c r="A39" s="423"/>
      <c r="B39" s="375" t="s">
        <v>1702</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63"/>
      <c r="Q39" s="1348" t="str">
        <f t="shared" si="11"/>
        <v>市政基础设施</v>
      </c>
      <c r="R39" s="705" t="s">
        <v>18</v>
      </c>
      <c r="S39" s="706">
        <f t="shared" si="12"/>
        <v>100</v>
      </c>
      <c r="T39" s="705" t="s">
        <v>18</v>
      </c>
      <c r="U39" s="706">
        <f t="shared" si="13"/>
        <v>100</v>
      </c>
      <c r="V39" s="705" t="s">
        <v>18</v>
      </c>
      <c r="W39" s="706">
        <f t="shared" si="14"/>
        <v>100</v>
      </c>
      <c r="X39" s="1351"/>
      <c r="Y39" s="3765"/>
      <c r="Z39" s="1352" t="str">
        <f t="shared" si="18"/>
        <v>市政基础设施</v>
      </c>
      <c r="AA39" s="1349">
        <f t="shared" si="15"/>
        <v>1</v>
      </c>
      <c r="AB39" s="1349">
        <f t="shared" si="16"/>
        <v>1</v>
      </c>
      <c r="AC39" s="1349">
        <f t="shared" si="17"/>
        <v>1</v>
      </c>
    </row>
    <row r="40" spans="1:29" ht="15">
      <c r="A40" s="423"/>
      <c r="B40" s="375" t="s">
        <v>1703</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63"/>
      <c r="Q40" s="1348" t="str">
        <f t="shared" si="11"/>
        <v>房型</v>
      </c>
      <c r="R40" s="705" t="s">
        <v>18</v>
      </c>
      <c r="S40" s="706">
        <f t="shared" si="12"/>
        <v>100</v>
      </c>
      <c r="T40" s="705" t="s">
        <v>18</v>
      </c>
      <c r="U40" s="706">
        <f t="shared" si="13"/>
        <v>100</v>
      </c>
      <c r="V40" s="705" t="s">
        <v>18</v>
      </c>
      <c r="W40" s="706">
        <f t="shared" si="14"/>
        <v>100</v>
      </c>
      <c r="X40" s="1351"/>
      <c r="Y40" s="3765"/>
      <c r="Z40" s="1352" t="str">
        <f t="shared" si="18"/>
        <v>房型</v>
      </c>
      <c r="AA40" s="1349">
        <f t="shared" si="15"/>
        <v>1</v>
      </c>
      <c r="AB40" s="1349">
        <f t="shared" si="16"/>
        <v>1</v>
      </c>
      <c r="AC40" s="1349">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63"/>
      <c r="Q41" s="707" t="str">
        <f t="shared" si="11"/>
        <v>单套/主力户型建筑面积</v>
      </c>
      <c r="R41" s="708" t="s">
        <v>18</v>
      </c>
      <c r="S41" s="709">
        <f t="shared" si="12"/>
        <v>100</v>
      </c>
      <c r="T41" s="708" t="s">
        <v>18</v>
      </c>
      <c r="U41" s="709">
        <f t="shared" si="13"/>
        <v>100</v>
      </c>
      <c r="V41" s="708" t="s">
        <v>18</v>
      </c>
      <c r="W41" s="709">
        <f t="shared" si="14"/>
        <v>100</v>
      </c>
      <c r="X41" s="710"/>
      <c r="Y41" s="3765"/>
      <c r="Z41" s="711" t="str">
        <f t="shared" si="18"/>
        <v>单套/主力户型建筑面积</v>
      </c>
      <c r="AA41" s="1349">
        <f t="shared" si="15"/>
        <v>1</v>
      </c>
      <c r="AB41" s="1349">
        <f t="shared" si="16"/>
        <v>1</v>
      </c>
      <c r="AC41" s="1349">
        <f t="shared" si="17"/>
        <v>1</v>
      </c>
    </row>
    <row r="42" spans="1:29" ht="15">
      <c r="A42" s="423"/>
      <c r="B42" s="375" t="s">
        <v>1705</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63"/>
      <c r="Q42" s="1348" t="str">
        <f t="shared" si="11"/>
        <v>内部装修</v>
      </c>
      <c r="R42" s="705" t="s">
        <v>18</v>
      </c>
      <c r="S42" s="706">
        <f t="shared" si="12"/>
        <v>100</v>
      </c>
      <c r="T42" s="705" t="s">
        <v>18</v>
      </c>
      <c r="U42" s="706">
        <f t="shared" si="13"/>
        <v>100</v>
      </c>
      <c r="V42" s="705" t="s">
        <v>18</v>
      </c>
      <c r="W42" s="706">
        <f t="shared" si="14"/>
        <v>100</v>
      </c>
      <c r="X42" s="1351"/>
      <c r="Y42" s="3765"/>
      <c r="Z42" s="1352" t="str">
        <f t="shared" si="18"/>
        <v>内部装修</v>
      </c>
      <c r="AA42" s="1349">
        <f t="shared" si="15"/>
        <v>1</v>
      </c>
      <c r="AB42" s="1349">
        <f t="shared" si="16"/>
        <v>1</v>
      </c>
      <c r="AC42" s="1349">
        <f t="shared" si="17"/>
        <v>1</v>
      </c>
    </row>
    <row r="43" spans="1:29" ht="15">
      <c r="A43" s="423"/>
      <c r="B43" s="375" t="s">
        <v>1706</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63"/>
      <c r="Q43" s="1348" t="str">
        <f t="shared" si="11"/>
        <v>内部装修维护情况</v>
      </c>
      <c r="R43" s="705" t="s">
        <v>18</v>
      </c>
      <c r="S43" s="706">
        <f t="shared" si="12"/>
        <v>100</v>
      </c>
      <c r="T43" s="705" t="s">
        <v>18</v>
      </c>
      <c r="U43" s="706">
        <f t="shared" si="13"/>
        <v>100</v>
      </c>
      <c r="V43" s="705" t="s">
        <v>18</v>
      </c>
      <c r="W43" s="706">
        <f t="shared" si="14"/>
        <v>100</v>
      </c>
      <c r="X43" s="1351"/>
      <c r="Y43" s="3765"/>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63"/>
      <c r="Q44" s="1339">
        <f t="shared" si="11"/>
        <v>111</v>
      </c>
      <c r="R44" s="701" t="s">
        <v>18</v>
      </c>
      <c r="S44" s="702">
        <f t="shared" si="12"/>
        <v>100</v>
      </c>
      <c r="T44" s="701" t="s">
        <v>18</v>
      </c>
      <c r="U44" s="702">
        <f t="shared" si="13"/>
        <v>100</v>
      </c>
      <c r="V44" s="701" t="s">
        <v>18</v>
      </c>
      <c r="W44" s="702">
        <f t="shared" si="14"/>
        <v>100</v>
      </c>
      <c r="X44" s="703"/>
      <c r="Y44" s="3765"/>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63"/>
      <c r="Q45" s="1348">
        <f t="shared" si="11"/>
        <v>111</v>
      </c>
      <c r="R45" s="705" t="s">
        <v>18</v>
      </c>
      <c r="S45" s="706">
        <f t="shared" si="12"/>
        <v>100</v>
      </c>
      <c r="T45" s="705" t="s">
        <v>18</v>
      </c>
      <c r="U45" s="706">
        <f t="shared" si="13"/>
        <v>100</v>
      </c>
      <c r="V45" s="705" t="s">
        <v>18</v>
      </c>
      <c r="W45" s="706">
        <f t="shared" si="14"/>
        <v>100</v>
      </c>
      <c r="X45" s="1351"/>
      <c r="Y45" s="3765"/>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64"/>
      <c r="Q46" s="1348">
        <f t="shared" si="11"/>
        <v>111</v>
      </c>
      <c r="R46" s="705" t="s">
        <v>17</v>
      </c>
      <c r="S46" s="706">
        <f t="shared" si="12"/>
        <v>100</v>
      </c>
      <c r="T46" s="705" t="s">
        <v>17</v>
      </c>
      <c r="U46" s="706">
        <f t="shared" si="13"/>
        <v>100</v>
      </c>
      <c r="V46" s="705" t="s">
        <v>17</v>
      </c>
      <c r="W46" s="706">
        <f t="shared" si="14"/>
        <v>100</v>
      </c>
      <c r="X46" s="1351"/>
      <c r="Y46" s="3766"/>
      <c r="Z46" s="1352">
        <f t="shared" si="18"/>
        <v>111</v>
      </c>
      <c r="AA46" s="1349">
        <f t="shared" si="15"/>
        <v>1</v>
      </c>
      <c r="AB46" s="1349">
        <f t="shared" si="16"/>
        <v>1</v>
      </c>
      <c r="AC46" s="1349">
        <f t="shared" si="17"/>
        <v>1</v>
      </c>
    </row>
    <row r="47" spans="1:29" ht="15">
      <c r="A47" s="430" t="s">
        <v>1707</v>
      </c>
      <c r="B47" s="431"/>
      <c r="C47" s="1150" t="s">
        <v>16</v>
      </c>
      <c r="D47" s="1151"/>
      <c r="E47" s="1152"/>
      <c r="F47" s="1153"/>
      <c r="G47" s="1154"/>
      <c r="H47" s="1155"/>
      <c r="I47" s="1152"/>
      <c r="J47" s="1155"/>
      <c r="K47" s="1910"/>
      <c r="L47" s="2720"/>
      <c r="M47" s="2721"/>
      <c r="N47" s="2712"/>
      <c r="O47" s="2721"/>
      <c r="P47" s="3758" t="str">
        <f>A47</f>
        <v>成交单价（元/平方米）</v>
      </c>
      <c r="Q47" s="3758"/>
      <c r="R47" s="3759">
        <f>E47</f>
        <v>0</v>
      </c>
      <c r="S47" s="3759"/>
      <c r="T47" s="3759">
        <f>G47</f>
        <v>0</v>
      </c>
      <c r="U47" s="3759"/>
      <c r="V47" s="3759">
        <f>I47</f>
        <v>0</v>
      </c>
      <c r="W47" s="3759"/>
      <c r="X47" s="690"/>
      <c r="Y47" s="712"/>
      <c r="Z47" s="690"/>
      <c r="AA47" s="690"/>
      <c r="AB47" s="690"/>
      <c r="AC47" s="690"/>
    </row>
    <row r="48" spans="1:29" ht="15.75" thickBot="1">
      <c r="A48" s="437" t="s">
        <v>1708</v>
      </c>
      <c r="B48" s="438"/>
      <c r="C48" s="1156" t="e">
        <f>R49</f>
        <v>#DIV/0!</v>
      </c>
      <c r="D48" s="2313" t="s">
        <v>2137</v>
      </c>
      <c r="E48" s="1157" t="e">
        <f>R48</f>
        <v>#DIV/0!</v>
      </c>
      <c r="F48" s="2314"/>
      <c r="G48" s="1156" t="e">
        <f>T48</f>
        <v>#DIV/0!</v>
      </c>
      <c r="H48" s="2314"/>
      <c r="I48" s="1157" t="e">
        <f>V48</f>
        <v>#DIV/0!</v>
      </c>
      <c r="J48" s="2314"/>
      <c r="K48" s="2315">
        <f>F48+H48+J48</f>
        <v>0</v>
      </c>
      <c r="L48" s="2720"/>
      <c r="M48" s="2721"/>
      <c r="N48" s="2721"/>
      <c r="O48" s="2721"/>
      <c r="P48" s="3758" t="str">
        <f>A48</f>
        <v>比较价值（元/平方米）</v>
      </c>
      <c r="Q48" s="3758"/>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690"/>
      <c r="Y48" s="690"/>
      <c r="Z48" s="690"/>
      <c r="AA48" s="690"/>
      <c r="AB48" s="690"/>
      <c r="AC48" s="690"/>
    </row>
    <row r="49" spans="1:29" ht="15.75" thickBot="1">
      <c r="A49" s="441" t="s">
        <v>1709</v>
      </c>
      <c r="B49" s="442"/>
      <c r="C49" s="1158" t="e">
        <f>R49</f>
        <v>#DIV/0!</v>
      </c>
      <c r="D49" s="1159"/>
      <c r="E49" s="1159"/>
      <c r="F49" s="1159"/>
      <c r="G49" s="1159"/>
      <c r="H49" s="1159"/>
      <c r="I49" s="1159"/>
      <c r="J49" s="1159"/>
      <c r="K49" s="1911"/>
      <c r="L49" s="2720"/>
      <c r="M49" s="2721"/>
      <c r="N49" s="2721"/>
      <c r="O49" s="2721"/>
      <c r="P49" s="3755" t="str">
        <f>A49</f>
        <v>估价对象XX用房的比较价值（楼面单价，元/平方米）</v>
      </c>
      <c r="Q49" s="3756"/>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1713</v>
      </c>
      <c r="B57" s="690"/>
      <c r="C57" s="695"/>
      <c r="D57" s="695"/>
      <c r="E57" s="695"/>
      <c r="F57" s="696"/>
      <c r="G57" s="696"/>
      <c r="H57" s="695"/>
      <c r="I57" s="695"/>
      <c r="J57" s="695"/>
      <c r="K57" s="937"/>
      <c r="L57" s="938"/>
      <c r="M57" s="936"/>
      <c r="N57" s="936"/>
      <c r="O57" s="936"/>
      <c r="P57" s="1914"/>
      <c r="Q57" s="453"/>
    </row>
    <row r="58" spans="1:29" s="457" customFormat="1" ht="15">
      <c r="A58" s="454" t="s">
        <v>1714</v>
      </c>
      <c r="B58" s="455"/>
      <c r="C58" s="1182" t="str">
        <f>YEAR(C7)&amp;"-"&amp;MONTH(C7)</f>
        <v>2023-8</v>
      </c>
      <c r="D58" s="1181">
        <f>EDATE(C58,-1)</f>
        <v>45108</v>
      </c>
      <c r="E58" s="1181">
        <f>EDATE(D58,-1)</f>
        <v>45078</v>
      </c>
      <c r="F58" s="1181">
        <f t="shared" ref="F58:O58" si="19">EDATE(E58,-1)</f>
        <v>45047</v>
      </c>
      <c r="G58" s="1181">
        <f t="shared" si="19"/>
        <v>45017</v>
      </c>
      <c r="H58" s="1181">
        <f t="shared" si="19"/>
        <v>44986</v>
      </c>
      <c r="I58" s="1181">
        <f t="shared" si="19"/>
        <v>44958</v>
      </c>
      <c r="J58" s="1181">
        <f t="shared" si="19"/>
        <v>44927</v>
      </c>
      <c r="K58" s="1181">
        <f t="shared" si="19"/>
        <v>44896</v>
      </c>
      <c r="L58" s="1181">
        <f t="shared" si="19"/>
        <v>44866</v>
      </c>
      <c r="M58" s="1181">
        <f t="shared" si="19"/>
        <v>44835</v>
      </c>
      <c r="N58" s="1181">
        <f t="shared" si="19"/>
        <v>44805</v>
      </c>
      <c r="O58" s="1181">
        <f t="shared" si="19"/>
        <v>44774</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1715</v>
      </c>
      <c r="B60" s="465"/>
      <c r="C60" s="466"/>
      <c r="D60" s="467"/>
      <c r="E60" s="467"/>
      <c r="F60" s="467"/>
      <c r="G60" s="467"/>
      <c r="H60" s="467"/>
      <c r="I60" s="467"/>
      <c r="J60" s="467"/>
      <c r="K60" s="467"/>
      <c r="L60" s="467"/>
      <c r="M60" s="468"/>
      <c r="N60" s="467"/>
      <c r="O60" s="468"/>
      <c r="P60" s="1916"/>
      <c r="Q60" s="453"/>
    </row>
    <row r="61" spans="1:29" s="108" customFormat="1" ht="15">
      <c r="A61" s="470" t="s">
        <v>1716</v>
      </c>
      <c r="B61" s="459"/>
      <c r="C61" s="471" t="s">
        <v>1717</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1718</v>
      </c>
      <c r="B63" s="477" t="s">
        <v>1684</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1687</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1259</v>
      </c>
      <c r="C82" s="488" t="s">
        <v>1727</v>
      </c>
      <c r="D82" s="488" t="s">
        <v>1728</v>
      </c>
      <c r="E82" s="488" t="s">
        <v>1729</v>
      </c>
      <c r="F82" s="488" t="s">
        <v>1730</v>
      </c>
      <c r="G82" s="488" t="s">
        <v>1731</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1733</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1734</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1693</v>
      </c>
      <c r="B100" s="477" t="s">
        <v>1735</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1737</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1738</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1739</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1740</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1741</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1742</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1704</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1743</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3">
        <v>6</v>
      </c>
      <c r="C139" s="864">
        <v>96</v>
      </c>
      <c r="D139" s="1936" t="s">
        <v>1754</v>
      </c>
      <c r="E139" s="865">
        <v>100</v>
      </c>
      <c r="F139" s="866">
        <v>102.5</v>
      </c>
      <c r="G139" s="1936" t="s">
        <v>1754</v>
      </c>
      <c r="H139" s="867">
        <v>105</v>
      </c>
      <c r="I139" s="1937" t="s">
        <v>1755</v>
      </c>
      <c r="J139" s="864">
        <v>20</v>
      </c>
      <c r="K139" s="868">
        <f>C145/(J139-2)</f>
        <v>4.0555555555555553E-3</v>
      </c>
    </row>
    <row r="140" spans="1:17" ht="15">
      <c r="B140" s="869">
        <v>5</v>
      </c>
      <c r="C140" s="870">
        <v>100</v>
      </c>
      <c r="D140" s="870"/>
      <c r="E140" s="871"/>
      <c r="F140" s="872">
        <v>102</v>
      </c>
      <c r="G140" s="870"/>
      <c r="H140" s="873"/>
      <c r="I140" s="1938" t="s">
        <v>1756</v>
      </c>
      <c r="J140" s="271">
        <f>ROUNDUP((J139-1)/2,0)</f>
        <v>10</v>
      </c>
      <c r="K140" s="874">
        <v>100</v>
      </c>
    </row>
    <row r="141" spans="1:17" ht="15">
      <c r="B141" s="869">
        <v>4</v>
      </c>
      <c r="C141" s="870">
        <v>102</v>
      </c>
      <c r="D141" s="870"/>
      <c r="E141" s="871"/>
      <c r="F141" s="872">
        <v>101.5</v>
      </c>
      <c r="G141" s="870"/>
      <c r="H141" s="873"/>
      <c r="I141" s="1938" t="s">
        <v>1757</v>
      </c>
      <c r="J141" s="271">
        <v>1</v>
      </c>
      <c r="K141" s="875">
        <f>ROUND(100+(J141-J140)*K139*100,1)</f>
        <v>96.4</v>
      </c>
    </row>
    <row r="142" spans="1:17" ht="15">
      <c r="B142" s="869">
        <v>3</v>
      </c>
      <c r="C142" s="870">
        <v>103</v>
      </c>
      <c r="D142" s="870"/>
      <c r="E142" s="871"/>
      <c r="F142" s="872">
        <v>101</v>
      </c>
      <c r="G142" s="870"/>
      <c r="H142" s="873"/>
      <c r="I142" s="1938" t="s">
        <v>1758</v>
      </c>
      <c r="J142" s="271">
        <f>J139</f>
        <v>20</v>
      </c>
      <c r="K142" s="876">
        <v>95</v>
      </c>
    </row>
    <row r="143" spans="1:17" ht="15">
      <c r="B143" s="869">
        <v>2</v>
      </c>
      <c r="C143" s="870">
        <v>100</v>
      </c>
      <c r="D143" s="870"/>
      <c r="E143" s="871"/>
      <c r="F143" s="872">
        <v>100.5</v>
      </c>
      <c r="G143" s="870"/>
      <c r="H143" s="873"/>
      <c r="I143" s="1938" t="s">
        <v>1759</v>
      </c>
      <c r="J143" s="870">
        <v>15</v>
      </c>
      <c r="K143" s="875">
        <f>ROUND(100+(J143-J140)*K139*100,1)</f>
        <v>102</v>
      </c>
    </row>
    <row r="144" spans="1:17" ht="15">
      <c r="B144" s="869">
        <v>1</v>
      </c>
      <c r="C144" s="870">
        <v>98</v>
      </c>
      <c r="D144" s="1939" t="s">
        <v>1760</v>
      </c>
      <c r="E144" s="871">
        <v>102</v>
      </c>
      <c r="F144" s="877">
        <v>100</v>
      </c>
      <c r="G144" s="1939" t="s">
        <v>1760</v>
      </c>
      <c r="H144" s="873">
        <v>105</v>
      </c>
      <c r="I144" s="1938" t="s">
        <v>1759</v>
      </c>
      <c r="J144" s="870">
        <v>18</v>
      </c>
      <c r="K144" s="875">
        <f>ROUND(100+(J144-J140)*K139*100,1)</f>
        <v>103.2</v>
      </c>
    </row>
    <row r="145" spans="2:11" ht="15.75" thickBot="1">
      <c r="B145" s="1940" t="s">
        <v>1761</v>
      </c>
      <c r="C145" s="878">
        <f>ROUND(MAX(C139:C144)/MIN(C139:C144)-1,3)</f>
        <v>7.2999999999999995E-2</v>
      </c>
      <c r="D145" s="879"/>
      <c r="E145" s="879"/>
      <c r="F145" s="1941" t="s">
        <v>1762</v>
      </c>
      <c r="G145" s="1942"/>
      <c r="H145" s="1943"/>
      <c r="I145" s="1944" t="s">
        <v>1759</v>
      </c>
      <c r="J145" s="880">
        <v>8</v>
      </c>
      <c r="K145" s="881">
        <f>ROUND(100+(J145-J140)*K139*100,1)</f>
        <v>99.2</v>
      </c>
    </row>
    <row r="147" spans="2:11">
      <c r="B147" s="1925" t="s">
        <v>1763</v>
      </c>
    </row>
    <row r="148" spans="2:11">
      <c r="B148" s="1925"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受贵公司委托，我公司对北京市出让国有建设用地使用权及在建建筑物房地产抵押价值进行了预评估。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估价对象为北京市出让国有建设用地使用权及在建建筑物房地产，为所有。根据《国有土地使用证》[]，估价对象（分摊）出让国有建设用地使用权面积为35932.95平方米，建筑面积为131745.91平方米。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35932.95平方米，规划建筑面积为131745.91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2023年8月9日（评估专业人员实地查勘之日）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4" t="s">
        <v>1765</v>
      </c>
      <c r="C1" s="1234" t="s">
        <v>1661</v>
      </c>
      <c r="D1" s="1221"/>
      <c r="E1" s="3422"/>
      <c r="F1" s="1875"/>
      <c r="G1" s="1231" t="s">
        <v>1766</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1461</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1462</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1463</v>
      </c>
      <c r="B3" s="558">
        <f>IF(C2="——",C49,ROUND(B2*10000/D3,0))</f>
        <v>0</v>
      </c>
      <c r="C3" s="354" t="s">
        <v>1767</v>
      </c>
      <c r="D3" s="353">
        <f>IF(D1="",'数据-汇总表'!E3,SUMIF('数据-汇总表'!$C19:$C33,D1,'数据-汇总表'!$E19:$E33))</f>
        <v>131745.91</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28" t="s">
        <v>1770</v>
      </c>
      <c r="S4" s="3729"/>
      <c r="T4" s="3728" t="s">
        <v>1771</v>
      </c>
      <c r="U4" s="3729"/>
      <c r="V4" s="3753" t="s">
        <v>1772</v>
      </c>
      <c r="W4" s="3753"/>
      <c r="X4" s="1351"/>
      <c r="Y4" s="3728" t="s">
        <v>1774</v>
      </c>
      <c r="Z4" s="3729"/>
      <c r="AA4" s="3723" t="s">
        <v>1770</v>
      </c>
      <c r="AB4" s="3753" t="s">
        <v>1771</v>
      </c>
      <c r="AC4" s="3723" t="s">
        <v>1772</v>
      </c>
    </row>
    <row r="5" spans="1:29" ht="15">
      <c r="A5" s="358"/>
      <c r="B5" s="359"/>
      <c r="C5" s="3734" t="s">
        <v>1672</v>
      </c>
      <c r="D5" s="3735"/>
      <c r="E5" s="3732" t="s">
        <v>1673</v>
      </c>
      <c r="F5" s="3733"/>
      <c r="G5" s="3734" t="s">
        <v>1674</v>
      </c>
      <c r="H5" s="3735"/>
      <c r="I5" s="3734" t="s">
        <v>1675</v>
      </c>
      <c r="J5" s="3735"/>
      <c r="K5" s="559"/>
      <c r="L5" s="2711"/>
      <c r="M5" s="2712"/>
      <c r="N5" s="2712"/>
      <c r="O5" s="2712"/>
      <c r="P5" s="3747"/>
      <c r="Q5" s="3748"/>
      <c r="R5" s="3730"/>
      <c r="S5" s="3731"/>
      <c r="T5" s="3730"/>
      <c r="U5" s="3731"/>
      <c r="V5" s="3753"/>
      <c r="W5" s="3753"/>
      <c r="X5" s="1351"/>
      <c r="Y5" s="3730"/>
      <c r="Z5" s="3731"/>
      <c r="AA5" s="3724"/>
      <c r="AB5" s="3753"/>
      <c r="AC5" s="3724"/>
    </row>
    <row r="6" spans="1:29" ht="15.75" thickBot="1">
      <c r="A6" s="360"/>
      <c r="B6" s="361"/>
      <c r="C6" s="3736" t="s">
        <v>1676</v>
      </c>
      <c r="D6" s="3737"/>
      <c r="E6" s="3738" t="s">
        <v>1676</v>
      </c>
      <c r="F6" s="3739"/>
      <c r="G6" s="3736" t="s">
        <v>1676</v>
      </c>
      <c r="H6" s="3737"/>
      <c r="I6" s="3736" t="s">
        <v>1676</v>
      </c>
      <c r="J6" s="3737"/>
      <c r="K6" s="559" t="s">
        <v>1677</v>
      </c>
      <c r="L6" s="2711"/>
      <c r="M6" s="2712"/>
      <c r="N6" s="2712"/>
      <c r="O6" s="2712"/>
      <c r="P6" s="3749"/>
      <c r="Q6" s="3750"/>
      <c r="R6" s="3730"/>
      <c r="S6" s="3731"/>
      <c r="T6" s="3751"/>
      <c r="U6" s="3752"/>
      <c r="V6" s="3753"/>
      <c r="W6" s="3753"/>
      <c r="X6" s="1351"/>
      <c r="Y6" s="3751"/>
      <c r="Z6" s="3752"/>
      <c r="AA6" s="3725"/>
      <c r="AB6" s="3753"/>
      <c r="AC6" s="3725"/>
    </row>
    <row r="7" spans="1:29" s="108" customFormat="1" ht="15.75" thickBot="1">
      <c r="A7" s="362" t="s">
        <v>1678</v>
      </c>
      <c r="B7" s="363"/>
      <c r="C7" s="364">
        <f>'数据-取费表'!B2</f>
        <v>45147</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6" t="s">
        <v>1679</v>
      </c>
      <c r="Q7" s="3754"/>
      <c r="R7" s="701" t="s">
        <v>14</v>
      </c>
      <c r="S7" s="702">
        <f t="shared" ref="S7:S15" si="0">F7</f>
        <v>0</v>
      </c>
      <c r="T7" s="701" t="s">
        <v>14</v>
      </c>
      <c r="U7" s="702">
        <f t="shared" ref="U7:U15" si="1">H7</f>
        <v>0</v>
      </c>
      <c r="V7" s="701" t="s">
        <v>14</v>
      </c>
      <c r="W7" s="702">
        <f t="shared" ref="W7:W15" si="2">J7</f>
        <v>0</v>
      </c>
      <c r="X7" s="703"/>
      <c r="Y7" s="3726" t="s">
        <v>1679</v>
      </c>
      <c r="Z7" s="3727"/>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6" t="s">
        <v>1682</v>
      </c>
      <c r="Q8" s="3727"/>
      <c r="R8" s="701" t="s">
        <v>14</v>
      </c>
      <c r="S8" s="702">
        <f t="shared" si="0"/>
        <v>100</v>
      </c>
      <c r="T8" s="701" t="s">
        <v>14</v>
      </c>
      <c r="U8" s="702">
        <f t="shared" si="1"/>
        <v>100</v>
      </c>
      <c r="V8" s="701" t="s">
        <v>14</v>
      </c>
      <c r="W8" s="702">
        <f t="shared" si="2"/>
        <v>100</v>
      </c>
      <c r="X8" s="703"/>
      <c r="Y8" s="3726" t="s">
        <v>1682</v>
      </c>
      <c r="Z8" s="3727"/>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0" t="s">
        <v>1685</v>
      </c>
      <c r="Q9" s="1339"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0"/>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0"/>
      <c r="Q11" s="1339"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0"/>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0"/>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0"/>
      <c r="Q14" s="1339">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71.25">
      <c r="A15" s="391" t="s">
        <v>1689</v>
      </c>
      <c r="B15" s="61" t="s">
        <v>1776</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67" t="s">
        <v>1690</v>
      </c>
      <c r="Q15" s="1348" t="str">
        <f t="shared" si="6"/>
        <v>商业繁华度</v>
      </c>
      <c r="R15" s="705" t="s">
        <v>14</v>
      </c>
      <c r="S15" s="706">
        <f t="shared" si="0"/>
        <v>100</v>
      </c>
      <c r="T15" s="705" t="s">
        <v>14</v>
      </c>
      <c r="U15" s="706">
        <f t="shared" si="1"/>
        <v>100</v>
      </c>
      <c r="V15" s="705" t="s">
        <v>14</v>
      </c>
      <c r="W15" s="706">
        <f t="shared" si="2"/>
        <v>100</v>
      </c>
      <c r="X15" s="1351"/>
      <c r="Y15" s="3760" t="s">
        <v>1690</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68"/>
      <c r="Q16" s="1348"/>
      <c r="R16" s="705"/>
      <c r="S16" s="706"/>
      <c r="T16" s="705"/>
      <c r="U16" s="706"/>
      <c r="V16" s="705"/>
      <c r="W16" s="706"/>
      <c r="X16" s="1351"/>
      <c r="Y16" s="3761"/>
      <c r="Z16" s="1352"/>
      <c r="AA16" s="1349">
        <v>1</v>
      </c>
      <c r="AB16" s="1349">
        <v>1</v>
      </c>
      <c r="AC16" s="1349">
        <v>1</v>
      </c>
    </row>
    <row r="17" spans="1:29" ht="85.5">
      <c r="A17" s="379"/>
      <c r="B17" s="402" t="s">
        <v>1258</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68"/>
      <c r="Q17" s="1348" t="str">
        <f>B17</f>
        <v>交通便捷度</v>
      </c>
      <c r="R17" s="705" t="s">
        <v>14</v>
      </c>
      <c r="S17" s="706">
        <f>F17</f>
        <v>100</v>
      </c>
      <c r="T17" s="705" t="s">
        <v>14</v>
      </c>
      <c r="U17" s="706">
        <f>H17</f>
        <v>100</v>
      </c>
      <c r="V17" s="705" t="s">
        <v>14</v>
      </c>
      <c r="W17" s="706">
        <f>J17</f>
        <v>100</v>
      </c>
      <c r="X17" s="1351"/>
      <c r="Y17" s="376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68"/>
      <c r="Q18" s="1348"/>
      <c r="R18" s="705"/>
      <c r="S18" s="706"/>
      <c r="T18" s="705"/>
      <c r="U18" s="706"/>
      <c r="V18" s="705"/>
      <c r="W18" s="706"/>
      <c r="X18" s="1351"/>
      <c r="Y18" s="3761"/>
      <c r="Z18" s="1352"/>
      <c r="AA18" s="1349">
        <v>1</v>
      </c>
      <c r="AB18" s="1349">
        <v>1</v>
      </c>
      <c r="AC18" s="1349">
        <v>1</v>
      </c>
    </row>
    <row r="19" spans="1:29" ht="42.75">
      <c r="A19" s="379"/>
      <c r="B19" s="402" t="s">
        <v>1777</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68"/>
      <c r="Q19" s="1348" t="str">
        <f>B19</f>
        <v>公共配套设施</v>
      </c>
      <c r="R19" s="705" t="s">
        <v>14</v>
      </c>
      <c r="S19" s="706">
        <f>F19</f>
        <v>100</v>
      </c>
      <c r="T19" s="705" t="s">
        <v>14</v>
      </c>
      <c r="U19" s="706">
        <f>H19</f>
        <v>100</v>
      </c>
      <c r="V19" s="705" t="s">
        <v>14</v>
      </c>
      <c r="W19" s="706">
        <f>J19</f>
        <v>100</v>
      </c>
      <c r="X19" s="1351"/>
      <c r="Y19" s="376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68"/>
      <c r="Q20" s="1348"/>
      <c r="R20" s="705"/>
      <c r="S20" s="706"/>
      <c r="T20" s="705"/>
      <c r="U20" s="706"/>
      <c r="V20" s="705"/>
      <c r="W20" s="706"/>
      <c r="X20" s="1351"/>
      <c r="Y20" s="3761"/>
      <c r="Z20" s="1352"/>
      <c r="AA20" s="1349">
        <v>1</v>
      </c>
      <c r="AB20" s="1349">
        <v>1</v>
      </c>
      <c r="AC20" s="1349">
        <v>1</v>
      </c>
    </row>
    <row r="21" spans="1:29" ht="28.5">
      <c r="A21" s="379"/>
      <c r="B21" s="1127" t="s">
        <v>1778</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68"/>
      <c r="Q21" s="1348" t="str">
        <f>B21</f>
        <v>基础设施水平</v>
      </c>
      <c r="R21" s="705" t="s">
        <v>14</v>
      </c>
      <c r="S21" s="706">
        <f>F21</f>
        <v>100</v>
      </c>
      <c r="T21" s="705" t="s">
        <v>14</v>
      </c>
      <c r="U21" s="706">
        <f>H21</f>
        <v>100</v>
      </c>
      <c r="V21" s="705" t="s">
        <v>14</v>
      </c>
      <c r="W21" s="706">
        <f>J21</f>
        <v>100</v>
      </c>
      <c r="X21" s="1351"/>
      <c r="Y21" s="376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768"/>
      <c r="Q22" s="1348"/>
      <c r="R22" s="705"/>
      <c r="S22" s="706"/>
      <c r="T22" s="705"/>
      <c r="U22" s="706"/>
      <c r="V22" s="705"/>
      <c r="W22" s="706"/>
      <c r="X22" s="1351"/>
      <c r="Y22" s="3761"/>
      <c r="Z22" s="1352"/>
      <c r="AA22" s="1349">
        <v>1</v>
      </c>
      <c r="AB22" s="1349">
        <v>1</v>
      </c>
      <c r="AC22" s="1349">
        <v>1</v>
      </c>
    </row>
    <row r="23" spans="1:29" ht="57">
      <c r="A23" s="379"/>
      <c r="B23" s="402" t="s">
        <v>1260</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68"/>
      <c r="Q23" s="1348" t="str">
        <f>B23</f>
        <v>自然及人文环境</v>
      </c>
      <c r="R23" s="705" t="s">
        <v>14</v>
      </c>
      <c r="S23" s="706">
        <f>F23</f>
        <v>100</v>
      </c>
      <c r="T23" s="705" t="s">
        <v>14</v>
      </c>
      <c r="U23" s="706">
        <f>H23</f>
        <v>100</v>
      </c>
      <c r="V23" s="705" t="s">
        <v>14</v>
      </c>
      <c r="W23" s="706">
        <f>J23</f>
        <v>100</v>
      </c>
      <c r="X23" s="1351"/>
      <c r="Y23" s="3761"/>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68"/>
      <c r="Q24" s="1348"/>
      <c r="R24" s="705"/>
      <c r="S24" s="706"/>
      <c r="T24" s="705"/>
      <c r="U24" s="706"/>
      <c r="V24" s="705"/>
      <c r="W24" s="706"/>
      <c r="X24" s="1351"/>
      <c r="Y24" s="3761"/>
      <c r="Z24" s="1352"/>
      <c r="AA24" s="1349">
        <v>1</v>
      </c>
      <c r="AB24" s="1349">
        <v>1</v>
      </c>
      <c r="AC24" s="1349">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68"/>
      <c r="Q25" s="1348" t="str">
        <f t="shared" ref="Q25:Q46" si="11">B25</f>
        <v>临街状况</v>
      </c>
      <c r="R25" s="705" t="s">
        <v>14</v>
      </c>
      <c r="S25" s="706">
        <f>F25</f>
        <v>100</v>
      </c>
      <c r="T25" s="705" t="s">
        <v>14</v>
      </c>
      <c r="U25" s="706">
        <f>H25</f>
        <v>100</v>
      </c>
      <c r="V25" s="705" t="s">
        <v>14</v>
      </c>
      <c r="W25" s="706">
        <f>J25</f>
        <v>100</v>
      </c>
      <c r="X25" s="1351"/>
      <c r="Y25" s="3761"/>
      <c r="Z25" s="1352" t="str">
        <f>Q25</f>
        <v>临街状况</v>
      </c>
      <c r="AA25" s="1349">
        <f t="shared" si="3"/>
        <v>1</v>
      </c>
      <c r="AB25" s="1349">
        <f t="shared" si="4"/>
        <v>1</v>
      </c>
      <c r="AC25" s="1349">
        <f t="shared" si="5"/>
        <v>1</v>
      </c>
    </row>
    <row r="26" spans="1:29" ht="15">
      <c r="A26" s="379"/>
      <c r="B26" s="1129"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68"/>
      <c r="Q26" s="1348" t="str">
        <f t="shared" si="11"/>
        <v>平面位置/可视性</v>
      </c>
      <c r="R26" s="705" t="s">
        <v>14</v>
      </c>
      <c r="S26" s="706">
        <f>F26</f>
        <v>100</v>
      </c>
      <c r="T26" s="705" t="s">
        <v>14</v>
      </c>
      <c r="U26" s="706">
        <f>H26</f>
        <v>100</v>
      </c>
      <c r="V26" s="705" t="s">
        <v>14</v>
      </c>
      <c r="W26" s="706">
        <f>J26</f>
        <v>100</v>
      </c>
      <c r="X26" s="1351"/>
      <c r="Y26" s="3761"/>
      <c r="Z26" s="1352" t="str">
        <f>Q26</f>
        <v>平面位置/可视性</v>
      </c>
      <c r="AA26" s="1349">
        <f t="shared" si="3"/>
        <v>1</v>
      </c>
      <c r="AB26" s="1349">
        <f t="shared" si="4"/>
        <v>1</v>
      </c>
      <c r="AC26" s="1349">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68"/>
      <c r="Q27" s="1339" t="str">
        <f t="shared" si="11"/>
        <v>人流量</v>
      </c>
      <c r="R27" s="701" t="s">
        <v>14</v>
      </c>
      <c r="S27" s="702">
        <f>F27</f>
        <v>100</v>
      </c>
      <c r="T27" s="701" t="s">
        <v>14</v>
      </c>
      <c r="U27" s="702">
        <f>H27</f>
        <v>100</v>
      </c>
      <c r="V27" s="701" t="s">
        <v>14</v>
      </c>
      <c r="W27" s="702">
        <f>J27</f>
        <v>100</v>
      </c>
      <c r="X27" s="703"/>
      <c r="Y27" s="3761"/>
      <c r="Z27" s="52" t="str">
        <f>Q27</f>
        <v>人流量</v>
      </c>
      <c r="AA27" s="1349">
        <f>D27/F27</f>
        <v>1</v>
      </c>
      <c r="AB27" s="1349">
        <f>D27/H27</f>
        <v>1</v>
      </c>
      <c r="AC27" s="1349">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68"/>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61"/>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68"/>
      <c r="Q29" s="1348">
        <f t="shared" si="11"/>
        <v>111</v>
      </c>
      <c r="R29" s="705" t="s">
        <v>14</v>
      </c>
      <c r="S29" s="706">
        <f t="shared" si="12"/>
        <v>100</v>
      </c>
      <c r="T29" s="705" t="s">
        <v>14</v>
      </c>
      <c r="U29" s="706">
        <f t="shared" si="13"/>
        <v>100</v>
      </c>
      <c r="V29" s="705" t="s">
        <v>14</v>
      </c>
      <c r="W29" s="706">
        <f t="shared" si="14"/>
        <v>100</v>
      </c>
      <c r="X29" s="1351"/>
      <c r="Y29" s="3761"/>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68"/>
      <c r="Q30" s="1348">
        <f t="shared" si="11"/>
        <v>111</v>
      </c>
      <c r="R30" s="705" t="s">
        <v>14</v>
      </c>
      <c r="S30" s="706">
        <f t="shared" si="12"/>
        <v>100</v>
      </c>
      <c r="T30" s="705" t="s">
        <v>14</v>
      </c>
      <c r="U30" s="706">
        <f t="shared" si="13"/>
        <v>100</v>
      </c>
      <c r="V30" s="705" t="s">
        <v>14</v>
      </c>
      <c r="W30" s="706">
        <f t="shared" si="14"/>
        <v>100</v>
      </c>
      <c r="X30" s="1351"/>
      <c r="Y30" s="3761"/>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68"/>
      <c r="Q31" s="1348">
        <f t="shared" si="11"/>
        <v>111</v>
      </c>
      <c r="R31" s="705" t="s">
        <v>14</v>
      </c>
      <c r="S31" s="706">
        <f t="shared" si="12"/>
        <v>100</v>
      </c>
      <c r="T31" s="705" t="s">
        <v>14</v>
      </c>
      <c r="U31" s="706">
        <f t="shared" si="13"/>
        <v>100</v>
      </c>
      <c r="V31" s="705" t="s">
        <v>14</v>
      </c>
      <c r="W31" s="706">
        <f t="shared" si="14"/>
        <v>100</v>
      </c>
      <c r="X31" s="1351"/>
      <c r="Y31" s="3761"/>
      <c r="Z31" s="1352">
        <f t="shared" si="15"/>
        <v>111</v>
      </c>
      <c r="AA31" s="1349">
        <f t="shared" si="3"/>
        <v>1</v>
      </c>
      <c r="AB31" s="1349">
        <f t="shared" si="4"/>
        <v>1</v>
      </c>
      <c r="AC31" s="1349">
        <f t="shared" si="5"/>
        <v>1</v>
      </c>
    </row>
    <row r="32" spans="1:29" ht="15">
      <c r="A32" s="391" t="s">
        <v>1693</v>
      </c>
      <c r="B32" s="63" t="s">
        <v>1783</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62" t="s">
        <v>1695</v>
      </c>
      <c r="Q32" s="1348" t="str">
        <f t="shared" si="11"/>
        <v>商业类型</v>
      </c>
      <c r="R32" s="705" t="s">
        <v>14</v>
      </c>
      <c r="S32" s="706">
        <f t="shared" si="12"/>
        <v>100</v>
      </c>
      <c r="T32" s="705" t="s">
        <v>14</v>
      </c>
      <c r="U32" s="706">
        <f t="shared" si="13"/>
        <v>100</v>
      </c>
      <c r="V32" s="705" t="s">
        <v>14</v>
      </c>
      <c r="W32" s="706">
        <f t="shared" si="14"/>
        <v>100</v>
      </c>
      <c r="X32" s="1351"/>
      <c r="Y32" s="3765" t="s">
        <v>1695</v>
      </c>
      <c r="Z32" s="1352" t="str">
        <f t="shared" si="15"/>
        <v>商业类型</v>
      </c>
      <c r="AA32" s="1349">
        <f t="shared" si="3"/>
        <v>1</v>
      </c>
      <c r="AB32" s="1349">
        <f t="shared" si="4"/>
        <v>1</v>
      </c>
      <c r="AC32" s="1349">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63"/>
      <c r="Q33" s="707" t="str">
        <f t="shared" si="11"/>
        <v>项目建筑规模</v>
      </c>
      <c r="R33" s="708" t="s">
        <v>14</v>
      </c>
      <c r="S33" s="709" t="e">
        <f t="shared" si="12"/>
        <v>#N/A</v>
      </c>
      <c r="T33" s="708" t="s">
        <v>14</v>
      </c>
      <c r="U33" s="709" t="e">
        <f t="shared" si="13"/>
        <v>#N/A</v>
      </c>
      <c r="V33" s="708" t="s">
        <v>14</v>
      </c>
      <c r="W33" s="709" t="e">
        <f t="shared" si="14"/>
        <v>#N/A</v>
      </c>
      <c r="X33" s="710"/>
      <c r="Y33" s="3765"/>
      <c r="Z33" s="711" t="str">
        <f t="shared" si="15"/>
        <v>项目建筑规模</v>
      </c>
      <c r="AA33" s="1349" t="e">
        <f t="shared" si="3"/>
        <v>#N/A</v>
      </c>
      <c r="AB33" s="1349" t="e">
        <f t="shared" si="4"/>
        <v>#N/A</v>
      </c>
      <c r="AC33" s="1349" t="e">
        <f t="shared" si="5"/>
        <v>#N/A</v>
      </c>
    </row>
    <row r="34" spans="1:29" ht="15">
      <c r="A34" s="423"/>
      <c r="B34" s="375" t="s">
        <v>1697</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63"/>
      <c r="Q34" s="1348" t="str">
        <f t="shared" si="11"/>
        <v>建筑结构</v>
      </c>
      <c r="R34" s="705" t="s">
        <v>14</v>
      </c>
      <c r="S34" s="706">
        <f t="shared" si="12"/>
        <v>100</v>
      </c>
      <c r="T34" s="705" t="s">
        <v>14</v>
      </c>
      <c r="U34" s="706">
        <f t="shared" si="13"/>
        <v>100</v>
      </c>
      <c r="V34" s="705" t="s">
        <v>14</v>
      </c>
      <c r="W34" s="706">
        <f t="shared" si="14"/>
        <v>100</v>
      </c>
      <c r="X34" s="1351"/>
      <c r="Y34" s="3765"/>
      <c r="Z34" s="1352" t="str">
        <f t="shared" si="15"/>
        <v>建筑结构</v>
      </c>
      <c r="AA34" s="1349">
        <f t="shared" si="3"/>
        <v>1</v>
      </c>
      <c r="AB34" s="1349">
        <f t="shared" si="4"/>
        <v>1</v>
      </c>
      <c r="AC34" s="1349">
        <f t="shared" si="5"/>
        <v>1</v>
      </c>
    </row>
    <row r="35" spans="1:29" ht="15">
      <c r="A35" s="423"/>
      <c r="B35" s="375" t="s">
        <v>1784</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63"/>
      <c r="Q35" s="1348" t="str">
        <f t="shared" si="11"/>
        <v>公共部分装修</v>
      </c>
      <c r="R35" s="705" t="s">
        <v>14</v>
      </c>
      <c r="S35" s="706">
        <f t="shared" si="12"/>
        <v>100</v>
      </c>
      <c r="T35" s="705" t="s">
        <v>14</v>
      </c>
      <c r="U35" s="706">
        <f t="shared" si="13"/>
        <v>100</v>
      </c>
      <c r="V35" s="705" t="s">
        <v>14</v>
      </c>
      <c r="W35" s="706">
        <f t="shared" si="14"/>
        <v>100</v>
      </c>
      <c r="X35" s="1351"/>
      <c r="Y35" s="3765"/>
      <c r="Z35" s="1352" t="str">
        <f t="shared" si="15"/>
        <v>公共部分装修</v>
      </c>
      <c r="AA35" s="1349">
        <f t="shared" si="3"/>
        <v>1</v>
      </c>
      <c r="AB35" s="1349">
        <f t="shared" si="4"/>
        <v>1</v>
      </c>
      <c r="AC35" s="1349">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63"/>
      <c r="Q36" s="1348" t="str">
        <f t="shared" si="11"/>
        <v>成新度</v>
      </c>
      <c r="R36" s="705" t="s">
        <v>14</v>
      </c>
      <c r="S36" s="706" t="e">
        <f t="shared" si="12"/>
        <v>#N/A</v>
      </c>
      <c r="T36" s="705" t="s">
        <v>14</v>
      </c>
      <c r="U36" s="706" t="e">
        <f t="shared" si="13"/>
        <v>#N/A</v>
      </c>
      <c r="V36" s="705" t="s">
        <v>14</v>
      </c>
      <c r="W36" s="706" t="e">
        <f t="shared" si="14"/>
        <v>#N/A</v>
      </c>
      <c r="X36" s="1351"/>
      <c r="Y36" s="3765"/>
      <c r="Z36" s="1352" t="str">
        <f t="shared" si="15"/>
        <v>成新度</v>
      </c>
      <c r="AA36" s="1349" t="e">
        <f t="shared" si="3"/>
        <v>#N/A</v>
      </c>
      <c r="AB36" s="1349" t="e">
        <f t="shared" si="4"/>
        <v>#N/A</v>
      </c>
      <c r="AC36" s="1349" t="e">
        <f t="shared" si="5"/>
        <v>#N/A</v>
      </c>
    </row>
    <row r="37" spans="1:29" s="108" customFormat="1" ht="15">
      <c r="A37" s="424"/>
      <c r="B37" s="375" t="s">
        <v>1786</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63"/>
      <c r="Q37" s="1339" t="str">
        <f t="shared" si="11"/>
        <v>市政基础设施</v>
      </c>
      <c r="R37" s="701" t="s">
        <v>14</v>
      </c>
      <c r="S37" s="702">
        <f t="shared" si="12"/>
        <v>100</v>
      </c>
      <c r="T37" s="701" t="s">
        <v>14</v>
      </c>
      <c r="U37" s="702">
        <f t="shared" si="13"/>
        <v>100</v>
      </c>
      <c r="V37" s="701" t="s">
        <v>14</v>
      </c>
      <c r="W37" s="702">
        <f t="shared" si="14"/>
        <v>100</v>
      </c>
      <c r="X37" s="703"/>
      <c r="Y37" s="3765"/>
      <c r="Z37" s="52" t="str">
        <f t="shared" si="15"/>
        <v>市政基础设施</v>
      </c>
      <c r="AA37" s="704">
        <f t="shared" si="3"/>
        <v>1</v>
      </c>
      <c r="AB37" s="704">
        <f t="shared" si="4"/>
        <v>1</v>
      </c>
      <c r="AC37" s="704">
        <f t="shared" si="5"/>
        <v>1</v>
      </c>
    </row>
    <row r="38" spans="1:29" ht="15">
      <c r="A38" s="423"/>
      <c r="B38" s="375" t="s">
        <v>1787</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63" t="s">
        <v>1695</v>
      </c>
      <c r="Q38" s="1348" t="str">
        <f t="shared" si="11"/>
        <v>业态</v>
      </c>
      <c r="R38" s="705" t="s">
        <v>14</v>
      </c>
      <c r="S38" s="706">
        <f t="shared" si="12"/>
        <v>100</v>
      </c>
      <c r="T38" s="705" t="s">
        <v>14</v>
      </c>
      <c r="U38" s="706">
        <f t="shared" si="13"/>
        <v>100</v>
      </c>
      <c r="V38" s="705" t="s">
        <v>14</v>
      </c>
      <c r="W38" s="706">
        <f t="shared" si="14"/>
        <v>100</v>
      </c>
      <c r="X38" s="1351"/>
      <c r="Y38" s="3765" t="s">
        <v>1695</v>
      </c>
      <c r="Z38" s="1352" t="str">
        <f t="shared" si="15"/>
        <v>业态</v>
      </c>
      <c r="AA38" s="1349">
        <f t="shared" si="3"/>
        <v>1</v>
      </c>
      <c r="AB38" s="1349">
        <f t="shared" si="4"/>
        <v>1</v>
      </c>
      <c r="AC38" s="1349">
        <f t="shared" si="5"/>
        <v>1</v>
      </c>
    </row>
    <row r="39" spans="1:29" ht="15">
      <c r="A39" s="423"/>
      <c r="B39" s="375" t="s">
        <v>1788</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63"/>
      <c r="Q39" s="1348" t="str">
        <f t="shared" si="11"/>
        <v>层高</v>
      </c>
      <c r="R39" s="705" t="s">
        <v>14</v>
      </c>
      <c r="S39" s="706">
        <f t="shared" si="12"/>
        <v>100</v>
      </c>
      <c r="T39" s="705" t="s">
        <v>14</v>
      </c>
      <c r="U39" s="706">
        <f t="shared" si="13"/>
        <v>100</v>
      </c>
      <c r="V39" s="705" t="s">
        <v>14</v>
      </c>
      <c r="W39" s="706">
        <f t="shared" si="14"/>
        <v>100</v>
      </c>
      <c r="X39" s="1351"/>
      <c r="Y39" s="3765"/>
      <c r="Z39" s="1352" t="str">
        <f t="shared" si="15"/>
        <v>层高</v>
      </c>
      <c r="AA39" s="1349">
        <f t="shared" si="3"/>
        <v>1</v>
      </c>
      <c r="AB39" s="1349">
        <f t="shared" si="4"/>
        <v>1</v>
      </c>
      <c r="AC39" s="1349">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3"/>
      <c r="Q40" s="1348" t="str">
        <f t="shared" si="11"/>
        <v>单套建筑面积</v>
      </c>
      <c r="R40" s="705" t="s">
        <v>14</v>
      </c>
      <c r="S40" s="706">
        <f t="shared" si="12"/>
        <v>100</v>
      </c>
      <c r="T40" s="705" t="s">
        <v>14</v>
      </c>
      <c r="U40" s="706">
        <f t="shared" si="13"/>
        <v>100</v>
      </c>
      <c r="V40" s="705" t="s">
        <v>14</v>
      </c>
      <c r="W40" s="706">
        <f t="shared" si="14"/>
        <v>100</v>
      </c>
      <c r="X40" s="1351"/>
      <c r="Y40" s="3765"/>
      <c r="Z40" s="1352" t="str">
        <f t="shared" si="15"/>
        <v>单套建筑面积</v>
      </c>
      <c r="AA40" s="1349">
        <f t="shared" si="3"/>
        <v>1</v>
      </c>
      <c r="AB40" s="1349">
        <f t="shared" si="4"/>
        <v>1</v>
      </c>
      <c r="AC40" s="1349">
        <f t="shared" si="5"/>
        <v>1</v>
      </c>
    </row>
    <row r="41" spans="1:29" s="422" customFormat="1" ht="15">
      <c r="A41" s="419"/>
      <c r="B41" s="1350"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3"/>
      <c r="Q41" s="707" t="str">
        <f t="shared" si="11"/>
        <v>进深比</v>
      </c>
      <c r="R41" s="708" t="s">
        <v>14</v>
      </c>
      <c r="S41" s="709">
        <f t="shared" si="12"/>
        <v>100</v>
      </c>
      <c r="T41" s="708" t="s">
        <v>14</v>
      </c>
      <c r="U41" s="709">
        <f t="shared" si="13"/>
        <v>100</v>
      </c>
      <c r="V41" s="708" t="s">
        <v>14</v>
      </c>
      <c r="W41" s="709">
        <f t="shared" si="14"/>
        <v>100</v>
      </c>
      <c r="X41" s="710"/>
      <c r="Y41" s="3765"/>
      <c r="Z41" s="711" t="str">
        <f t="shared" si="15"/>
        <v>进深比</v>
      </c>
      <c r="AA41" s="1349">
        <f t="shared" si="3"/>
        <v>1</v>
      </c>
      <c r="AB41" s="1349">
        <f t="shared" si="4"/>
        <v>1</v>
      </c>
      <c r="AC41" s="1349">
        <f t="shared" si="5"/>
        <v>1</v>
      </c>
    </row>
    <row r="42" spans="1:29" ht="15">
      <c r="A42" s="423"/>
      <c r="B42" s="375" t="s">
        <v>1791</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63"/>
      <c r="Q42" s="1348" t="str">
        <f t="shared" si="11"/>
        <v>内部装修</v>
      </c>
      <c r="R42" s="705" t="s">
        <v>14</v>
      </c>
      <c r="S42" s="706">
        <f t="shared" si="12"/>
        <v>100</v>
      </c>
      <c r="T42" s="705" t="s">
        <v>14</v>
      </c>
      <c r="U42" s="706">
        <f t="shared" si="13"/>
        <v>100</v>
      </c>
      <c r="V42" s="705" t="s">
        <v>14</v>
      </c>
      <c r="W42" s="706">
        <f t="shared" si="14"/>
        <v>100</v>
      </c>
      <c r="X42" s="1351"/>
      <c r="Y42" s="3765"/>
      <c r="Z42" s="1352" t="str">
        <f t="shared" si="15"/>
        <v>内部装修</v>
      </c>
      <c r="AA42" s="1349">
        <f t="shared" si="3"/>
        <v>1</v>
      </c>
      <c r="AB42" s="1349">
        <f t="shared" si="4"/>
        <v>1</v>
      </c>
      <c r="AC42" s="1349">
        <f t="shared" si="5"/>
        <v>1</v>
      </c>
    </row>
    <row r="43" spans="1:29" ht="15">
      <c r="A43" s="423"/>
      <c r="B43" s="375" t="s">
        <v>1706</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63"/>
      <c r="Q43" s="1348" t="str">
        <f t="shared" si="11"/>
        <v>内部装修维护情况</v>
      </c>
      <c r="R43" s="705" t="s">
        <v>14</v>
      </c>
      <c r="S43" s="706">
        <f t="shared" si="12"/>
        <v>100</v>
      </c>
      <c r="T43" s="705" t="s">
        <v>14</v>
      </c>
      <c r="U43" s="706">
        <f t="shared" si="13"/>
        <v>100</v>
      </c>
      <c r="V43" s="705" t="s">
        <v>14</v>
      </c>
      <c r="W43" s="706">
        <f t="shared" si="14"/>
        <v>100</v>
      </c>
      <c r="X43" s="1351"/>
      <c r="Y43" s="3765"/>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3"/>
      <c r="Q44" s="1339">
        <f t="shared" si="11"/>
        <v>111</v>
      </c>
      <c r="R44" s="701" t="s">
        <v>14</v>
      </c>
      <c r="S44" s="702">
        <f t="shared" si="12"/>
        <v>100</v>
      </c>
      <c r="T44" s="701" t="s">
        <v>14</v>
      </c>
      <c r="U44" s="702">
        <f t="shared" si="13"/>
        <v>100</v>
      </c>
      <c r="V44" s="701" t="s">
        <v>14</v>
      </c>
      <c r="W44" s="702">
        <f t="shared" si="14"/>
        <v>100</v>
      </c>
      <c r="X44" s="703"/>
      <c r="Y44" s="3765"/>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3"/>
      <c r="Q45" s="1348">
        <f t="shared" si="11"/>
        <v>111</v>
      </c>
      <c r="R45" s="705" t="s">
        <v>14</v>
      </c>
      <c r="S45" s="706">
        <f t="shared" si="12"/>
        <v>100</v>
      </c>
      <c r="T45" s="705" t="s">
        <v>14</v>
      </c>
      <c r="U45" s="706">
        <f t="shared" si="13"/>
        <v>100</v>
      </c>
      <c r="V45" s="705" t="s">
        <v>14</v>
      </c>
      <c r="W45" s="706">
        <f t="shared" si="14"/>
        <v>100</v>
      </c>
      <c r="X45" s="1351"/>
      <c r="Y45" s="3765"/>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4"/>
      <c r="Q46" s="1348">
        <f t="shared" si="11"/>
        <v>111</v>
      </c>
      <c r="R46" s="705" t="s">
        <v>14</v>
      </c>
      <c r="S46" s="706">
        <f t="shared" si="12"/>
        <v>100</v>
      </c>
      <c r="T46" s="705" t="s">
        <v>14</v>
      </c>
      <c r="U46" s="706">
        <f t="shared" si="13"/>
        <v>100</v>
      </c>
      <c r="V46" s="705" t="s">
        <v>14</v>
      </c>
      <c r="W46" s="706">
        <f t="shared" si="14"/>
        <v>100</v>
      </c>
      <c r="X46" s="1351"/>
      <c r="Y46" s="3766"/>
      <c r="Z46" s="1352">
        <f t="shared" si="15"/>
        <v>111</v>
      </c>
      <c r="AA46" s="1349">
        <f t="shared" si="3"/>
        <v>1</v>
      </c>
      <c r="AB46" s="1349">
        <f t="shared" si="4"/>
        <v>1</v>
      </c>
      <c r="AC46" s="1349">
        <f t="shared" si="5"/>
        <v>1</v>
      </c>
    </row>
    <row r="47" spans="1:29" ht="15">
      <c r="A47" s="430" t="s">
        <v>1707</v>
      </c>
      <c r="B47" s="431"/>
      <c r="C47" s="1150" t="s">
        <v>0</v>
      </c>
      <c r="D47" s="1151"/>
      <c r="E47" s="1152"/>
      <c r="F47" s="1153"/>
      <c r="G47" s="1154"/>
      <c r="H47" s="1155"/>
      <c r="I47" s="1152"/>
      <c r="J47" s="1155"/>
      <c r="K47" s="714"/>
      <c r="L47" s="2720"/>
      <c r="M47" s="2721"/>
      <c r="N47" s="2712"/>
      <c r="O47" s="2721"/>
      <c r="P47" s="3758" t="str">
        <f>A47</f>
        <v>成交单价（元/平方米）</v>
      </c>
      <c r="Q47" s="3758"/>
      <c r="R47" s="3753">
        <f>E47</f>
        <v>0</v>
      </c>
      <c r="S47" s="3753"/>
      <c r="T47" s="3753">
        <f>G47</f>
        <v>0</v>
      </c>
      <c r="U47" s="3753"/>
      <c r="V47" s="3753">
        <f>I47</f>
        <v>0</v>
      </c>
      <c r="W47" s="3753"/>
      <c r="X47" s="690"/>
      <c r="Y47" s="712"/>
      <c r="Z47" s="690"/>
      <c r="AA47" s="690"/>
      <c r="AB47" s="690"/>
      <c r="AC47" s="690"/>
    </row>
    <row r="48" spans="1:29" ht="15.75" thickBot="1">
      <c r="A48" s="437" t="s">
        <v>1792</v>
      </c>
      <c r="B48" s="438"/>
      <c r="C48" s="1156" t="e">
        <f>R49</f>
        <v>#DIV/0!</v>
      </c>
      <c r="D48" s="2313" t="s">
        <v>2137</v>
      </c>
      <c r="E48" s="1157" t="e">
        <f>R48</f>
        <v>#DIV/0!</v>
      </c>
      <c r="F48" s="2314"/>
      <c r="G48" s="1156" t="e">
        <f>T48</f>
        <v>#DIV/0!</v>
      </c>
      <c r="H48" s="2314"/>
      <c r="I48" s="1157" t="e">
        <f>V48</f>
        <v>#DIV/0!</v>
      </c>
      <c r="J48" s="2314"/>
      <c r="K48" s="2316">
        <f>F48+H48+J48</f>
        <v>0</v>
      </c>
      <c r="L48" s="2720"/>
      <c r="M48" s="2721"/>
      <c r="N48" s="2712"/>
      <c r="O48" s="2721"/>
      <c r="P48" s="3758" t="str">
        <f>A48</f>
        <v>比较价值（元/平方米）</v>
      </c>
      <c r="Q48" s="3758"/>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690"/>
      <c r="Y48" s="690"/>
      <c r="Z48" s="690"/>
      <c r="AA48" s="690"/>
      <c r="AB48" s="690"/>
      <c r="AC48" s="690"/>
    </row>
    <row r="49" spans="1:29" ht="15.75" thickBot="1">
      <c r="A49" s="441" t="s">
        <v>1793</v>
      </c>
      <c r="B49" s="442"/>
      <c r="C49" s="1159" t="e">
        <f>R49</f>
        <v>#DIV/0!</v>
      </c>
      <c r="D49" s="1159"/>
      <c r="E49" s="1159"/>
      <c r="F49" s="1159"/>
      <c r="G49" s="1159"/>
      <c r="H49" s="1159"/>
      <c r="I49" s="1159"/>
      <c r="J49" s="1159"/>
      <c r="K49" s="715"/>
      <c r="L49" s="2720"/>
      <c r="M49" s="2721"/>
      <c r="N49" s="2712"/>
      <c r="O49" s="2721"/>
      <c r="P49" s="3755" t="str">
        <f>A49</f>
        <v>估价对象XX用房的比较价值（楼面单价，元/平方米）</v>
      </c>
      <c r="Q49" s="3756"/>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1797</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1678</v>
      </c>
      <c r="B58" s="455"/>
      <c r="C58" s="1180" t="str">
        <f>YEAR(C7)&amp;"-"&amp;MONTH(C7)</f>
        <v>2023-8</v>
      </c>
      <c r="D58" s="1181">
        <f>EDATE(C58,-1)</f>
        <v>45108</v>
      </c>
      <c r="E58" s="1181">
        <f t="shared" ref="E58:N58" si="16">EDATE(D58,-1)</f>
        <v>45078</v>
      </c>
      <c r="F58" s="1181">
        <f t="shared" si="16"/>
        <v>45047</v>
      </c>
      <c r="G58" s="1181">
        <f t="shared" si="16"/>
        <v>45017</v>
      </c>
      <c r="H58" s="1181">
        <f t="shared" si="16"/>
        <v>44986</v>
      </c>
      <c r="I58" s="1181">
        <f t="shared" si="16"/>
        <v>44958</v>
      </c>
      <c r="J58" s="1181">
        <f t="shared" si="16"/>
        <v>44927</v>
      </c>
      <c r="K58" s="1181">
        <f t="shared" si="16"/>
        <v>44896</v>
      </c>
      <c r="L58" s="1181">
        <f t="shared" si="16"/>
        <v>44866</v>
      </c>
      <c r="M58" s="1181">
        <f t="shared" si="16"/>
        <v>44835</v>
      </c>
      <c r="N58" s="1181">
        <f t="shared" si="16"/>
        <v>44805</v>
      </c>
      <c r="O58" s="1181">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8" t="s">
        <v>1798</v>
      </c>
      <c r="D82" s="608" t="s">
        <v>1799</v>
      </c>
      <c r="E82" s="608" t="s">
        <v>1800</v>
      </c>
      <c r="F82" s="608" t="s">
        <v>1801</v>
      </c>
      <c r="G82" s="608" t="s">
        <v>1802</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3" t="s">
        <v>1809</v>
      </c>
      <c r="C1" s="1220" t="s">
        <v>1661</v>
      </c>
      <c r="D1" s="1221"/>
      <c r="E1" s="3429"/>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1462</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131745.91</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75" t="s">
        <v>1774</v>
      </c>
      <c r="Q4" s="3776"/>
      <c r="R4" s="3770" t="s">
        <v>1770</v>
      </c>
      <c r="S4" s="3771"/>
      <c r="T4" s="3770" t="s">
        <v>1771</v>
      </c>
      <c r="U4" s="3771"/>
      <c r="V4" s="3779" t="s">
        <v>1772</v>
      </c>
      <c r="W4" s="3779"/>
      <c r="X4" s="1954"/>
      <c r="Y4" s="3770" t="s">
        <v>1774</v>
      </c>
      <c r="Z4" s="3771"/>
      <c r="AA4" s="3769" t="s">
        <v>1770</v>
      </c>
      <c r="AB4" s="3769" t="s">
        <v>1771</v>
      </c>
      <c r="AC4" s="3772" t="s">
        <v>1772</v>
      </c>
    </row>
    <row r="5" spans="1:29" ht="15">
      <c r="A5" s="358"/>
      <c r="B5" s="359"/>
      <c r="C5" s="3734" t="s">
        <v>1672</v>
      </c>
      <c r="D5" s="3735"/>
      <c r="E5" s="3732" t="s">
        <v>1673</v>
      </c>
      <c r="F5" s="3733"/>
      <c r="G5" s="3734" t="s">
        <v>1674</v>
      </c>
      <c r="H5" s="3735"/>
      <c r="I5" s="3734" t="s">
        <v>1675</v>
      </c>
      <c r="J5" s="3735"/>
      <c r="K5" s="559"/>
      <c r="L5" s="2711"/>
      <c r="M5" s="2712"/>
      <c r="N5" s="2712"/>
      <c r="O5" s="2712"/>
      <c r="P5" s="3777"/>
      <c r="Q5" s="3748"/>
      <c r="R5" s="3730"/>
      <c r="S5" s="3731"/>
      <c r="T5" s="3730"/>
      <c r="U5" s="3731"/>
      <c r="V5" s="3753"/>
      <c r="W5" s="3753"/>
      <c r="X5" s="1351"/>
      <c r="Y5" s="3730"/>
      <c r="Z5" s="3731"/>
      <c r="AA5" s="3724"/>
      <c r="AB5" s="3724"/>
      <c r="AC5" s="3773"/>
    </row>
    <row r="6" spans="1:29" ht="15.75" thickBot="1">
      <c r="A6" s="360"/>
      <c r="B6" s="361"/>
      <c r="C6" s="3736" t="s">
        <v>1676</v>
      </c>
      <c r="D6" s="3737"/>
      <c r="E6" s="3738" t="s">
        <v>1676</v>
      </c>
      <c r="F6" s="3739"/>
      <c r="G6" s="3736" t="s">
        <v>1676</v>
      </c>
      <c r="H6" s="3737"/>
      <c r="I6" s="3736" t="s">
        <v>1676</v>
      </c>
      <c r="J6" s="3737"/>
      <c r="K6" s="559" t="s">
        <v>1677</v>
      </c>
      <c r="L6" s="2711"/>
      <c r="M6" s="2712"/>
      <c r="N6" s="2712"/>
      <c r="O6" s="2712"/>
      <c r="P6" s="3778"/>
      <c r="Q6" s="3750"/>
      <c r="R6" s="3730"/>
      <c r="S6" s="3731"/>
      <c r="T6" s="3751"/>
      <c r="U6" s="3752"/>
      <c r="V6" s="3753"/>
      <c r="W6" s="3753"/>
      <c r="X6" s="1351"/>
      <c r="Y6" s="3751"/>
      <c r="Z6" s="3752"/>
      <c r="AA6" s="3725"/>
      <c r="AB6" s="3725"/>
      <c r="AC6" s="3774"/>
    </row>
    <row r="7" spans="1:29" s="108" customFormat="1" ht="15.75" thickBot="1">
      <c r="A7" s="362" t="s">
        <v>1678</v>
      </c>
      <c r="B7" s="363"/>
      <c r="C7" s="364">
        <f>'数据-取费表'!B2</f>
        <v>45147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0" t="s">
        <v>1679</v>
      </c>
      <c r="Q7" s="3754"/>
      <c r="R7" s="701" t="s">
        <v>14</v>
      </c>
      <c r="S7" s="702">
        <f t="shared" ref="S7:S15" si="0">F7</f>
        <v>0</v>
      </c>
      <c r="T7" s="701" t="s">
        <v>14</v>
      </c>
      <c r="U7" s="702">
        <f t="shared" ref="U7:U15" si="1">H7</f>
        <v>0</v>
      </c>
      <c r="V7" s="701" t="s">
        <v>14</v>
      </c>
      <c r="W7" s="702">
        <f t="shared" ref="W7:W15" si="2">J7</f>
        <v>0</v>
      </c>
      <c r="X7" s="703"/>
      <c r="Y7" s="3726" t="s">
        <v>1679</v>
      </c>
      <c r="Z7" s="3727"/>
      <c r="AA7" s="704" t="e">
        <f>D7/F7</f>
        <v>#DIV/0!</v>
      </c>
      <c r="AB7" s="704" t="e">
        <f>D7/H7</f>
        <v>#DIV/0!</v>
      </c>
      <c r="AC7" s="1955"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0" t="s">
        <v>1682</v>
      </c>
      <c r="Q8" s="3727"/>
      <c r="R8" s="701" t="s">
        <v>14</v>
      </c>
      <c r="S8" s="702">
        <f t="shared" si="0"/>
        <v>100</v>
      </c>
      <c r="T8" s="701" t="s">
        <v>14</v>
      </c>
      <c r="U8" s="702">
        <f t="shared" si="1"/>
        <v>100</v>
      </c>
      <c r="V8" s="701" t="s">
        <v>14</v>
      </c>
      <c r="W8" s="702">
        <f t="shared" si="2"/>
        <v>100</v>
      </c>
      <c r="X8" s="703"/>
      <c r="Y8" s="3726" t="s">
        <v>1682</v>
      </c>
      <c r="Z8" s="3727"/>
      <c r="AA8" s="704">
        <f t="shared" ref="AA8:AA47" si="3">D8/F8</f>
        <v>1</v>
      </c>
      <c r="AB8" s="704">
        <f t="shared" ref="AB8:AB47" si="4">D8/H8</f>
        <v>1</v>
      </c>
      <c r="AC8" s="1955">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0" t="s">
        <v>1685</v>
      </c>
      <c r="Q9" s="1339"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1955">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0"/>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1955">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0"/>
      <c r="Q11" s="1339"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0"/>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0"/>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0"/>
      <c r="Q14" s="1339">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1955">
        <f t="shared" si="5"/>
        <v>1</v>
      </c>
    </row>
    <row r="15" spans="1:29" ht="71.25">
      <c r="A15" s="391" t="s">
        <v>1689</v>
      </c>
      <c r="B15" s="577" t="s">
        <v>1810</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67" t="s">
        <v>1690</v>
      </c>
      <c r="Q15" s="1348" t="str">
        <f t="shared" si="6"/>
        <v>办公集聚程度</v>
      </c>
      <c r="R15" s="705" t="s">
        <v>14</v>
      </c>
      <c r="S15" s="706">
        <f t="shared" si="0"/>
        <v>100</v>
      </c>
      <c r="T15" s="705" t="s">
        <v>14</v>
      </c>
      <c r="U15" s="706">
        <f t="shared" si="1"/>
        <v>100</v>
      </c>
      <c r="V15" s="705" t="s">
        <v>14</v>
      </c>
      <c r="W15" s="706">
        <f t="shared" si="2"/>
        <v>100</v>
      </c>
      <c r="X15" s="1351"/>
      <c r="Y15" s="3760" t="s">
        <v>1690</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68"/>
      <c r="Q16" s="1348"/>
      <c r="R16" s="705"/>
      <c r="S16" s="706"/>
      <c r="T16" s="705"/>
      <c r="U16" s="706"/>
      <c r="V16" s="705"/>
      <c r="W16" s="706"/>
      <c r="X16" s="1351"/>
      <c r="Y16" s="3761"/>
      <c r="Z16" s="1352"/>
      <c r="AA16" s="1349">
        <v>1</v>
      </c>
      <c r="AB16" s="1349">
        <v>1</v>
      </c>
      <c r="AC16" s="1958">
        <v>1</v>
      </c>
    </row>
    <row r="17" spans="1:29" ht="71.25">
      <c r="A17" s="379"/>
      <c r="B17" s="579" t="s">
        <v>1258</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68"/>
      <c r="Q17" s="1348" t="str">
        <f>B17</f>
        <v>交通便捷度</v>
      </c>
      <c r="R17" s="705" t="s">
        <v>14</v>
      </c>
      <c r="S17" s="706">
        <f>F17</f>
        <v>100</v>
      </c>
      <c r="T17" s="705" t="s">
        <v>14</v>
      </c>
      <c r="U17" s="706">
        <f>H17</f>
        <v>100</v>
      </c>
      <c r="V17" s="705" t="s">
        <v>14</v>
      </c>
      <c r="W17" s="706">
        <f>J17</f>
        <v>100</v>
      </c>
      <c r="X17" s="1351"/>
      <c r="Y17" s="3761"/>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68"/>
      <c r="Q18" s="1348"/>
      <c r="R18" s="705"/>
      <c r="S18" s="706"/>
      <c r="T18" s="705"/>
      <c r="U18" s="706"/>
      <c r="V18" s="705"/>
      <c r="W18" s="706"/>
      <c r="X18" s="1351"/>
      <c r="Y18" s="3761"/>
      <c r="Z18" s="1352"/>
      <c r="AA18" s="1349">
        <v>1</v>
      </c>
      <c r="AB18" s="1349">
        <v>1</v>
      </c>
      <c r="AC18" s="1958">
        <v>1</v>
      </c>
    </row>
    <row r="19" spans="1:29" ht="42.75">
      <c r="A19" s="379"/>
      <c r="B19" s="579" t="s">
        <v>1811</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68"/>
      <c r="Q19" s="1348" t="str">
        <f>B19</f>
        <v>公共配套设施</v>
      </c>
      <c r="R19" s="705" t="s">
        <v>14</v>
      </c>
      <c r="S19" s="706">
        <f>F19</f>
        <v>100</v>
      </c>
      <c r="T19" s="705" t="s">
        <v>14</v>
      </c>
      <c r="U19" s="706">
        <f>H19</f>
        <v>100</v>
      </c>
      <c r="V19" s="705" t="s">
        <v>14</v>
      </c>
      <c r="W19" s="706">
        <f>J19</f>
        <v>100</v>
      </c>
      <c r="X19" s="1351"/>
      <c r="Y19" s="3761"/>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68"/>
      <c r="Q20" s="1348"/>
      <c r="R20" s="705"/>
      <c r="S20" s="706"/>
      <c r="T20" s="705"/>
      <c r="U20" s="706"/>
      <c r="V20" s="705"/>
      <c r="W20" s="706"/>
      <c r="X20" s="1351"/>
      <c r="Y20" s="3761"/>
      <c r="Z20" s="1352"/>
      <c r="AA20" s="1349">
        <v>1</v>
      </c>
      <c r="AB20" s="1349">
        <v>1</v>
      </c>
      <c r="AC20" s="1958">
        <v>1</v>
      </c>
    </row>
    <row r="21" spans="1:29" ht="28.5">
      <c r="A21" s="379"/>
      <c r="B21" s="581" t="s">
        <v>1812</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68"/>
      <c r="Q21" s="1348" t="str">
        <f>B21</f>
        <v>基础设施水平</v>
      </c>
      <c r="R21" s="705" t="s">
        <v>14</v>
      </c>
      <c r="S21" s="706">
        <f>F21</f>
        <v>100</v>
      </c>
      <c r="T21" s="705" t="s">
        <v>14</v>
      </c>
      <c r="U21" s="706">
        <f>H21</f>
        <v>100</v>
      </c>
      <c r="V21" s="705" t="s">
        <v>14</v>
      </c>
      <c r="W21" s="706">
        <f>J21</f>
        <v>100</v>
      </c>
      <c r="X21" s="1351"/>
      <c r="Y21" s="3761"/>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768"/>
      <c r="Q22" s="1348"/>
      <c r="R22" s="705"/>
      <c r="S22" s="706"/>
      <c r="T22" s="705"/>
      <c r="U22" s="706"/>
      <c r="V22" s="705"/>
      <c r="W22" s="706"/>
      <c r="X22" s="1351"/>
      <c r="Y22" s="3761"/>
      <c r="Z22" s="1352"/>
      <c r="AA22" s="1349">
        <v>1</v>
      </c>
      <c r="AB22" s="1349">
        <v>1</v>
      </c>
      <c r="AC22" s="1958">
        <v>1</v>
      </c>
    </row>
    <row r="23" spans="1:29" ht="42.75">
      <c r="A23" s="379"/>
      <c r="B23" s="579" t="s">
        <v>1813</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68"/>
      <c r="Q23" s="1348" t="str">
        <f>B23</f>
        <v>环境质量</v>
      </c>
      <c r="R23" s="705" t="s">
        <v>14</v>
      </c>
      <c r="S23" s="706">
        <f>F23</f>
        <v>100</v>
      </c>
      <c r="T23" s="705" t="s">
        <v>14</v>
      </c>
      <c r="U23" s="706">
        <f>H23</f>
        <v>100</v>
      </c>
      <c r="V23" s="705" t="s">
        <v>14</v>
      </c>
      <c r="W23" s="706">
        <f>J23</f>
        <v>100</v>
      </c>
      <c r="X23" s="1351"/>
      <c r="Y23" s="3761"/>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68"/>
      <c r="Q24" s="1348"/>
      <c r="R24" s="705"/>
      <c r="S24" s="706"/>
      <c r="T24" s="705"/>
      <c r="U24" s="706"/>
      <c r="V24" s="705"/>
      <c r="W24" s="706"/>
      <c r="X24" s="1351"/>
      <c r="Y24" s="3761"/>
      <c r="Z24" s="1352"/>
      <c r="AA24" s="1349">
        <v>1</v>
      </c>
      <c r="AB24" s="1349">
        <v>1</v>
      </c>
      <c r="AC24" s="1958">
        <v>1</v>
      </c>
    </row>
    <row r="25" spans="1:29" ht="27">
      <c r="A25" s="358"/>
      <c r="B25" s="579" t="s">
        <v>1814</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68"/>
      <c r="Q25" s="1348" t="str">
        <f>B25</f>
        <v>毗邻道路的类型与等级</v>
      </c>
      <c r="R25" s="705" t="s">
        <v>14</v>
      </c>
      <c r="S25" s="706">
        <f>F25</f>
        <v>100</v>
      </c>
      <c r="T25" s="705" t="s">
        <v>14</v>
      </c>
      <c r="U25" s="706">
        <f>H25</f>
        <v>100</v>
      </c>
      <c r="V25" s="705" t="s">
        <v>14</v>
      </c>
      <c r="W25" s="706">
        <f>J25</f>
        <v>100</v>
      </c>
      <c r="X25" s="1351"/>
      <c r="Y25" s="3761"/>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68"/>
      <c r="Q26" s="1348"/>
      <c r="R26" s="705"/>
      <c r="S26" s="706"/>
      <c r="T26" s="705"/>
      <c r="U26" s="706"/>
      <c r="V26" s="705"/>
      <c r="W26" s="706"/>
      <c r="X26" s="1351"/>
      <c r="Y26" s="3761"/>
      <c r="Z26" s="1352"/>
      <c r="AA26" s="1349">
        <v>1</v>
      </c>
      <c r="AB26" s="1349">
        <v>1</v>
      </c>
      <c r="AC26" s="1958">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68"/>
      <c r="Q27" s="1348" t="str">
        <f t="shared" ref="Q27:Q47" si="11">B27</f>
        <v>楼层</v>
      </c>
      <c r="R27" s="705" t="s">
        <v>14</v>
      </c>
      <c r="S27" s="706">
        <f>F27</f>
        <v>100</v>
      </c>
      <c r="T27" s="705" t="s">
        <v>14</v>
      </c>
      <c r="U27" s="706">
        <f>H27</f>
        <v>100</v>
      </c>
      <c r="V27" s="705" t="s">
        <v>14</v>
      </c>
      <c r="W27" s="706">
        <f>J27</f>
        <v>100</v>
      </c>
      <c r="X27" s="1351"/>
      <c r="Y27" s="3761"/>
      <c r="Z27" s="1352" t="str">
        <f>Q27</f>
        <v>楼层</v>
      </c>
      <c r="AA27" s="1349">
        <f t="shared" si="3"/>
        <v>1</v>
      </c>
      <c r="AB27" s="1349">
        <f t="shared" si="4"/>
        <v>1</v>
      </c>
      <c r="AC27" s="1958">
        <f t="shared" si="5"/>
        <v>1</v>
      </c>
    </row>
    <row r="28" spans="1:29" s="108" customFormat="1" ht="15">
      <c r="A28" s="382"/>
      <c r="B28" s="579" t="s">
        <v>1815</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68"/>
      <c r="Q28" s="1339" t="str">
        <f t="shared" si="11"/>
        <v>朝向</v>
      </c>
      <c r="R28" s="701" t="s">
        <v>14</v>
      </c>
      <c r="S28" s="702">
        <f>F28</f>
        <v>100</v>
      </c>
      <c r="T28" s="701" t="s">
        <v>14</v>
      </c>
      <c r="U28" s="702">
        <f>H28</f>
        <v>100</v>
      </c>
      <c r="V28" s="701" t="s">
        <v>14</v>
      </c>
      <c r="W28" s="702">
        <f>J28</f>
        <v>100</v>
      </c>
      <c r="X28" s="703"/>
      <c r="Y28" s="3761"/>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68"/>
      <c r="Q29" s="1348">
        <f t="shared" si="11"/>
        <v>111</v>
      </c>
      <c r="R29" s="705" t="s">
        <v>14</v>
      </c>
      <c r="S29" s="706">
        <f t="shared" ref="S29:S47" si="12">F29</f>
        <v>100</v>
      </c>
      <c r="T29" s="705" t="s">
        <v>14</v>
      </c>
      <c r="U29" s="706">
        <f t="shared" ref="U29:U47" si="13">H29</f>
        <v>100</v>
      </c>
      <c r="V29" s="705" t="s">
        <v>14</v>
      </c>
      <c r="W29" s="706">
        <f t="shared" ref="W29:W47" si="14">J29</f>
        <v>100</v>
      </c>
      <c r="X29" s="1351"/>
      <c r="Y29" s="3761"/>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68"/>
      <c r="Q30" s="1348">
        <f t="shared" si="11"/>
        <v>111</v>
      </c>
      <c r="R30" s="705" t="s">
        <v>14</v>
      </c>
      <c r="S30" s="706">
        <f t="shared" si="12"/>
        <v>100</v>
      </c>
      <c r="T30" s="705" t="s">
        <v>14</v>
      </c>
      <c r="U30" s="706">
        <f t="shared" si="13"/>
        <v>100</v>
      </c>
      <c r="V30" s="705" t="s">
        <v>14</v>
      </c>
      <c r="W30" s="706">
        <f t="shared" si="14"/>
        <v>100</v>
      </c>
      <c r="X30" s="1351"/>
      <c r="Y30" s="3761"/>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68"/>
      <c r="Q31" s="1348">
        <f t="shared" si="11"/>
        <v>111</v>
      </c>
      <c r="R31" s="705" t="s">
        <v>14</v>
      </c>
      <c r="S31" s="706">
        <f t="shared" si="12"/>
        <v>100</v>
      </c>
      <c r="T31" s="705" t="s">
        <v>14</v>
      </c>
      <c r="U31" s="706">
        <f t="shared" si="13"/>
        <v>100</v>
      </c>
      <c r="V31" s="705" t="s">
        <v>14</v>
      </c>
      <c r="W31" s="706">
        <f t="shared" si="14"/>
        <v>100</v>
      </c>
      <c r="X31" s="1351"/>
      <c r="Y31" s="3761"/>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68"/>
      <c r="Q32" s="1348">
        <f t="shared" si="11"/>
        <v>111</v>
      </c>
      <c r="R32" s="705" t="s">
        <v>14</v>
      </c>
      <c r="S32" s="706">
        <f t="shared" si="12"/>
        <v>100</v>
      </c>
      <c r="T32" s="705" t="s">
        <v>14</v>
      </c>
      <c r="U32" s="706">
        <f t="shared" si="13"/>
        <v>100</v>
      </c>
      <c r="V32" s="705" t="s">
        <v>14</v>
      </c>
      <c r="W32" s="706">
        <f t="shared" si="14"/>
        <v>100</v>
      </c>
      <c r="X32" s="1351"/>
      <c r="Y32" s="3761"/>
      <c r="Z32" s="1352">
        <f t="shared" si="15"/>
        <v>111</v>
      </c>
      <c r="AA32" s="1349">
        <f t="shared" si="3"/>
        <v>1</v>
      </c>
      <c r="AB32" s="1349">
        <f t="shared" si="4"/>
        <v>1</v>
      </c>
      <c r="AC32" s="1958">
        <f t="shared" si="5"/>
        <v>1</v>
      </c>
    </row>
    <row r="33" spans="1:29" ht="15">
      <c r="A33" s="391" t="s">
        <v>1693</v>
      </c>
      <c r="B33" s="63" t="s">
        <v>1816</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62" t="s">
        <v>1695</v>
      </c>
      <c r="Q33" s="1348" t="str">
        <f t="shared" si="11"/>
        <v>建筑类型</v>
      </c>
      <c r="R33" s="705" t="s">
        <v>14</v>
      </c>
      <c r="S33" s="706">
        <f t="shared" si="12"/>
        <v>100</v>
      </c>
      <c r="T33" s="705" t="s">
        <v>14</v>
      </c>
      <c r="U33" s="706">
        <f t="shared" si="13"/>
        <v>100</v>
      </c>
      <c r="V33" s="705" t="s">
        <v>14</v>
      </c>
      <c r="W33" s="706">
        <f t="shared" si="14"/>
        <v>100</v>
      </c>
      <c r="X33" s="1351"/>
      <c r="Y33" s="3765" t="s">
        <v>1695</v>
      </c>
      <c r="Z33" s="1352" t="str">
        <f t="shared" si="15"/>
        <v>建筑类型</v>
      </c>
      <c r="AA33" s="1349">
        <f t="shared" si="3"/>
        <v>1</v>
      </c>
      <c r="AB33" s="1349">
        <f t="shared" si="4"/>
        <v>1</v>
      </c>
      <c r="AC33" s="1958">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63"/>
      <c r="Q34" s="707" t="str">
        <f t="shared" si="11"/>
        <v>项目建筑规模</v>
      </c>
      <c r="R34" s="708" t="s">
        <v>14</v>
      </c>
      <c r="S34" s="709" t="e">
        <f t="shared" si="12"/>
        <v>#N/A</v>
      </c>
      <c r="T34" s="708" t="s">
        <v>14</v>
      </c>
      <c r="U34" s="709" t="e">
        <f t="shared" si="13"/>
        <v>#N/A</v>
      </c>
      <c r="V34" s="708" t="s">
        <v>14</v>
      </c>
      <c r="W34" s="709" t="e">
        <f t="shared" si="14"/>
        <v>#N/A</v>
      </c>
      <c r="X34" s="710"/>
      <c r="Y34" s="3765"/>
      <c r="Z34" s="711" t="str">
        <f t="shared" si="15"/>
        <v>项目建筑规模</v>
      </c>
      <c r="AA34" s="1349" t="e">
        <f t="shared" si="3"/>
        <v>#N/A</v>
      </c>
      <c r="AB34" s="1349" t="e">
        <f t="shared" si="4"/>
        <v>#N/A</v>
      </c>
      <c r="AC34" s="1958"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3"/>
      <c r="Q35" s="1348" t="str">
        <f t="shared" si="11"/>
        <v>建筑结构</v>
      </c>
      <c r="R35" s="705" t="s">
        <v>14</v>
      </c>
      <c r="S35" s="706">
        <f t="shared" si="12"/>
        <v>100</v>
      </c>
      <c r="T35" s="705" t="s">
        <v>14</v>
      </c>
      <c r="U35" s="706">
        <f t="shared" si="13"/>
        <v>100</v>
      </c>
      <c r="V35" s="705" t="s">
        <v>14</v>
      </c>
      <c r="W35" s="706">
        <f t="shared" si="14"/>
        <v>100</v>
      </c>
      <c r="X35" s="1351"/>
      <c r="Y35" s="3765"/>
      <c r="Z35" s="1352" t="str">
        <f t="shared" si="15"/>
        <v>建筑结构</v>
      </c>
      <c r="AA35" s="1349">
        <f t="shared" si="3"/>
        <v>1</v>
      </c>
      <c r="AB35" s="1349">
        <f t="shared" si="4"/>
        <v>1</v>
      </c>
      <c r="AC35" s="1958">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3"/>
      <c r="Q36" s="1348" t="str">
        <f t="shared" si="11"/>
        <v>公共部分装修</v>
      </c>
      <c r="R36" s="705" t="s">
        <v>14</v>
      </c>
      <c r="S36" s="706">
        <f t="shared" si="12"/>
        <v>100</v>
      </c>
      <c r="T36" s="705" t="s">
        <v>14</v>
      </c>
      <c r="U36" s="706">
        <f t="shared" si="13"/>
        <v>100</v>
      </c>
      <c r="V36" s="705" t="s">
        <v>14</v>
      </c>
      <c r="W36" s="706">
        <f t="shared" si="14"/>
        <v>100</v>
      </c>
      <c r="X36" s="1351"/>
      <c r="Y36" s="3765"/>
      <c r="Z36" s="1352" t="str">
        <f t="shared" si="15"/>
        <v>公共部分装修</v>
      </c>
      <c r="AA36" s="1349">
        <f t="shared" si="3"/>
        <v>1</v>
      </c>
      <c r="AB36" s="1349">
        <f t="shared" si="4"/>
        <v>1</v>
      </c>
      <c r="AC36" s="1958">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63"/>
      <c r="Q37" s="1348" t="str">
        <f t="shared" si="11"/>
        <v>成新度</v>
      </c>
      <c r="R37" s="705" t="s">
        <v>14</v>
      </c>
      <c r="S37" s="706" t="e">
        <f t="shared" si="12"/>
        <v>#N/A</v>
      </c>
      <c r="T37" s="705" t="s">
        <v>14</v>
      </c>
      <c r="U37" s="706" t="e">
        <f t="shared" si="13"/>
        <v>#N/A</v>
      </c>
      <c r="V37" s="705" t="s">
        <v>14</v>
      </c>
      <c r="W37" s="706" t="e">
        <f t="shared" si="14"/>
        <v>#N/A</v>
      </c>
      <c r="X37" s="1351"/>
      <c r="Y37" s="3765"/>
      <c r="Z37" s="1352" t="str">
        <f t="shared" si="15"/>
        <v>成新度</v>
      </c>
      <c r="AA37" s="1349" t="e">
        <f t="shared" si="3"/>
        <v>#N/A</v>
      </c>
      <c r="AB37" s="1349" t="e">
        <f t="shared" si="4"/>
        <v>#N/A</v>
      </c>
      <c r="AC37" s="1958"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3"/>
      <c r="Q38" s="1339" t="str">
        <f t="shared" si="11"/>
        <v>写字楼等级</v>
      </c>
      <c r="R38" s="701" t="s">
        <v>14</v>
      </c>
      <c r="S38" s="702">
        <f t="shared" si="12"/>
        <v>100</v>
      </c>
      <c r="T38" s="701" t="s">
        <v>14</v>
      </c>
      <c r="U38" s="702">
        <f t="shared" si="13"/>
        <v>100</v>
      </c>
      <c r="V38" s="701" t="s">
        <v>14</v>
      </c>
      <c r="W38" s="702">
        <f t="shared" si="14"/>
        <v>100</v>
      </c>
      <c r="X38" s="703"/>
      <c r="Y38" s="3765"/>
      <c r="Z38" s="52" t="str">
        <f t="shared" si="15"/>
        <v>写字楼等级</v>
      </c>
      <c r="AA38" s="704">
        <f t="shared" si="3"/>
        <v>1</v>
      </c>
      <c r="AB38" s="704">
        <f t="shared" si="4"/>
        <v>1</v>
      </c>
      <c r="AC38" s="1955">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3" t="s">
        <v>1695</v>
      </c>
      <c r="Q39" s="1348" t="str">
        <f t="shared" si="11"/>
        <v>物业管理</v>
      </c>
      <c r="R39" s="705" t="s">
        <v>14</v>
      </c>
      <c r="S39" s="706">
        <f t="shared" si="12"/>
        <v>100</v>
      </c>
      <c r="T39" s="705" t="s">
        <v>14</v>
      </c>
      <c r="U39" s="706">
        <f t="shared" si="13"/>
        <v>100</v>
      </c>
      <c r="V39" s="705" t="s">
        <v>14</v>
      </c>
      <c r="W39" s="706">
        <f t="shared" si="14"/>
        <v>100</v>
      </c>
      <c r="X39" s="1351"/>
      <c r="Y39" s="3765" t="s">
        <v>1695</v>
      </c>
      <c r="Z39" s="1352" t="str">
        <f t="shared" si="15"/>
        <v>物业管理</v>
      </c>
      <c r="AA39" s="1349">
        <f t="shared" si="3"/>
        <v>1</v>
      </c>
      <c r="AB39" s="1349">
        <f t="shared" si="4"/>
        <v>1</v>
      </c>
      <c r="AC39" s="1958">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3"/>
      <c r="Q40" s="1348" t="str">
        <f t="shared" si="11"/>
        <v>市政基础设施</v>
      </c>
      <c r="R40" s="705" t="s">
        <v>14</v>
      </c>
      <c r="S40" s="706">
        <f t="shared" si="12"/>
        <v>100</v>
      </c>
      <c r="T40" s="705" t="s">
        <v>14</v>
      </c>
      <c r="U40" s="706">
        <f t="shared" si="13"/>
        <v>100</v>
      </c>
      <c r="V40" s="705" t="s">
        <v>14</v>
      </c>
      <c r="W40" s="706">
        <f t="shared" si="14"/>
        <v>100</v>
      </c>
      <c r="X40" s="1351"/>
      <c r="Y40" s="3765"/>
      <c r="Z40" s="1352" t="str">
        <f t="shared" si="15"/>
        <v>市政基础设施</v>
      </c>
      <c r="AA40" s="1349">
        <f t="shared" si="3"/>
        <v>1</v>
      </c>
      <c r="AB40" s="1349">
        <f t="shared" si="4"/>
        <v>1</v>
      </c>
      <c r="AC40" s="1958">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3"/>
      <c r="Q41" s="1348" t="str">
        <f t="shared" si="11"/>
        <v>层高</v>
      </c>
      <c r="R41" s="705" t="s">
        <v>14</v>
      </c>
      <c r="S41" s="706">
        <f t="shared" si="12"/>
        <v>100</v>
      </c>
      <c r="T41" s="705" t="s">
        <v>14</v>
      </c>
      <c r="U41" s="706">
        <f t="shared" si="13"/>
        <v>100</v>
      </c>
      <c r="V41" s="705" t="s">
        <v>14</v>
      </c>
      <c r="W41" s="706">
        <f t="shared" si="14"/>
        <v>100</v>
      </c>
      <c r="X41" s="1351"/>
      <c r="Y41" s="3765"/>
      <c r="Z41" s="1352" t="str">
        <f t="shared" si="15"/>
        <v>层高</v>
      </c>
      <c r="AA41" s="1349">
        <f t="shared" si="3"/>
        <v>1</v>
      </c>
      <c r="AB41" s="1349">
        <f t="shared" si="4"/>
        <v>1</v>
      </c>
      <c r="AC41" s="1958">
        <f t="shared" si="5"/>
        <v>1</v>
      </c>
    </row>
    <row r="42" spans="1:29" s="422" customFormat="1" ht="15">
      <c r="A42" s="419"/>
      <c r="B42" s="1350"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3"/>
      <c r="Q42" s="707" t="str">
        <f t="shared" si="11"/>
        <v>单套建筑面积</v>
      </c>
      <c r="R42" s="708" t="s">
        <v>14</v>
      </c>
      <c r="S42" s="709">
        <f t="shared" si="12"/>
        <v>100</v>
      </c>
      <c r="T42" s="708" t="s">
        <v>14</v>
      </c>
      <c r="U42" s="709">
        <f t="shared" si="13"/>
        <v>100</v>
      </c>
      <c r="V42" s="708" t="s">
        <v>14</v>
      </c>
      <c r="W42" s="709">
        <f t="shared" si="14"/>
        <v>100</v>
      </c>
      <c r="X42" s="710"/>
      <c r="Y42" s="3765"/>
      <c r="Z42" s="711" t="str">
        <f t="shared" si="15"/>
        <v>单套建筑面积</v>
      </c>
      <c r="AA42" s="1349">
        <f t="shared" si="3"/>
        <v>1</v>
      </c>
      <c r="AB42" s="1349">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3"/>
      <c r="Q43" s="1348" t="str">
        <f t="shared" si="11"/>
        <v>内部装修</v>
      </c>
      <c r="R43" s="705" t="s">
        <v>14</v>
      </c>
      <c r="S43" s="706">
        <f t="shared" si="12"/>
        <v>100</v>
      </c>
      <c r="T43" s="705" t="s">
        <v>14</v>
      </c>
      <c r="U43" s="706">
        <f t="shared" si="13"/>
        <v>100</v>
      </c>
      <c r="V43" s="705" t="s">
        <v>14</v>
      </c>
      <c r="W43" s="706">
        <f t="shared" si="14"/>
        <v>100</v>
      </c>
      <c r="X43" s="1351"/>
      <c r="Y43" s="3765"/>
      <c r="Z43" s="1352" t="str">
        <f t="shared" si="15"/>
        <v>内部装修</v>
      </c>
      <c r="AA43" s="1349">
        <f t="shared" si="3"/>
        <v>1</v>
      </c>
      <c r="AB43" s="1349">
        <f t="shared" si="4"/>
        <v>1</v>
      </c>
      <c r="AC43" s="1958">
        <f t="shared" si="5"/>
        <v>1</v>
      </c>
    </row>
    <row r="44" spans="1:29" ht="15">
      <c r="A44" s="423"/>
      <c r="B44" s="375" t="s">
        <v>1706</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63"/>
      <c r="Q44" s="1348" t="str">
        <f t="shared" si="11"/>
        <v>内部装修维护情况</v>
      </c>
      <c r="R44" s="705" t="s">
        <v>14</v>
      </c>
      <c r="S44" s="706">
        <f t="shared" si="12"/>
        <v>100</v>
      </c>
      <c r="T44" s="705" t="s">
        <v>14</v>
      </c>
      <c r="U44" s="706">
        <f t="shared" si="13"/>
        <v>100</v>
      </c>
      <c r="V44" s="705" t="s">
        <v>14</v>
      </c>
      <c r="W44" s="706">
        <f t="shared" si="14"/>
        <v>100</v>
      </c>
      <c r="X44" s="1351"/>
      <c r="Y44" s="3765"/>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63"/>
      <c r="Q45" s="1339">
        <f t="shared" si="11"/>
        <v>111</v>
      </c>
      <c r="R45" s="701" t="s">
        <v>14</v>
      </c>
      <c r="S45" s="702">
        <f t="shared" si="12"/>
        <v>100</v>
      </c>
      <c r="T45" s="701" t="s">
        <v>14</v>
      </c>
      <c r="U45" s="702">
        <f t="shared" si="13"/>
        <v>100</v>
      </c>
      <c r="V45" s="701" t="s">
        <v>14</v>
      </c>
      <c r="W45" s="702">
        <f t="shared" si="14"/>
        <v>100</v>
      </c>
      <c r="X45" s="703"/>
      <c r="Y45" s="3765"/>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3"/>
      <c r="Q46" s="1348">
        <f t="shared" si="11"/>
        <v>111</v>
      </c>
      <c r="R46" s="705" t="s">
        <v>14</v>
      </c>
      <c r="S46" s="706">
        <f t="shared" si="12"/>
        <v>100</v>
      </c>
      <c r="T46" s="705" t="s">
        <v>14</v>
      </c>
      <c r="U46" s="706">
        <f t="shared" si="13"/>
        <v>100</v>
      </c>
      <c r="V46" s="705" t="s">
        <v>14</v>
      </c>
      <c r="W46" s="706">
        <f t="shared" si="14"/>
        <v>100</v>
      </c>
      <c r="X46" s="1351"/>
      <c r="Y46" s="3765"/>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4"/>
      <c r="Q47" s="1348">
        <f t="shared" si="11"/>
        <v>111</v>
      </c>
      <c r="R47" s="705" t="s">
        <v>14</v>
      </c>
      <c r="S47" s="706">
        <f t="shared" si="12"/>
        <v>100</v>
      </c>
      <c r="T47" s="705" t="s">
        <v>14</v>
      </c>
      <c r="U47" s="706">
        <f t="shared" si="13"/>
        <v>100</v>
      </c>
      <c r="V47" s="705" t="s">
        <v>14</v>
      </c>
      <c r="W47" s="706">
        <f t="shared" si="14"/>
        <v>100</v>
      </c>
      <c r="X47" s="1351"/>
      <c r="Y47" s="3766"/>
      <c r="Z47" s="1352">
        <f t="shared" si="15"/>
        <v>111</v>
      </c>
      <c r="AA47" s="1349">
        <f t="shared" si="3"/>
        <v>1</v>
      </c>
      <c r="AB47" s="1349">
        <f t="shared" si="4"/>
        <v>1</v>
      </c>
      <c r="AC47" s="1958">
        <f t="shared" si="5"/>
        <v>1</v>
      </c>
    </row>
    <row r="48" spans="1:29" ht="15">
      <c r="A48" s="430" t="s">
        <v>1707</v>
      </c>
      <c r="B48" s="431"/>
      <c r="C48" s="1150" t="s">
        <v>0</v>
      </c>
      <c r="D48" s="1151"/>
      <c r="E48" s="1152"/>
      <c r="F48" s="1153"/>
      <c r="G48" s="1154"/>
      <c r="H48" s="1155"/>
      <c r="I48" s="1152"/>
      <c r="J48" s="436"/>
      <c r="K48" s="714"/>
      <c r="L48" s="2720"/>
      <c r="M48" s="2712"/>
      <c r="N48" s="2712"/>
      <c r="O48" s="2712"/>
      <c r="P48" s="3740" t="str">
        <f>A48</f>
        <v>成交单价（元/平方米）</v>
      </c>
      <c r="Q48" s="3758"/>
      <c r="R48" s="3759">
        <f>E48</f>
        <v>0</v>
      </c>
      <c r="S48" s="3759"/>
      <c r="T48" s="3759">
        <f>G48</f>
        <v>0</v>
      </c>
      <c r="U48" s="3759"/>
      <c r="V48" s="3759">
        <f>I48</f>
        <v>0</v>
      </c>
      <c r="W48" s="3759"/>
      <c r="X48" s="397"/>
      <c r="Y48" s="712"/>
      <c r="Z48" s="397"/>
      <c r="AA48" s="397"/>
      <c r="AB48" s="397"/>
      <c r="AC48" s="578"/>
    </row>
    <row r="49" spans="1:29" ht="15.75" thickBot="1">
      <c r="A49" s="437" t="s">
        <v>1792</v>
      </c>
      <c r="B49" s="438"/>
      <c r="C49" s="1156" t="e">
        <f>R50</f>
        <v>#DIV/0!</v>
      </c>
      <c r="D49" s="2313" t="s">
        <v>2137</v>
      </c>
      <c r="E49" s="1157" t="e">
        <f>R49</f>
        <v>#DIV/0!</v>
      </c>
      <c r="F49" s="2314"/>
      <c r="G49" s="1156" t="e">
        <f>T49</f>
        <v>#DIV/0!</v>
      </c>
      <c r="H49" s="2314"/>
      <c r="I49" s="1157" t="e">
        <f>V49</f>
        <v>#DIV/0!</v>
      </c>
      <c r="J49" s="2314"/>
      <c r="K49" s="2316">
        <f>F49+H49+J49</f>
        <v>0</v>
      </c>
      <c r="L49" s="2720"/>
      <c r="M49" s="2712"/>
      <c r="N49" s="2712"/>
      <c r="O49" s="2712"/>
      <c r="P49" s="3740" t="str">
        <f>A49</f>
        <v>比较价值（元/平方米）</v>
      </c>
      <c r="Q49" s="3758"/>
      <c r="R49" s="3759" t="e">
        <f>IF(F1="售价",ROUND(PRODUCT(R48,AA7:AA47),0),ROUND(PRODUCT(R48,AA7:AA47),1))</f>
        <v>#DIV/0!</v>
      </c>
      <c r="S49" s="3759"/>
      <c r="T49" s="3759" t="e">
        <f>IF(F1="售价",ROUND(PRODUCT(T48,AB7:AB47),0),ROUND(PRODUCT(T48,AB7:AB47),1))</f>
        <v>#DIV/0!</v>
      </c>
      <c r="U49" s="3759"/>
      <c r="V49" s="3759" t="e">
        <f>IF(F1="售价",ROUND(PRODUCT(V48,AC7:AC47),0),ROUND(PRODUCT(V48,AC7:AC47),1))</f>
        <v>#DIV/0!</v>
      </c>
      <c r="W49" s="3759"/>
      <c r="X49" s="397"/>
      <c r="Y49" s="397"/>
      <c r="Z49" s="397"/>
      <c r="AA49" s="397"/>
      <c r="AB49" s="397"/>
      <c r="AC49" s="578"/>
    </row>
    <row r="50" spans="1:29" ht="15.75" thickBot="1">
      <c r="A50" s="441" t="s">
        <v>1793</v>
      </c>
      <c r="B50" s="442"/>
      <c r="C50" s="1159" t="e">
        <f>R50</f>
        <v>#DIV/0!</v>
      </c>
      <c r="D50" s="1159"/>
      <c r="E50" s="1159"/>
      <c r="F50" s="1159"/>
      <c r="G50" s="1159"/>
      <c r="H50" s="1159"/>
      <c r="I50" s="1159"/>
      <c r="J50" s="443"/>
      <c r="K50" s="715"/>
      <c r="L50" s="2720"/>
      <c r="M50" s="2712"/>
      <c r="N50" s="2712"/>
      <c r="O50" s="2712"/>
      <c r="P50" s="3781" t="str">
        <f>A50</f>
        <v>估价对象XX用房的比较价值（楼面单价，元/平方米）</v>
      </c>
      <c r="Q50" s="3782"/>
      <c r="R50" s="3783" t="e">
        <f>IF(F1="售价",ROUND(IF(D49="简单平均",AVERAGE(R49:V49),R49*F49+T49*H49+V49*J49),0),ROUND(IF(D49="简单平均",AVERAGE(R49:V49),R49*F49+T49*H49+V49*J49),1))</f>
        <v>#DIV/0!</v>
      </c>
      <c r="S50" s="3783"/>
      <c r="T50" s="3783"/>
      <c r="U50" s="3783"/>
      <c r="V50" s="3783"/>
      <c r="W50" s="378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1797</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0" t="str">
        <f>YEAR(C7)&amp;"-"&amp;MONTH(C7)</f>
        <v>2023-8</v>
      </c>
      <c r="D59" s="1181">
        <f>EDATE(C59,-1)</f>
        <v>45108</v>
      </c>
      <c r="E59" s="1181">
        <f>EDATE(D59,-1)</f>
        <v>45078</v>
      </c>
      <c r="F59" s="1181">
        <f t="shared" ref="F59:O59" si="16">EDATE(E59,-1)</f>
        <v>45047</v>
      </c>
      <c r="G59" s="1181">
        <f t="shared" si="16"/>
        <v>45017</v>
      </c>
      <c r="H59" s="1181">
        <f t="shared" si="16"/>
        <v>44986</v>
      </c>
      <c r="I59" s="1181">
        <f t="shared" si="16"/>
        <v>44958</v>
      </c>
      <c r="J59" s="1181">
        <f t="shared" si="16"/>
        <v>44927</v>
      </c>
      <c r="K59" s="1181">
        <f t="shared" si="16"/>
        <v>44896</v>
      </c>
      <c r="L59" s="1181">
        <f t="shared" si="16"/>
        <v>44866</v>
      </c>
      <c r="M59" s="1181">
        <f t="shared" si="16"/>
        <v>44835</v>
      </c>
      <c r="N59" s="1181">
        <f t="shared" si="16"/>
        <v>44805</v>
      </c>
      <c r="O59" s="1181">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3" t="s">
        <v>1825</v>
      </c>
      <c r="C1" s="1220" t="s">
        <v>1661</v>
      </c>
      <c r="D1" s="1221"/>
      <c r="E1" s="3429"/>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131745.91</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1768</v>
      </c>
      <c r="B4" s="356"/>
      <c r="C4" s="3741" t="s">
        <v>1769</v>
      </c>
      <c r="D4" s="3742"/>
      <c r="E4" s="3743" t="s">
        <v>1770</v>
      </c>
      <c r="F4" s="3744"/>
      <c r="G4" s="3741" t="s">
        <v>1771</v>
      </c>
      <c r="H4" s="3742"/>
      <c r="I4" s="3741" t="s">
        <v>1772</v>
      </c>
      <c r="J4" s="3742"/>
      <c r="K4" s="559" t="s">
        <v>1773</v>
      </c>
      <c r="L4" s="909"/>
      <c r="M4" s="910"/>
      <c r="N4" s="910"/>
      <c r="O4" s="910"/>
      <c r="P4" s="3745" t="s">
        <v>1774</v>
      </c>
      <c r="Q4" s="3746"/>
      <c r="R4" s="3728" t="s">
        <v>1770</v>
      </c>
      <c r="S4" s="3729"/>
      <c r="T4" s="3728" t="s">
        <v>1771</v>
      </c>
      <c r="U4" s="3729"/>
      <c r="V4" s="3753" t="s">
        <v>1772</v>
      </c>
      <c r="W4" s="3753"/>
      <c r="X4" s="1351"/>
      <c r="Y4" s="3728" t="s">
        <v>1774</v>
      </c>
      <c r="Z4" s="3729"/>
      <c r="AA4" s="3723" t="s">
        <v>1770</v>
      </c>
      <c r="AB4" s="3724" t="s">
        <v>1771</v>
      </c>
      <c r="AC4" s="3723" t="s">
        <v>1772</v>
      </c>
    </row>
    <row r="5" spans="1:29" ht="15">
      <c r="A5" s="358"/>
      <c r="B5" s="359"/>
      <c r="C5" s="3734" t="s">
        <v>1672</v>
      </c>
      <c r="D5" s="3735"/>
      <c r="E5" s="3732" t="s">
        <v>1673</v>
      </c>
      <c r="F5" s="3733"/>
      <c r="G5" s="3734" t="s">
        <v>1674</v>
      </c>
      <c r="H5" s="3735"/>
      <c r="I5" s="3734" t="s">
        <v>1675</v>
      </c>
      <c r="J5" s="3735"/>
      <c r="K5" s="559"/>
      <c r="L5" s="909"/>
      <c r="M5" s="910"/>
      <c r="N5" s="910"/>
      <c r="O5" s="910"/>
      <c r="P5" s="3747"/>
      <c r="Q5" s="3748"/>
      <c r="R5" s="3730"/>
      <c r="S5" s="3731"/>
      <c r="T5" s="3730"/>
      <c r="U5" s="3731"/>
      <c r="V5" s="3753"/>
      <c r="W5" s="3753"/>
      <c r="X5" s="1351"/>
      <c r="Y5" s="3730"/>
      <c r="Z5" s="3731"/>
      <c r="AA5" s="3724"/>
      <c r="AB5" s="3724"/>
      <c r="AC5" s="3724"/>
    </row>
    <row r="6" spans="1:29" ht="15.75" thickBot="1">
      <c r="A6" s="360"/>
      <c r="B6" s="361"/>
      <c r="C6" s="3736" t="s">
        <v>1676</v>
      </c>
      <c r="D6" s="3737"/>
      <c r="E6" s="3738" t="s">
        <v>1676</v>
      </c>
      <c r="F6" s="3739"/>
      <c r="G6" s="3736" t="s">
        <v>1676</v>
      </c>
      <c r="H6" s="3737"/>
      <c r="I6" s="3736" t="s">
        <v>1676</v>
      </c>
      <c r="J6" s="3737"/>
      <c r="K6" s="559" t="s">
        <v>1677</v>
      </c>
      <c r="L6" s="909"/>
      <c r="M6" s="910"/>
      <c r="N6" s="910"/>
      <c r="O6" s="910"/>
      <c r="P6" s="3749"/>
      <c r="Q6" s="3750"/>
      <c r="R6" s="3730"/>
      <c r="S6" s="3731"/>
      <c r="T6" s="3751"/>
      <c r="U6" s="3752"/>
      <c r="V6" s="3753"/>
      <c r="W6" s="3753"/>
      <c r="X6" s="1351"/>
      <c r="Y6" s="3751"/>
      <c r="Z6" s="3752"/>
      <c r="AA6" s="3725"/>
      <c r="AB6" s="3725"/>
      <c r="AC6" s="3725"/>
    </row>
    <row r="7" spans="1:29" s="108" customFormat="1" ht="15.75" thickBot="1">
      <c r="A7" s="362" t="s">
        <v>1678</v>
      </c>
      <c r="B7" s="363"/>
      <c r="C7" s="364">
        <f>'数据-取费表'!B2</f>
        <v>45147</v>
      </c>
      <c r="D7" s="365">
        <v>100</v>
      </c>
      <c r="E7" s="366"/>
      <c r="F7" s="367">
        <f>SUMIF(52:52,YEAR(E7)&amp;"-"&amp;MONTH(E7),53:53)</f>
        <v>0</v>
      </c>
      <c r="G7" s="366"/>
      <c r="H7" s="365">
        <f>SUMIF(52:52,YEAR(G7)&amp;"-"&amp;MONTH(G7),53:53)</f>
        <v>0</v>
      </c>
      <c r="I7" s="366"/>
      <c r="J7" s="365">
        <f>SUMIF(52:52,YEAR(I7)&amp;"-"&amp;MONTH(I7),53:53)</f>
        <v>0</v>
      </c>
      <c r="K7" s="560"/>
      <c r="L7" s="911"/>
      <c r="M7" s="912"/>
      <c r="N7" s="912"/>
      <c r="O7" s="912"/>
      <c r="P7" s="3726" t="s">
        <v>1679</v>
      </c>
      <c r="Q7" s="3754"/>
      <c r="R7" s="701" t="s">
        <v>14</v>
      </c>
      <c r="S7" s="702">
        <f t="shared" ref="S7:S15" si="0">F7</f>
        <v>0</v>
      </c>
      <c r="T7" s="701" t="s">
        <v>14</v>
      </c>
      <c r="U7" s="702">
        <f t="shared" ref="U7:U15" si="1">H7</f>
        <v>0</v>
      </c>
      <c r="V7" s="701" t="s">
        <v>14</v>
      </c>
      <c r="W7" s="702">
        <f t="shared" ref="W7:W15" si="2">J7</f>
        <v>0</v>
      </c>
      <c r="X7" s="703"/>
      <c r="Y7" s="3726" t="s">
        <v>1679</v>
      </c>
      <c r="Z7" s="3727"/>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26" t="s">
        <v>1682</v>
      </c>
      <c r="Q8" s="3727"/>
      <c r="R8" s="701" t="s">
        <v>14</v>
      </c>
      <c r="S8" s="702">
        <f t="shared" si="0"/>
        <v>100</v>
      </c>
      <c r="T8" s="701" t="s">
        <v>14</v>
      </c>
      <c r="U8" s="702">
        <f t="shared" si="1"/>
        <v>100</v>
      </c>
      <c r="V8" s="701" t="s">
        <v>14</v>
      </c>
      <c r="W8" s="702">
        <f t="shared" si="2"/>
        <v>100</v>
      </c>
      <c r="X8" s="703"/>
      <c r="Y8" s="3726" t="s">
        <v>1682</v>
      </c>
      <c r="Z8" s="3727"/>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58" t="s">
        <v>1685</v>
      </c>
      <c r="Q9" s="1339"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758"/>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8"/>
      <c r="Q11" s="1339"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8"/>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8"/>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8"/>
      <c r="Q14" s="1339">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1689</v>
      </c>
      <c r="B15" s="61" t="s">
        <v>1826</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60" t="s">
        <v>1690</v>
      </c>
      <c r="Q15" s="1348" t="str">
        <f t="shared" si="6"/>
        <v>产业集聚程度</v>
      </c>
      <c r="R15" s="705" t="s">
        <v>14</v>
      </c>
      <c r="S15" s="706">
        <f t="shared" si="0"/>
        <v>100</v>
      </c>
      <c r="T15" s="705" t="s">
        <v>14</v>
      </c>
      <c r="U15" s="706">
        <f t="shared" si="1"/>
        <v>100</v>
      </c>
      <c r="V15" s="705" t="s">
        <v>14</v>
      </c>
      <c r="W15" s="706">
        <f t="shared" si="2"/>
        <v>100</v>
      </c>
      <c r="X15" s="1351"/>
      <c r="Y15" s="3760" t="s">
        <v>1690</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61"/>
      <c r="Q16" s="1348"/>
      <c r="R16" s="705"/>
      <c r="S16" s="706"/>
      <c r="T16" s="705"/>
      <c r="U16" s="706"/>
      <c r="V16" s="705"/>
      <c r="W16" s="706"/>
      <c r="X16" s="1351"/>
      <c r="Y16" s="3761"/>
      <c r="Z16" s="1352"/>
      <c r="AA16" s="1349">
        <v>1</v>
      </c>
      <c r="AB16" s="1349">
        <v>1</v>
      </c>
      <c r="AC16" s="1349">
        <v>1</v>
      </c>
    </row>
    <row r="17" spans="1:29" ht="85.5">
      <c r="A17" s="379"/>
      <c r="B17" s="402" t="s">
        <v>1258</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61"/>
      <c r="Q17" s="1348" t="str">
        <f>B17</f>
        <v>交通便捷度</v>
      </c>
      <c r="R17" s="705" t="s">
        <v>14</v>
      </c>
      <c r="S17" s="706">
        <f>F17</f>
        <v>100</v>
      </c>
      <c r="T17" s="705" t="s">
        <v>14</v>
      </c>
      <c r="U17" s="706">
        <f>H17</f>
        <v>100</v>
      </c>
      <c r="V17" s="705" t="s">
        <v>14</v>
      </c>
      <c r="W17" s="706">
        <f>J17</f>
        <v>100</v>
      </c>
      <c r="X17" s="1351"/>
      <c r="Y17" s="376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61"/>
      <c r="Q18" s="1348"/>
      <c r="R18" s="705"/>
      <c r="S18" s="706"/>
      <c r="T18" s="705"/>
      <c r="U18" s="706"/>
      <c r="V18" s="705"/>
      <c r="W18" s="706"/>
      <c r="X18" s="1351"/>
      <c r="Y18" s="3761"/>
      <c r="Z18" s="1352"/>
      <c r="AA18" s="1349">
        <v>1</v>
      </c>
      <c r="AB18" s="1349">
        <v>1</v>
      </c>
      <c r="AC18" s="1349">
        <v>1</v>
      </c>
    </row>
    <row r="19" spans="1:29" ht="42.75">
      <c r="A19" s="379"/>
      <c r="B19" s="402" t="s">
        <v>1811</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61"/>
      <c r="Q19" s="1348" t="str">
        <f>B19</f>
        <v>公共配套设施</v>
      </c>
      <c r="R19" s="705" t="s">
        <v>14</v>
      </c>
      <c r="S19" s="706">
        <f>F19</f>
        <v>100</v>
      </c>
      <c r="T19" s="705" t="s">
        <v>14</v>
      </c>
      <c r="U19" s="706">
        <f>H19</f>
        <v>100</v>
      </c>
      <c r="V19" s="705" t="s">
        <v>14</v>
      </c>
      <c r="W19" s="706">
        <f>J19</f>
        <v>100</v>
      </c>
      <c r="X19" s="1351"/>
      <c r="Y19" s="376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61"/>
      <c r="Q20" s="1348"/>
      <c r="R20" s="705"/>
      <c r="S20" s="706"/>
      <c r="T20" s="705"/>
      <c r="U20" s="706"/>
      <c r="V20" s="705"/>
      <c r="W20" s="706"/>
      <c r="X20" s="1351"/>
      <c r="Y20" s="3761"/>
      <c r="Z20" s="1352"/>
      <c r="AA20" s="1349">
        <v>1</v>
      </c>
      <c r="AB20" s="1349">
        <v>1</v>
      </c>
      <c r="AC20" s="1349">
        <v>1</v>
      </c>
    </row>
    <row r="21" spans="1:29" ht="28.5">
      <c r="A21" s="379"/>
      <c r="B21" s="1127" t="s">
        <v>1812</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61"/>
      <c r="Q21" s="1348" t="str">
        <f>B21</f>
        <v>基础设施水平</v>
      </c>
      <c r="R21" s="705" t="s">
        <v>14</v>
      </c>
      <c r="S21" s="706">
        <f>F21</f>
        <v>100</v>
      </c>
      <c r="T21" s="705" t="s">
        <v>14</v>
      </c>
      <c r="U21" s="706">
        <f>H21</f>
        <v>100</v>
      </c>
      <c r="V21" s="705" t="s">
        <v>14</v>
      </c>
      <c r="W21" s="706">
        <f>J21</f>
        <v>100</v>
      </c>
      <c r="X21" s="1351"/>
      <c r="Y21" s="376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61"/>
      <c r="Q22" s="1348"/>
      <c r="R22" s="705"/>
      <c r="S22" s="706"/>
      <c r="T22" s="705"/>
      <c r="U22" s="706"/>
      <c r="V22" s="705"/>
      <c r="W22" s="706"/>
      <c r="X22" s="1351"/>
      <c r="Y22" s="3761"/>
      <c r="Z22" s="1352"/>
      <c r="AA22" s="1349">
        <v>1</v>
      </c>
      <c r="AB22" s="1349">
        <v>1</v>
      </c>
      <c r="AC22" s="1349">
        <v>1</v>
      </c>
    </row>
    <row r="23" spans="1:29" ht="71.25">
      <c r="A23" s="379"/>
      <c r="B23" s="402" t="s">
        <v>1813</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61"/>
      <c r="Q23" s="1348" t="str">
        <f>B23</f>
        <v>环境质量</v>
      </c>
      <c r="R23" s="705" t="s">
        <v>14</v>
      </c>
      <c r="S23" s="706">
        <f>F23</f>
        <v>100</v>
      </c>
      <c r="T23" s="705" t="s">
        <v>14</v>
      </c>
      <c r="U23" s="706">
        <f>H23</f>
        <v>100</v>
      </c>
      <c r="V23" s="705" t="s">
        <v>14</v>
      </c>
      <c r="W23" s="706">
        <f>J23</f>
        <v>100</v>
      </c>
      <c r="X23" s="1351"/>
      <c r="Y23" s="3761"/>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61"/>
      <c r="Q24" s="1348"/>
      <c r="R24" s="705"/>
      <c r="S24" s="706"/>
      <c r="T24" s="705"/>
      <c r="U24" s="706"/>
      <c r="V24" s="705"/>
      <c r="W24" s="706"/>
      <c r="X24" s="1351"/>
      <c r="Y24" s="3761"/>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61"/>
      <c r="Q25" s="1348">
        <f>B25</f>
        <v>111</v>
      </c>
      <c r="R25" s="705" t="s">
        <v>14</v>
      </c>
      <c r="S25" s="706">
        <f>F25</f>
        <v>100</v>
      </c>
      <c r="T25" s="705" t="s">
        <v>14</v>
      </c>
      <c r="U25" s="706">
        <f>H25</f>
        <v>100</v>
      </c>
      <c r="V25" s="705" t="s">
        <v>14</v>
      </c>
      <c r="W25" s="706">
        <f>J25</f>
        <v>100</v>
      </c>
      <c r="X25" s="1351"/>
      <c r="Y25" s="3761"/>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61"/>
      <c r="Q26" s="1348">
        <f t="shared" ref="Q26:Q40" si="11">B26</f>
        <v>111</v>
      </c>
      <c r="R26" s="705" t="s">
        <v>14</v>
      </c>
      <c r="S26" s="706">
        <f>F26</f>
        <v>100</v>
      </c>
      <c r="T26" s="705" t="s">
        <v>14</v>
      </c>
      <c r="U26" s="706">
        <f>H26</f>
        <v>100</v>
      </c>
      <c r="V26" s="705" t="s">
        <v>14</v>
      </c>
      <c r="W26" s="706">
        <f>J26</f>
        <v>100</v>
      </c>
      <c r="X26" s="1351"/>
      <c r="Y26" s="3761"/>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61"/>
      <c r="Q27" s="1339">
        <f t="shared" si="11"/>
        <v>111</v>
      </c>
      <c r="R27" s="701" t="s">
        <v>14</v>
      </c>
      <c r="S27" s="702">
        <f>F27</f>
        <v>100</v>
      </c>
      <c r="T27" s="701" t="s">
        <v>14</v>
      </c>
      <c r="U27" s="702">
        <f>H27</f>
        <v>100</v>
      </c>
      <c r="V27" s="701" t="s">
        <v>14</v>
      </c>
      <c r="W27" s="702">
        <f>J27</f>
        <v>100</v>
      </c>
      <c r="X27" s="703"/>
      <c r="Y27" s="3761"/>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61"/>
      <c r="Q28" s="1348">
        <f t="shared" si="11"/>
        <v>111</v>
      </c>
      <c r="R28" s="705" t="s">
        <v>14</v>
      </c>
      <c r="S28" s="706">
        <f t="shared" ref="S28:S40" si="12">F28</f>
        <v>100</v>
      </c>
      <c r="T28" s="705" t="s">
        <v>14</v>
      </c>
      <c r="U28" s="706">
        <f t="shared" ref="U28:U40" si="13">H28</f>
        <v>100</v>
      </c>
      <c r="V28" s="705" t="s">
        <v>14</v>
      </c>
      <c r="W28" s="706">
        <f t="shared" ref="W28:W40" si="14">J28</f>
        <v>100</v>
      </c>
      <c r="X28" s="1351"/>
      <c r="Y28" s="3761"/>
      <c r="Z28" s="1352">
        <f t="shared" ref="Z28:Z40" si="15">Q28</f>
        <v>111</v>
      </c>
      <c r="AA28" s="1349">
        <f t="shared" si="3"/>
        <v>1</v>
      </c>
      <c r="AB28" s="1349">
        <f t="shared" si="4"/>
        <v>1</v>
      </c>
      <c r="AC28" s="1349">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4" t="s">
        <v>1695</v>
      </c>
      <c r="Q29" s="1348" t="str">
        <f t="shared" si="11"/>
        <v>建筑类型</v>
      </c>
      <c r="R29" s="705" t="s">
        <v>14</v>
      </c>
      <c r="S29" s="706">
        <f t="shared" si="12"/>
        <v>100</v>
      </c>
      <c r="T29" s="705" t="s">
        <v>14</v>
      </c>
      <c r="U29" s="706">
        <f t="shared" si="13"/>
        <v>100</v>
      </c>
      <c r="V29" s="705" t="s">
        <v>14</v>
      </c>
      <c r="W29" s="706">
        <f t="shared" si="14"/>
        <v>100</v>
      </c>
      <c r="X29" s="1351"/>
      <c r="Y29" s="3765" t="s">
        <v>1695</v>
      </c>
      <c r="Z29" s="1352" t="str">
        <f t="shared" si="15"/>
        <v>建筑类型</v>
      </c>
      <c r="AA29" s="1349">
        <f t="shared" si="3"/>
        <v>1</v>
      </c>
      <c r="AB29" s="1349">
        <f t="shared" si="4"/>
        <v>1</v>
      </c>
      <c r="AC29" s="1349">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65"/>
      <c r="Q30" s="707" t="str">
        <f t="shared" si="11"/>
        <v>项目建筑规模</v>
      </c>
      <c r="R30" s="708" t="s">
        <v>14</v>
      </c>
      <c r="S30" s="709" t="e">
        <f t="shared" si="12"/>
        <v>#N/A</v>
      </c>
      <c r="T30" s="708" t="s">
        <v>14</v>
      </c>
      <c r="U30" s="709" t="e">
        <f t="shared" si="13"/>
        <v>#N/A</v>
      </c>
      <c r="V30" s="708" t="s">
        <v>14</v>
      </c>
      <c r="W30" s="709" t="e">
        <f t="shared" si="14"/>
        <v>#N/A</v>
      </c>
      <c r="X30" s="710"/>
      <c r="Y30" s="3765"/>
      <c r="Z30" s="711" t="str">
        <f t="shared" si="15"/>
        <v>项目建筑规模</v>
      </c>
      <c r="AA30" s="1349" t="e">
        <f t="shared" si="3"/>
        <v>#N/A</v>
      </c>
      <c r="AB30" s="1349" t="e">
        <f t="shared" si="4"/>
        <v>#N/A</v>
      </c>
      <c r="AC30" s="1349"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65"/>
      <c r="Q31" s="1348" t="str">
        <f t="shared" si="11"/>
        <v>建筑结构</v>
      </c>
      <c r="R31" s="705" t="s">
        <v>14</v>
      </c>
      <c r="S31" s="706">
        <f t="shared" si="12"/>
        <v>100</v>
      </c>
      <c r="T31" s="705" t="s">
        <v>14</v>
      </c>
      <c r="U31" s="706">
        <f t="shared" si="13"/>
        <v>100</v>
      </c>
      <c r="V31" s="705" t="s">
        <v>14</v>
      </c>
      <c r="W31" s="706">
        <f t="shared" si="14"/>
        <v>100</v>
      </c>
      <c r="X31" s="1351"/>
      <c r="Y31" s="3765"/>
      <c r="Z31" s="1352" t="str">
        <f t="shared" si="15"/>
        <v>建筑结构</v>
      </c>
      <c r="AA31" s="1349">
        <f t="shared" si="3"/>
        <v>1</v>
      </c>
      <c r="AB31" s="1349">
        <f t="shared" si="4"/>
        <v>1</v>
      </c>
      <c r="AC31" s="1349">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65"/>
      <c r="Q32" s="1348" t="str">
        <f t="shared" si="11"/>
        <v>公共部分装修</v>
      </c>
      <c r="R32" s="705" t="s">
        <v>14</v>
      </c>
      <c r="S32" s="706">
        <f t="shared" si="12"/>
        <v>100</v>
      </c>
      <c r="T32" s="705" t="s">
        <v>14</v>
      </c>
      <c r="U32" s="706">
        <f t="shared" si="13"/>
        <v>100</v>
      </c>
      <c r="V32" s="705" t="s">
        <v>14</v>
      </c>
      <c r="W32" s="706">
        <f t="shared" si="14"/>
        <v>100</v>
      </c>
      <c r="X32" s="1351"/>
      <c r="Y32" s="3765"/>
      <c r="Z32" s="1352" t="str">
        <f t="shared" si="15"/>
        <v>公共部分装修</v>
      </c>
      <c r="AA32" s="1349">
        <f t="shared" si="3"/>
        <v>1</v>
      </c>
      <c r="AB32" s="1349">
        <f t="shared" si="4"/>
        <v>1</v>
      </c>
      <c r="AC32" s="1349">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65"/>
      <c r="Q33" s="1348" t="str">
        <f t="shared" si="11"/>
        <v>成新度</v>
      </c>
      <c r="R33" s="705" t="s">
        <v>14</v>
      </c>
      <c r="S33" s="706" t="e">
        <f t="shared" si="12"/>
        <v>#N/A</v>
      </c>
      <c r="T33" s="705" t="s">
        <v>14</v>
      </c>
      <c r="U33" s="706" t="e">
        <f t="shared" si="13"/>
        <v>#N/A</v>
      </c>
      <c r="V33" s="705" t="s">
        <v>14</v>
      </c>
      <c r="W33" s="706" t="e">
        <f t="shared" si="14"/>
        <v>#N/A</v>
      </c>
      <c r="X33" s="1351"/>
      <c r="Y33" s="3765"/>
      <c r="Z33" s="1352" t="str">
        <f t="shared" si="15"/>
        <v>成新度</v>
      </c>
      <c r="AA33" s="1349" t="e">
        <f t="shared" si="3"/>
        <v>#N/A</v>
      </c>
      <c r="AB33" s="1349" t="e">
        <f t="shared" si="4"/>
        <v>#N/A</v>
      </c>
      <c r="AC33" s="1349"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65"/>
      <c r="Q34" s="1339" t="str">
        <f t="shared" si="11"/>
        <v>物业管理</v>
      </c>
      <c r="R34" s="701" t="s">
        <v>14</v>
      </c>
      <c r="S34" s="702">
        <f t="shared" si="12"/>
        <v>100</v>
      </c>
      <c r="T34" s="701" t="s">
        <v>14</v>
      </c>
      <c r="U34" s="702">
        <f t="shared" si="13"/>
        <v>100</v>
      </c>
      <c r="V34" s="701" t="s">
        <v>14</v>
      </c>
      <c r="W34" s="702">
        <f t="shared" si="14"/>
        <v>100</v>
      </c>
      <c r="X34" s="703"/>
      <c r="Y34" s="376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65" t="s">
        <v>1695</v>
      </c>
      <c r="Q35" s="1348" t="str">
        <f t="shared" si="11"/>
        <v>市政基础设施</v>
      </c>
      <c r="R35" s="705" t="s">
        <v>14</v>
      </c>
      <c r="S35" s="706">
        <f t="shared" si="12"/>
        <v>100</v>
      </c>
      <c r="T35" s="705" t="s">
        <v>14</v>
      </c>
      <c r="U35" s="706">
        <f t="shared" si="13"/>
        <v>100</v>
      </c>
      <c r="V35" s="705" t="s">
        <v>14</v>
      </c>
      <c r="W35" s="706">
        <f t="shared" si="14"/>
        <v>100</v>
      </c>
      <c r="X35" s="1351"/>
      <c r="Y35" s="3765" t="s">
        <v>1695</v>
      </c>
      <c r="Z35" s="1352" t="str">
        <f t="shared" si="15"/>
        <v>市政基础设施</v>
      </c>
      <c r="AA35" s="1349">
        <f t="shared" si="3"/>
        <v>1</v>
      </c>
      <c r="AB35" s="1349">
        <f t="shared" si="4"/>
        <v>1</v>
      </c>
      <c r="AC35" s="1349">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65"/>
      <c r="Q36" s="1348" t="str">
        <f t="shared" si="11"/>
        <v>内部装修</v>
      </c>
      <c r="R36" s="705" t="s">
        <v>14</v>
      </c>
      <c r="S36" s="706">
        <f t="shared" si="12"/>
        <v>100</v>
      </c>
      <c r="T36" s="705" t="s">
        <v>14</v>
      </c>
      <c r="U36" s="706">
        <f t="shared" si="13"/>
        <v>100</v>
      </c>
      <c r="V36" s="705" t="s">
        <v>14</v>
      </c>
      <c r="W36" s="706">
        <f t="shared" si="14"/>
        <v>100</v>
      </c>
      <c r="X36" s="1351"/>
      <c r="Y36" s="3765"/>
      <c r="Z36" s="1352" t="str">
        <f t="shared" si="15"/>
        <v>内部装修</v>
      </c>
      <c r="AA36" s="1349">
        <f t="shared" si="3"/>
        <v>1</v>
      </c>
      <c r="AB36" s="1349">
        <f t="shared" si="4"/>
        <v>1</v>
      </c>
      <c r="AC36" s="1349">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65"/>
      <c r="Q37" s="1348" t="str">
        <f t="shared" si="11"/>
        <v>内部装修状况</v>
      </c>
      <c r="R37" s="705" t="s">
        <v>14</v>
      </c>
      <c r="S37" s="706">
        <f t="shared" si="12"/>
        <v>100</v>
      </c>
      <c r="T37" s="705" t="s">
        <v>14</v>
      </c>
      <c r="U37" s="706">
        <f t="shared" si="13"/>
        <v>100</v>
      </c>
      <c r="V37" s="705" t="s">
        <v>14</v>
      </c>
      <c r="W37" s="706">
        <f t="shared" si="14"/>
        <v>100</v>
      </c>
      <c r="X37" s="1351"/>
      <c r="Y37" s="3765"/>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65"/>
      <c r="Q38" s="707">
        <f t="shared" si="11"/>
        <v>111</v>
      </c>
      <c r="R38" s="708" t="s">
        <v>14</v>
      </c>
      <c r="S38" s="709">
        <f t="shared" si="12"/>
        <v>100</v>
      </c>
      <c r="T38" s="708" t="s">
        <v>14</v>
      </c>
      <c r="U38" s="709">
        <f t="shared" si="13"/>
        <v>100</v>
      </c>
      <c r="V38" s="708" t="s">
        <v>14</v>
      </c>
      <c r="W38" s="709">
        <f t="shared" si="14"/>
        <v>100</v>
      </c>
      <c r="X38" s="710"/>
      <c r="Y38" s="3765"/>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65"/>
      <c r="Q39" s="1348">
        <f t="shared" si="11"/>
        <v>111</v>
      </c>
      <c r="R39" s="705" t="s">
        <v>14</v>
      </c>
      <c r="S39" s="706">
        <f t="shared" si="12"/>
        <v>100</v>
      </c>
      <c r="T39" s="705" t="s">
        <v>14</v>
      </c>
      <c r="U39" s="706">
        <f t="shared" si="13"/>
        <v>100</v>
      </c>
      <c r="V39" s="705" t="s">
        <v>14</v>
      </c>
      <c r="W39" s="706">
        <f t="shared" si="14"/>
        <v>100</v>
      </c>
      <c r="X39" s="1351"/>
      <c r="Y39" s="3765"/>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66"/>
      <c r="Q40" s="1348">
        <f t="shared" si="11"/>
        <v>111</v>
      </c>
      <c r="R40" s="705" t="s">
        <v>14</v>
      </c>
      <c r="S40" s="706">
        <f t="shared" si="12"/>
        <v>100</v>
      </c>
      <c r="T40" s="705" t="s">
        <v>14</v>
      </c>
      <c r="U40" s="706">
        <f t="shared" si="13"/>
        <v>100</v>
      </c>
      <c r="V40" s="705" t="s">
        <v>14</v>
      </c>
      <c r="W40" s="706">
        <f t="shared" si="14"/>
        <v>100</v>
      </c>
      <c r="X40" s="1351"/>
      <c r="Y40" s="3766"/>
      <c r="Z40" s="1352">
        <f t="shared" si="15"/>
        <v>111</v>
      </c>
      <c r="AA40" s="1349">
        <f t="shared" si="3"/>
        <v>1</v>
      </c>
      <c r="AB40" s="1349">
        <f t="shared" si="4"/>
        <v>1</v>
      </c>
      <c r="AC40" s="1349">
        <f t="shared" si="5"/>
        <v>1</v>
      </c>
    </row>
    <row r="41" spans="1:29" ht="15">
      <c r="A41" s="430" t="s">
        <v>1707</v>
      </c>
      <c r="B41" s="431"/>
      <c r="C41" s="1150" t="s">
        <v>0</v>
      </c>
      <c r="D41" s="1151"/>
      <c r="E41" s="1152"/>
      <c r="F41" s="1153"/>
      <c r="G41" s="1154"/>
      <c r="H41" s="1155"/>
      <c r="I41" s="1152"/>
      <c r="J41" s="1155"/>
      <c r="K41" s="714"/>
      <c r="L41" s="922"/>
      <c r="M41" s="923"/>
      <c r="N41" s="910"/>
      <c r="O41" s="923"/>
      <c r="P41" s="3758" t="str">
        <f>A41</f>
        <v>成交单价（元/平方米）</v>
      </c>
      <c r="Q41" s="3758"/>
      <c r="R41" s="3759">
        <f>E41</f>
        <v>0</v>
      </c>
      <c r="S41" s="3759"/>
      <c r="T41" s="3759">
        <f>G41</f>
        <v>0</v>
      </c>
      <c r="U41" s="3759"/>
      <c r="V41" s="3759">
        <f>I41</f>
        <v>0</v>
      </c>
      <c r="W41" s="3759"/>
      <c r="X41" s="690"/>
      <c r="Y41" s="712"/>
      <c r="Z41" s="690"/>
      <c r="AA41" s="690"/>
      <c r="AB41" s="690"/>
      <c r="AC41" s="690"/>
    </row>
    <row r="42" spans="1:29" ht="15.75" thickBot="1">
      <c r="A42" s="437" t="s">
        <v>1792</v>
      </c>
      <c r="B42" s="438"/>
      <c r="C42" s="1156" t="e">
        <f>R43</f>
        <v>#DIV/0!</v>
      </c>
      <c r="D42" s="2313" t="s">
        <v>2137</v>
      </c>
      <c r="E42" s="1157" t="e">
        <f>R42</f>
        <v>#DIV/0!</v>
      </c>
      <c r="F42" s="2314"/>
      <c r="G42" s="1156" t="e">
        <f>T42</f>
        <v>#DIV/0!</v>
      </c>
      <c r="H42" s="2314"/>
      <c r="I42" s="1157" t="e">
        <f>V42</f>
        <v>#DIV/0!</v>
      </c>
      <c r="J42" s="2314"/>
      <c r="K42" s="2316">
        <f>F42+H42+J42</f>
        <v>0</v>
      </c>
      <c r="L42" s="922"/>
      <c r="M42" s="923"/>
      <c r="N42" s="910"/>
      <c r="O42" s="923"/>
      <c r="P42" s="3758" t="str">
        <f>A42</f>
        <v>比较价值（元/平方米）</v>
      </c>
      <c r="Q42" s="3758"/>
      <c r="R42" s="3759" t="e">
        <f>IF(F1="售价",ROUND(PRODUCT(R41,AA7:AA40),0),ROUND(PRODUCT(R41,AA7:AA40),1))</f>
        <v>#DIV/0!</v>
      </c>
      <c r="S42" s="3759"/>
      <c r="T42" s="3759" t="e">
        <f>IF(F1="售价",ROUND(PRODUCT(T41,AB7:AB40),0),ROUND(PRODUCT(T41,AB7:AB40),1))</f>
        <v>#DIV/0!</v>
      </c>
      <c r="U42" s="3759"/>
      <c r="V42" s="3759" t="e">
        <f>IF(F1="售价",ROUND(PRODUCT(V41,AC7:AC40),0),ROUND(PRODUCT(V41,AC7:AC40),1))</f>
        <v>#DIV/0!</v>
      </c>
      <c r="W42" s="3759"/>
      <c r="X42" s="690"/>
      <c r="Y42" s="690"/>
      <c r="Z42" s="690"/>
      <c r="AA42" s="690"/>
      <c r="AB42" s="690"/>
      <c r="AC42" s="690"/>
    </row>
    <row r="43" spans="1:29" ht="15.75" thickBot="1">
      <c r="A43" s="441" t="s">
        <v>1793</v>
      </c>
      <c r="B43" s="442"/>
      <c r="C43" s="1159" t="e">
        <f>R43</f>
        <v>#DIV/0!</v>
      </c>
      <c r="D43" s="1159"/>
      <c r="E43" s="1159"/>
      <c r="F43" s="1159"/>
      <c r="G43" s="1159"/>
      <c r="H43" s="1159"/>
      <c r="I43" s="1159"/>
      <c r="J43" s="1159"/>
      <c r="K43" s="715"/>
      <c r="L43" s="922"/>
      <c r="M43" s="923"/>
      <c r="N43" s="923"/>
      <c r="O43" s="923"/>
      <c r="P43" s="3755" t="str">
        <f>A43</f>
        <v>估价对象XX用房的比较价值（楼面单价，元/平方米）</v>
      </c>
      <c r="Q43" s="3756"/>
      <c r="R43" s="3757" t="e">
        <f>IF(F1="售价",ROUND(IF(D42="简单平均",AVERAGE(R42:V42),R42*F42+T42*H42+V42*J42),0),ROUND(IF(D42="简单平均",AVERAGE(R42:V42),R42*F42+T42*H42+V42*J42),1))</f>
        <v>#DIV/0!</v>
      </c>
      <c r="S43" s="3757"/>
      <c r="T43" s="3757"/>
      <c r="U43" s="3757"/>
      <c r="V43" s="3757"/>
      <c r="W43" s="3757"/>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4" t="s">
        <v>1797</v>
      </c>
      <c r="B51" s="690"/>
      <c r="C51" s="695"/>
      <c r="D51" s="695"/>
      <c r="E51" s="695"/>
      <c r="F51" s="696"/>
      <c r="G51" s="696"/>
      <c r="H51" s="695"/>
      <c r="I51" s="695"/>
      <c r="J51" s="695"/>
      <c r="K51" s="937"/>
      <c r="L51" s="938"/>
      <c r="M51" s="936"/>
      <c r="N51" s="936"/>
      <c r="O51" s="936"/>
      <c r="P51" s="452"/>
      <c r="Q51" s="453"/>
    </row>
    <row r="52" spans="1:17" s="457" customFormat="1" ht="15">
      <c r="A52" s="454" t="s">
        <v>1678</v>
      </c>
      <c r="B52" s="455"/>
      <c r="C52" s="1180" t="str">
        <f>YEAR(C7)&amp;"-"&amp;MONTH(C7)</f>
        <v>2023-8</v>
      </c>
      <c r="D52" s="1181">
        <f>EDATE(C52,-1)</f>
        <v>45108</v>
      </c>
      <c r="E52" s="1181">
        <f t="shared" ref="E52:O52" si="16">EDATE(D52,-1)</f>
        <v>45078</v>
      </c>
      <c r="F52" s="1181">
        <f t="shared" si="16"/>
        <v>45047</v>
      </c>
      <c r="G52" s="1181">
        <f t="shared" si="16"/>
        <v>45017</v>
      </c>
      <c r="H52" s="1181">
        <f t="shared" si="16"/>
        <v>44986</v>
      </c>
      <c r="I52" s="1181">
        <f t="shared" si="16"/>
        <v>44958</v>
      </c>
      <c r="J52" s="1181">
        <f t="shared" si="16"/>
        <v>44927</v>
      </c>
      <c r="K52" s="1181">
        <f t="shared" si="16"/>
        <v>44896</v>
      </c>
      <c r="L52" s="1181">
        <f t="shared" si="16"/>
        <v>44866</v>
      </c>
      <c r="M52" s="1181">
        <f t="shared" si="16"/>
        <v>44835</v>
      </c>
      <c r="N52" s="1181">
        <f t="shared" si="16"/>
        <v>44805</v>
      </c>
      <c r="O52" s="1181">
        <f t="shared" si="16"/>
        <v>44774</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1718</v>
      </c>
      <c r="B57" s="477" t="s">
        <v>1684</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1687</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1693</v>
      </c>
      <c r="B88" s="477" t="s">
        <v>1735</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1737</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1739</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1740</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1741</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1743</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3338</v>
      </c>
      <c r="C1" s="1220" t="s">
        <v>1661</v>
      </c>
      <c r="D1" s="1221"/>
      <c r="E1" s="3429"/>
      <c r="F1" s="1875"/>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28" t="s">
        <v>1770</v>
      </c>
      <c r="S4" s="3729"/>
      <c r="T4" s="3728" t="s">
        <v>1771</v>
      </c>
      <c r="U4" s="3729"/>
      <c r="V4" s="3753" t="s">
        <v>1772</v>
      </c>
      <c r="W4" s="3753"/>
      <c r="X4" s="1351"/>
      <c r="Y4" s="3728" t="s">
        <v>1774</v>
      </c>
      <c r="Z4" s="3729"/>
      <c r="AA4" s="3723" t="s">
        <v>1770</v>
      </c>
      <c r="AB4" s="3724" t="s">
        <v>1771</v>
      </c>
      <c r="AC4" s="3723" t="s">
        <v>1772</v>
      </c>
    </row>
    <row r="5" spans="1:29" ht="15">
      <c r="A5" s="358"/>
      <c r="B5" s="359"/>
      <c r="C5" s="3734" t="s">
        <v>1672</v>
      </c>
      <c r="D5" s="3735"/>
      <c r="E5" s="3732" t="s">
        <v>1673</v>
      </c>
      <c r="F5" s="3733"/>
      <c r="G5" s="3734" t="s">
        <v>1674</v>
      </c>
      <c r="H5" s="3735"/>
      <c r="I5" s="3734" t="s">
        <v>1675</v>
      </c>
      <c r="J5" s="3735"/>
      <c r="K5" s="559"/>
      <c r="L5" s="2711"/>
      <c r="M5" s="2712"/>
      <c r="N5" s="2712"/>
      <c r="O5" s="2712"/>
      <c r="P5" s="3747"/>
      <c r="Q5" s="3748"/>
      <c r="R5" s="3730"/>
      <c r="S5" s="3731"/>
      <c r="T5" s="3730"/>
      <c r="U5" s="3731"/>
      <c r="V5" s="3753"/>
      <c r="W5" s="3753"/>
      <c r="X5" s="1351"/>
      <c r="Y5" s="3730"/>
      <c r="Z5" s="3731"/>
      <c r="AA5" s="3724"/>
      <c r="AB5" s="3724"/>
      <c r="AC5" s="3724"/>
    </row>
    <row r="6" spans="1:29" ht="15.75" thickBot="1">
      <c r="A6" s="360"/>
      <c r="B6" s="361"/>
      <c r="C6" s="3736" t="s">
        <v>1676</v>
      </c>
      <c r="D6" s="3737"/>
      <c r="E6" s="3738" t="s">
        <v>1676</v>
      </c>
      <c r="F6" s="3739"/>
      <c r="G6" s="3736" t="s">
        <v>1676</v>
      </c>
      <c r="H6" s="3737"/>
      <c r="I6" s="3736" t="s">
        <v>1676</v>
      </c>
      <c r="J6" s="3737"/>
      <c r="K6" s="559" t="s">
        <v>1677</v>
      </c>
      <c r="L6" s="2711"/>
      <c r="M6" s="2712"/>
      <c r="N6" s="2712"/>
      <c r="O6" s="2712"/>
      <c r="P6" s="3749"/>
      <c r="Q6" s="3750"/>
      <c r="R6" s="3730"/>
      <c r="S6" s="3731"/>
      <c r="T6" s="3751"/>
      <c r="U6" s="3752"/>
      <c r="V6" s="3753"/>
      <c r="W6" s="3753"/>
      <c r="X6" s="1351"/>
      <c r="Y6" s="3751"/>
      <c r="Z6" s="3752"/>
      <c r="AA6" s="3725"/>
      <c r="AB6" s="3725"/>
      <c r="AC6" s="3725"/>
    </row>
    <row r="7" spans="1:29" s="108" customFormat="1" ht="15.75" thickBot="1">
      <c r="A7" s="362" t="s">
        <v>1678</v>
      </c>
      <c r="B7" s="363"/>
      <c r="C7" s="364">
        <f>'数据-取费表'!B2</f>
        <v>45147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6" t="s">
        <v>1679</v>
      </c>
      <c r="Q7" s="3754"/>
      <c r="R7" s="701" t="s">
        <v>14</v>
      </c>
      <c r="S7" s="702">
        <f t="shared" ref="S7:S14" si="0">F7</f>
        <v>0</v>
      </c>
      <c r="T7" s="701" t="s">
        <v>14</v>
      </c>
      <c r="U7" s="702">
        <f t="shared" ref="U7:U14" si="1">H7</f>
        <v>0</v>
      </c>
      <c r="V7" s="701" t="s">
        <v>14</v>
      </c>
      <c r="W7" s="702">
        <f t="shared" ref="W7:W14" si="2">J7</f>
        <v>0</v>
      </c>
      <c r="X7" s="703"/>
      <c r="Y7" s="3726" t="s">
        <v>1679</v>
      </c>
      <c r="Z7" s="372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6" t="s">
        <v>1682</v>
      </c>
      <c r="Q8" s="3727"/>
      <c r="R8" s="701" t="s">
        <v>14</v>
      </c>
      <c r="S8" s="702">
        <f t="shared" si="0"/>
        <v>100</v>
      </c>
      <c r="T8" s="701" t="s">
        <v>14</v>
      </c>
      <c r="U8" s="702">
        <f t="shared" si="1"/>
        <v>100</v>
      </c>
      <c r="V8" s="701" t="s">
        <v>14</v>
      </c>
      <c r="W8" s="702">
        <f t="shared" si="2"/>
        <v>100</v>
      </c>
      <c r="X8" s="703"/>
      <c r="Y8" s="3726" t="s">
        <v>1682</v>
      </c>
      <c r="Z8" s="372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8" t="s">
        <v>1685</v>
      </c>
      <c r="Q9" s="1339" t="str">
        <f t="shared" ref="Q9:Q14" si="6">B9</f>
        <v>用途</v>
      </c>
      <c r="R9" s="701" t="s">
        <v>14</v>
      </c>
      <c r="S9" s="702">
        <f t="shared" si="0"/>
        <v>100</v>
      </c>
      <c r="T9" s="701" t="s">
        <v>14</v>
      </c>
      <c r="U9" s="702">
        <f t="shared" si="1"/>
        <v>100</v>
      </c>
      <c r="V9" s="701" t="s">
        <v>14</v>
      </c>
      <c r="W9" s="702">
        <f t="shared" si="2"/>
        <v>100</v>
      </c>
      <c r="X9" s="703"/>
      <c r="Y9" s="3651" t="s">
        <v>1686</v>
      </c>
      <c r="Z9" s="52" t="str">
        <f t="shared" ref="Z9:Z14" si="7">Q9</f>
        <v>用途</v>
      </c>
      <c r="AA9" s="704">
        <f t="shared" si="3"/>
        <v>1</v>
      </c>
      <c r="AB9" s="704">
        <f t="shared" si="4"/>
        <v>1</v>
      </c>
      <c r="AC9" s="704">
        <f t="shared" si="5"/>
        <v>1</v>
      </c>
    </row>
    <row r="10" spans="1:29" s="378" customFormat="1" ht="27">
      <c r="A10" s="589"/>
      <c r="B10" s="590"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58"/>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8"/>
      <c r="Q11" s="1339">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8"/>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8"/>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85.5">
      <c r="A14" s="355" t="s">
        <v>1689</v>
      </c>
      <c r="B14" s="577" t="s">
        <v>1832</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60" t="s">
        <v>1690</v>
      </c>
      <c r="Q14" s="1348" t="str">
        <f t="shared" si="6"/>
        <v>交通便捷度</v>
      </c>
      <c r="R14" s="705" t="s">
        <v>14</v>
      </c>
      <c r="S14" s="706">
        <f t="shared" si="0"/>
        <v>100</v>
      </c>
      <c r="T14" s="705" t="s">
        <v>14</v>
      </c>
      <c r="U14" s="706">
        <f t="shared" si="1"/>
        <v>100</v>
      </c>
      <c r="V14" s="705" t="s">
        <v>14</v>
      </c>
      <c r="W14" s="706">
        <f t="shared" si="2"/>
        <v>100</v>
      </c>
      <c r="X14" s="1351"/>
      <c r="Y14" s="3760" t="s">
        <v>1690</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61"/>
      <c r="Q15" s="1348"/>
      <c r="R15" s="705"/>
      <c r="S15" s="706"/>
      <c r="T15" s="705"/>
      <c r="U15" s="706"/>
      <c r="V15" s="705"/>
      <c r="W15" s="706"/>
      <c r="X15" s="1351"/>
      <c r="Y15" s="3761"/>
      <c r="Z15" s="1352"/>
      <c r="AA15" s="1349">
        <v>1</v>
      </c>
      <c r="AB15" s="1349">
        <v>1</v>
      </c>
      <c r="AC15" s="1349">
        <v>1</v>
      </c>
    </row>
    <row r="16" spans="1:29" ht="42.75">
      <c r="A16" s="358"/>
      <c r="B16" s="579" t="s">
        <v>1811</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61"/>
      <c r="Q16" s="1348" t="str">
        <f>B16</f>
        <v>公共配套设施</v>
      </c>
      <c r="R16" s="705" t="s">
        <v>14</v>
      </c>
      <c r="S16" s="706">
        <f>F16</f>
        <v>100</v>
      </c>
      <c r="T16" s="705" t="s">
        <v>14</v>
      </c>
      <c r="U16" s="706">
        <f>H16</f>
        <v>100</v>
      </c>
      <c r="V16" s="705" t="s">
        <v>14</v>
      </c>
      <c r="W16" s="706">
        <f>J16</f>
        <v>100</v>
      </c>
      <c r="X16" s="1351"/>
      <c r="Y16" s="3761"/>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61"/>
      <c r="Q17" s="1348"/>
      <c r="R17" s="705"/>
      <c r="S17" s="706"/>
      <c r="T17" s="705"/>
      <c r="U17" s="706"/>
      <c r="V17" s="705"/>
      <c r="W17" s="706"/>
      <c r="X17" s="1351"/>
      <c r="Y17" s="3761"/>
      <c r="Z17" s="1352"/>
      <c r="AA17" s="1349">
        <v>1</v>
      </c>
      <c r="AB17" s="1349">
        <v>1</v>
      </c>
      <c r="AC17" s="1349">
        <v>1</v>
      </c>
    </row>
    <row r="18" spans="1:29" ht="28.5">
      <c r="A18" s="358"/>
      <c r="B18" s="581" t="s">
        <v>1812</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61"/>
      <c r="Q18" s="1348" t="str">
        <f>B18</f>
        <v>基础设施水平</v>
      </c>
      <c r="R18" s="705" t="s">
        <v>14</v>
      </c>
      <c r="S18" s="706">
        <f>F18</f>
        <v>100</v>
      </c>
      <c r="T18" s="705" t="s">
        <v>14</v>
      </c>
      <c r="U18" s="706">
        <f>H18</f>
        <v>100</v>
      </c>
      <c r="V18" s="705" t="s">
        <v>14</v>
      </c>
      <c r="W18" s="706">
        <f>J18</f>
        <v>100</v>
      </c>
      <c r="X18" s="1351"/>
      <c r="Y18" s="3761"/>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761"/>
      <c r="Q19" s="1348"/>
      <c r="R19" s="705"/>
      <c r="S19" s="706"/>
      <c r="T19" s="705"/>
      <c r="U19" s="706"/>
      <c r="V19" s="705"/>
      <c r="W19" s="706"/>
      <c r="X19" s="1351"/>
      <c r="Y19" s="3761"/>
      <c r="Z19" s="1352"/>
      <c r="AA19" s="1349">
        <v>1</v>
      </c>
      <c r="AB19" s="1349">
        <v>1</v>
      </c>
      <c r="AC19" s="1349">
        <v>1</v>
      </c>
    </row>
    <row r="20" spans="1:29" ht="57">
      <c r="A20" s="358"/>
      <c r="B20" s="579" t="s">
        <v>1833</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61"/>
      <c r="Q20" s="1348" t="str">
        <f>B20</f>
        <v>自然及人文环境</v>
      </c>
      <c r="R20" s="705" t="s">
        <v>14</v>
      </c>
      <c r="S20" s="706">
        <f>F20</f>
        <v>100</v>
      </c>
      <c r="T20" s="705" t="s">
        <v>14</v>
      </c>
      <c r="U20" s="706">
        <f>H20</f>
        <v>100</v>
      </c>
      <c r="V20" s="705" t="s">
        <v>14</v>
      </c>
      <c r="W20" s="706">
        <f>J20</f>
        <v>100</v>
      </c>
      <c r="X20" s="1351"/>
      <c r="Y20" s="3761"/>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61"/>
      <c r="Q21" s="1348"/>
      <c r="R21" s="705"/>
      <c r="S21" s="706"/>
      <c r="T21" s="705"/>
      <c r="U21" s="706"/>
      <c r="V21" s="705"/>
      <c r="W21" s="706"/>
      <c r="X21" s="1351"/>
      <c r="Y21" s="3761"/>
      <c r="Z21" s="1352"/>
      <c r="AA21" s="1349">
        <v>1</v>
      </c>
      <c r="AB21" s="1349">
        <v>1</v>
      </c>
      <c r="AC21" s="1349">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61"/>
      <c r="Q22" s="1348" t="str">
        <f>B22</f>
        <v>楼层</v>
      </c>
      <c r="R22" s="705" t="s">
        <v>14</v>
      </c>
      <c r="S22" s="706">
        <f>F22</f>
        <v>100</v>
      </c>
      <c r="T22" s="705" t="s">
        <v>14</v>
      </c>
      <c r="U22" s="706">
        <f>H22</f>
        <v>100</v>
      </c>
      <c r="V22" s="705" t="s">
        <v>14</v>
      </c>
      <c r="W22" s="706">
        <f>J22</f>
        <v>100</v>
      </c>
      <c r="X22" s="1351"/>
      <c r="Y22" s="3761"/>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61"/>
      <c r="Q23" s="1348">
        <f>B23</f>
        <v>111</v>
      </c>
      <c r="R23" s="705" t="s">
        <v>14</v>
      </c>
      <c r="S23" s="706">
        <f>F23</f>
        <v>100</v>
      </c>
      <c r="T23" s="705" t="s">
        <v>14</v>
      </c>
      <c r="U23" s="706">
        <f>H23</f>
        <v>100</v>
      </c>
      <c r="V23" s="705" t="s">
        <v>14</v>
      </c>
      <c r="W23" s="706">
        <f>J23</f>
        <v>100</v>
      </c>
      <c r="X23" s="1351"/>
      <c r="Y23" s="3761"/>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61"/>
      <c r="Q24" s="1348">
        <f t="shared" ref="Q24:Q36" si="11">B24</f>
        <v>111</v>
      </c>
      <c r="R24" s="705" t="s">
        <v>14</v>
      </c>
      <c r="S24" s="706">
        <f>F24</f>
        <v>100</v>
      </c>
      <c r="T24" s="705" t="s">
        <v>14</v>
      </c>
      <c r="U24" s="706">
        <f>H24</f>
        <v>100</v>
      </c>
      <c r="V24" s="705" t="s">
        <v>14</v>
      </c>
      <c r="W24" s="706">
        <f>J24</f>
        <v>100</v>
      </c>
      <c r="X24" s="1351"/>
      <c r="Y24" s="3761"/>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61"/>
      <c r="Q25" s="1339">
        <f t="shared" si="11"/>
        <v>111</v>
      </c>
      <c r="R25" s="701" t="s">
        <v>14</v>
      </c>
      <c r="S25" s="702">
        <f>F25</f>
        <v>100</v>
      </c>
      <c r="T25" s="701" t="s">
        <v>14</v>
      </c>
      <c r="U25" s="702">
        <f>H25</f>
        <v>100</v>
      </c>
      <c r="V25" s="701" t="s">
        <v>14</v>
      </c>
      <c r="W25" s="702">
        <f>J25</f>
        <v>100</v>
      </c>
      <c r="X25" s="703"/>
      <c r="Y25" s="3761"/>
      <c r="Z25" s="52">
        <f>Q25</f>
        <v>111</v>
      </c>
      <c r="AA25" s="1349">
        <f>D25/F25</f>
        <v>1</v>
      </c>
      <c r="AB25" s="1349">
        <f>D25/H25</f>
        <v>1</v>
      </c>
      <c r="AC25" s="1349">
        <f>D25/J25</f>
        <v>1</v>
      </c>
    </row>
    <row r="26" spans="1:29" ht="28.5">
      <c r="A26" s="600" t="s">
        <v>1693</v>
      </c>
      <c r="B26" s="62" t="s">
        <v>1835</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4" t="s">
        <v>1695</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65" t="s">
        <v>1695</v>
      </c>
      <c r="Z26" s="1352" t="str">
        <f t="shared" ref="Z26:Z36" si="15">Q26</f>
        <v>配套类型</v>
      </c>
      <c r="AA26" s="1349" t="e">
        <f t="shared" si="3"/>
        <v>#DIV/0!</v>
      </c>
      <c r="AB26" s="1349" t="e">
        <f t="shared" si="4"/>
        <v>#DIV/0!</v>
      </c>
      <c r="AC26" s="1349"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65"/>
      <c r="Q27" s="707" t="str">
        <f t="shared" si="11"/>
        <v>项目停车位配比</v>
      </c>
      <c r="R27" s="708" t="s">
        <v>14</v>
      </c>
      <c r="S27" s="709">
        <f t="shared" si="12"/>
        <v>100</v>
      </c>
      <c r="T27" s="708" t="s">
        <v>14</v>
      </c>
      <c r="U27" s="709">
        <f t="shared" si="13"/>
        <v>100</v>
      </c>
      <c r="V27" s="708" t="s">
        <v>14</v>
      </c>
      <c r="W27" s="709">
        <f t="shared" si="14"/>
        <v>100</v>
      </c>
      <c r="X27" s="710"/>
      <c r="Y27" s="3765"/>
      <c r="Z27" s="711" t="str">
        <f t="shared" si="15"/>
        <v>项目停车位配比</v>
      </c>
      <c r="AA27" s="1349">
        <f t="shared" si="3"/>
        <v>1</v>
      </c>
      <c r="AB27" s="1349">
        <f t="shared" si="4"/>
        <v>1</v>
      </c>
      <c r="AC27" s="1349">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65"/>
      <c r="Q28" s="1348" t="str">
        <f t="shared" si="11"/>
        <v>公共部分装修</v>
      </c>
      <c r="R28" s="705" t="s">
        <v>14</v>
      </c>
      <c r="S28" s="706">
        <f t="shared" si="12"/>
        <v>100</v>
      </c>
      <c r="T28" s="705" t="s">
        <v>14</v>
      </c>
      <c r="U28" s="706">
        <f t="shared" si="13"/>
        <v>100</v>
      </c>
      <c r="V28" s="705" t="s">
        <v>14</v>
      </c>
      <c r="W28" s="706">
        <f t="shared" si="14"/>
        <v>100</v>
      </c>
      <c r="X28" s="1351"/>
      <c r="Y28" s="3765"/>
      <c r="Z28" s="1352" t="str">
        <f t="shared" si="15"/>
        <v>公共部分装修</v>
      </c>
      <c r="AA28" s="1349">
        <f t="shared" si="3"/>
        <v>1</v>
      </c>
      <c r="AB28" s="1349">
        <f t="shared" si="4"/>
        <v>1</v>
      </c>
      <c r="AC28" s="1349">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65"/>
      <c r="Q29" s="1348" t="str">
        <f t="shared" si="11"/>
        <v>成新率</v>
      </c>
      <c r="R29" s="705" t="s">
        <v>14</v>
      </c>
      <c r="S29" s="706" t="e">
        <f t="shared" si="12"/>
        <v>#N/A</v>
      </c>
      <c r="T29" s="705" t="s">
        <v>14</v>
      </c>
      <c r="U29" s="706" t="e">
        <f t="shared" si="13"/>
        <v>#N/A</v>
      </c>
      <c r="V29" s="705" t="s">
        <v>14</v>
      </c>
      <c r="W29" s="706" t="e">
        <f t="shared" si="14"/>
        <v>#N/A</v>
      </c>
      <c r="X29" s="1351"/>
      <c r="Y29" s="3765"/>
      <c r="Z29" s="1352" t="str">
        <f t="shared" si="15"/>
        <v>成新率</v>
      </c>
      <c r="AA29" s="1349" t="e">
        <f t="shared" si="3"/>
        <v>#N/A</v>
      </c>
      <c r="AB29" s="1349" t="e">
        <f t="shared" si="4"/>
        <v>#N/A</v>
      </c>
      <c r="AC29" s="1349"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65"/>
      <c r="Q30" s="1348" t="str">
        <f t="shared" si="11"/>
        <v>物业等级</v>
      </c>
      <c r="R30" s="705" t="s">
        <v>14</v>
      </c>
      <c r="S30" s="706">
        <f t="shared" si="12"/>
        <v>100</v>
      </c>
      <c r="T30" s="705" t="s">
        <v>14</v>
      </c>
      <c r="U30" s="706">
        <f t="shared" si="13"/>
        <v>100</v>
      </c>
      <c r="V30" s="705" t="s">
        <v>14</v>
      </c>
      <c r="W30" s="706">
        <f t="shared" si="14"/>
        <v>100</v>
      </c>
      <c r="X30" s="1351"/>
      <c r="Y30" s="3765"/>
      <c r="Z30" s="1352" t="str">
        <f t="shared" si="15"/>
        <v>物业等级</v>
      </c>
      <c r="AA30" s="1349">
        <f t="shared" si="3"/>
        <v>1</v>
      </c>
      <c r="AB30" s="1349">
        <f t="shared" si="4"/>
        <v>1</v>
      </c>
      <c r="AC30" s="1349">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65"/>
      <c r="Q31" s="1339" t="str">
        <f t="shared" si="11"/>
        <v>停车位面积</v>
      </c>
      <c r="R31" s="701" t="s">
        <v>14</v>
      </c>
      <c r="S31" s="702" t="e">
        <f t="shared" si="12"/>
        <v>#N/A</v>
      </c>
      <c r="T31" s="701" t="s">
        <v>14</v>
      </c>
      <c r="U31" s="702" t="e">
        <f t="shared" si="13"/>
        <v>#N/A</v>
      </c>
      <c r="V31" s="701" t="s">
        <v>14</v>
      </c>
      <c r="W31" s="702" t="e">
        <f t="shared" si="14"/>
        <v>#N/A</v>
      </c>
      <c r="X31" s="703"/>
      <c r="Y31" s="376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65" t="s">
        <v>1695</v>
      </c>
      <c r="Q32" s="1348" t="str">
        <f t="shared" si="11"/>
        <v>车位类型</v>
      </c>
      <c r="R32" s="705" t="s">
        <v>14</v>
      </c>
      <c r="S32" s="706">
        <f t="shared" si="12"/>
        <v>100</v>
      </c>
      <c r="T32" s="705" t="s">
        <v>14</v>
      </c>
      <c r="U32" s="706">
        <f t="shared" si="13"/>
        <v>100</v>
      </c>
      <c r="V32" s="705" t="s">
        <v>14</v>
      </c>
      <c r="W32" s="706">
        <f t="shared" si="14"/>
        <v>100</v>
      </c>
      <c r="X32" s="1351"/>
      <c r="Y32" s="3765" t="s">
        <v>1695</v>
      </c>
      <c r="Z32" s="1352" t="str">
        <f t="shared" si="15"/>
        <v>车位类型</v>
      </c>
      <c r="AA32" s="1349">
        <f t="shared" si="3"/>
        <v>1</v>
      </c>
      <c r="AB32" s="1349">
        <f t="shared" si="4"/>
        <v>1</v>
      </c>
      <c r="AC32" s="1349">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65"/>
      <c r="Q33" s="1348" t="str">
        <f t="shared" si="11"/>
        <v>是否直接入户</v>
      </c>
      <c r="R33" s="705" t="s">
        <v>14</v>
      </c>
      <c r="S33" s="706">
        <f t="shared" si="12"/>
        <v>100</v>
      </c>
      <c r="T33" s="705" t="s">
        <v>14</v>
      </c>
      <c r="U33" s="706">
        <f t="shared" si="13"/>
        <v>100</v>
      </c>
      <c r="V33" s="705" t="s">
        <v>14</v>
      </c>
      <c r="W33" s="706">
        <f t="shared" si="14"/>
        <v>100</v>
      </c>
      <c r="X33" s="1351"/>
      <c r="Y33" s="3765"/>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65"/>
      <c r="Q34" s="1348">
        <f t="shared" si="11"/>
        <v>111</v>
      </c>
      <c r="R34" s="705" t="s">
        <v>14</v>
      </c>
      <c r="S34" s="706">
        <f t="shared" si="12"/>
        <v>100</v>
      </c>
      <c r="T34" s="705" t="s">
        <v>14</v>
      </c>
      <c r="U34" s="706">
        <f t="shared" si="13"/>
        <v>100</v>
      </c>
      <c r="V34" s="705" t="s">
        <v>14</v>
      </c>
      <c r="W34" s="706">
        <f t="shared" si="14"/>
        <v>100</v>
      </c>
      <c r="X34" s="1351"/>
      <c r="Y34" s="3765"/>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65"/>
      <c r="Q35" s="707">
        <f t="shared" si="11"/>
        <v>111</v>
      </c>
      <c r="R35" s="708" t="s">
        <v>14</v>
      </c>
      <c r="S35" s="709">
        <f t="shared" si="12"/>
        <v>100</v>
      </c>
      <c r="T35" s="708" t="s">
        <v>14</v>
      </c>
      <c r="U35" s="709">
        <f t="shared" si="13"/>
        <v>100</v>
      </c>
      <c r="V35" s="708" t="s">
        <v>14</v>
      </c>
      <c r="W35" s="709">
        <f t="shared" si="14"/>
        <v>100</v>
      </c>
      <c r="X35" s="710"/>
      <c r="Y35" s="3765"/>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65"/>
      <c r="Q36" s="1348">
        <f t="shared" si="11"/>
        <v>111</v>
      </c>
      <c r="R36" s="705" t="s">
        <v>14</v>
      </c>
      <c r="S36" s="706">
        <f t="shared" si="12"/>
        <v>100</v>
      </c>
      <c r="T36" s="705" t="s">
        <v>14</v>
      </c>
      <c r="U36" s="706">
        <f t="shared" si="13"/>
        <v>100</v>
      </c>
      <c r="V36" s="705" t="s">
        <v>14</v>
      </c>
      <c r="W36" s="706">
        <f t="shared" si="14"/>
        <v>100</v>
      </c>
      <c r="X36" s="1351"/>
      <c r="Y36" s="3765"/>
      <c r="Z36" s="1352">
        <f t="shared" si="15"/>
        <v>111</v>
      </c>
      <c r="AA36" s="1349">
        <f t="shared" si="3"/>
        <v>1</v>
      </c>
      <c r="AB36" s="1349">
        <f t="shared" si="4"/>
        <v>1</v>
      </c>
      <c r="AC36" s="1349">
        <f t="shared" si="5"/>
        <v>1</v>
      </c>
    </row>
    <row r="37" spans="1:29" ht="15">
      <c r="A37" s="430" t="s">
        <v>1843</v>
      </c>
      <c r="B37" s="1969" t="s">
        <v>3359</v>
      </c>
      <c r="C37" s="1150" t="s">
        <v>0</v>
      </c>
      <c r="D37" s="1151"/>
      <c r="E37" s="1152"/>
      <c r="F37" s="1153"/>
      <c r="G37" s="1154"/>
      <c r="H37" s="1155"/>
      <c r="I37" s="1152"/>
      <c r="J37" s="1155"/>
      <c r="K37" s="568"/>
      <c r="L37" s="2720"/>
      <c r="M37" s="2721"/>
      <c r="N37" s="2712"/>
      <c r="O37" s="2721"/>
      <c r="P37" s="3758" t="str">
        <f>A37</f>
        <v>成交单价</v>
      </c>
      <c r="Q37" s="3758"/>
      <c r="R37" s="3759">
        <f>E37</f>
        <v>0</v>
      </c>
      <c r="S37" s="3759"/>
      <c r="T37" s="3759">
        <f>G37</f>
        <v>0</v>
      </c>
      <c r="U37" s="3759"/>
      <c r="V37" s="3759">
        <f>I37</f>
        <v>0</v>
      </c>
      <c r="W37" s="3759"/>
      <c r="X37" s="690"/>
      <c r="Y37" s="712"/>
      <c r="Z37" s="690"/>
      <c r="AA37" s="690"/>
      <c r="AB37" s="690"/>
      <c r="AC37" s="690"/>
    </row>
    <row r="38" spans="1:29" ht="15.75" thickBot="1">
      <c r="A38" s="437" t="s">
        <v>1844</v>
      </c>
      <c r="B38" s="438" t="str">
        <f>B37</f>
        <v>元/平方米</v>
      </c>
      <c r="C38" s="1156" t="e">
        <f>R39</f>
        <v>#DIV/0!</v>
      </c>
      <c r="D38" s="2313" t="s">
        <v>2137</v>
      </c>
      <c r="E38" s="1157" t="e">
        <f>R38</f>
        <v>#DIV/0!</v>
      </c>
      <c r="F38" s="2314"/>
      <c r="G38" s="1156" t="e">
        <f>T38</f>
        <v>#DIV/0!</v>
      </c>
      <c r="H38" s="2314"/>
      <c r="I38" s="1157" t="e">
        <f>V38</f>
        <v>#DIV/0!</v>
      </c>
      <c r="J38" s="2314"/>
      <c r="K38" s="2316">
        <f>F38+H38+J38</f>
        <v>0</v>
      </c>
      <c r="L38" s="2720"/>
      <c r="M38" s="2721"/>
      <c r="N38" s="2721"/>
      <c r="O38" s="2721"/>
      <c r="P38" s="3758" t="str">
        <f>A38</f>
        <v>比较价值（元/平方米）</v>
      </c>
      <c r="Q38" s="3758"/>
      <c r="R38" s="3759" t="e">
        <f>IF(F1="售价",ROUND(PRODUCT(R37,AA7:AA36),0),ROUND(PRODUCT(R37,AA7:AA36),1))</f>
        <v>#DIV/0!</v>
      </c>
      <c r="S38" s="3759"/>
      <c r="T38" s="3759" t="e">
        <f>IF(F1="售价",ROUND(PRODUCT(T37,AB7:AB36),0),ROUND(PRODUCT(T37,AB7:AB36),1))</f>
        <v>#DIV/0!</v>
      </c>
      <c r="U38" s="3759"/>
      <c r="V38" s="3759" t="e">
        <f>IF(F1="售价",ROUND(PRODUCT(V37,AC7:AC36),0),ROUND(PRODUCT(V37,AC7:AC36),1))</f>
        <v>#DIV/0!</v>
      </c>
      <c r="W38" s="3759"/>
      <c r="X38" s="690"/>
      <c r="Y38" s="690"/>
      <c r="Z38" s="690"/>
      <c r="AA38" s="690"/>
      <c r="AB38" s="690"/>
      <c r="AC38" s="690"/>
    </row>
    <row r="39" spans="1:29" ht="15.75" thickBot="1">
      <c r="A39" s="441" t="s">
        <v>1845</v>
      </c>
      <c r="B39" s="442"/>
      <c r="C39" s="1159" t="e">
        <f>R39</f>
        <v>#DIV/0!</v>
      </c>
      <c r="D39" s="1159"/>
      <c r="E39" s="1159"/>
      <c r="F39" s="1159"/>
      <c r="G39" s="1159"/>
      <c r="H39" s="1159"/>
      <c r="I39" s="1159"/>
      <c r="J39" s="1159"/>
      <c r="K39" s="569"/>
      <c r="L39" s="2720"/>
      <c r="M39" s="2721"/>
      <c r="N39" s="2721"/>
      <c r="O39" s="2721"/>
      <c r="P39" s="3755" t="str">
        <f>A39</f>
        <v>估价对象XX用房的比较价值（楼面单价，元/平方米）</v>
      </c>
      <c r="Q39" s="3756"/>
      <c r="R39" s="3785" t="e">
        <f>IF(F1="售价",ROUND(IF(D38="简单平均",AVERAGE(R38:W38),R38*F38+T38*H38+V38*J38),0),ROUND(IF(D38="简单平均",AVERAGE(R38:V38),R38*F38+T38*H38+V38*J38),1))</f>
        <v>#DIV/0!</v>
      </c>
      <c r="S39" s="3785"/>
      <c r="T39" s="3785"/>
      <c r="U39" s="3785"/>
      <c r="V39" s="3785"/>
      <c r="W39" s="378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1849</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0" t="str">
        <f>YEAR(C7)&amp;"-"&amp;MONTH(C7)</f>
        <v>2023-8</v>
      </c>
      <c r="D48" s="1181">
        <f>EDATE(C48,-1)</f>
        <v>45108</v>
      </c>
      <c r="E48" s="1181">
        <f t="shared" ref="E48:O48" si="16">EDATE(D48,-1)</f>
        <v>45078</v>
      </c>
      <c r="F48" s="1181">
        <f t="shared" si="16"/>
        <v>45047</v>
      </c>
      <c r="G48" s="1181">
        <f t="shared" si="16"/>
        <v>45017</v>
      </c>
      <c r="H48" s="1181">
        <f t="shared" si="16"/>
        <v>44986</v>
      </c>
      <c r="I48" s="1181">
        <f t="shared" si="16"/>
        <v>44958</v>
      </c>
      <c r="J48" s="1181">
        <f t="shared" si="16"/>
        <v>44927</v>
      </c>
      <c r="K48" s="1181">
        <f t="shared" si="16"/>
        <v>44896</v>
      </c>
      <c r="L48" s="1181">
        <f t="shared" si="16"/>
        <v>44866</v>
      </c>
      <c r="M48" s="1181">
        <f t="shared" si="16"/>
        <v>44835</v>
      </c>
      <c r="N48" s="1181">
        <f t="shared" si="16"/>
        <v>44805</v>
      </c>
      <c r="O48" s="1181">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3339</v>
      </c>
      <c r="C1" s="1220" t="s">
        <v>1661</v>
      </c>
      <c r="D1" s="1221"/>
      <c r="E1" s="3429"/>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28" t="s">
        <v>1770</v>
      </c>
      <c r="S4" s="3729"/>
      <c r="T4" s="3728" t="s">
        <v>1771</v>
      </c>
      <c r="U4" s="3729"/>
      <c r="V4" s="3753" t="s">
        <v>1772</v>
      </c>
      <c r="W4" s="3753"/>
      <c r="X4" s="1351"/>
      <c r="Y4" s="3728" t="s">
        <v>1774</v>
      </c>
      <c r="Z4" s="3729"/>
      <c r="AA4" s="3723" t="s">
        <v>1770</v>
      </c>
      <c r="AB4" s="3724" t="s">
        <v>1771</v>
      </c>
      <c r="AC4" s="3723" t="s">
        <v>1772</v>
      </c>
    </row>
    <row r="5" spans="1:29" ht="15">
      <c r="A5" s="358"/>
      <c r="B5" s="359"/>
      <c r="C5" s="3734" t="s">
        <v>1672</v>
      </c>
      <c r="D5" s="3735"/>
      <c r="E5" s="3732" t="s">
        <v>1673</v>
      </c>
      <c r="F5" s="3733"/>
      <c r="G5" s="3734" t="s">
        <v>1674</v>
      </c>
      <c r="H5" s="3735"/>
      <c r="I5" s="3734" t="s">
        <v>1675</v>
      </c>
      <c r="J5" s="3735"/>
      <c r="K5" s="559"/>
      <c r="L5" s="2711"/>
      <c r="M5" s="2712"/>
      <c r="N5" s="2712"/>
      <c r="O5" s="2712"/>
      <c r="P5" s="3747"/>
      <c r="Q5" s="3748"/>
      <c r="R5" s="3730"/>
      <c r="S5" s="3731"/>
      <c r="T5" s="3730"/>
      <c r="U5" s="3731"/>
      <c r="V5" s="3753"/>
      <c r="W5" s="3753"/>
      <c r="X5" s="1351"/>
      <c r="Y5" s="3730"/>
      <c r="Z5" s="3731"/>
      <c r="AA5" s="3724"/>
      <c r="AB5" s="3724"/>
      <c r="AC5" s="3724"/>
    </row>
    <row r="6" spans="1:29" ht="15.75" thickBot="1">
      <c r="A6" s="360"/>
      <c r="B6" s="361"/>
      <c r="C6" s="3736" t="s">
        <v>1676</v>
      </c>
      <c r="D6" s="3737"/>
      <c r="E6" s="3738" t="s">
        <v>1676</v>
      </c>
      <c r="F6" s="3739"/>
      <c r="G6" s="3736" t="s">
        <v>1676</v>
      </c>
      <c r="H6" s="3737"/>
      <c r="I6" s="3736" t="s">
        <v>1676</v>
      </c>
      <c r="J6" s="3737"/>
      <c r="K6" s="559" t="s">
        <v>1677</v>
      </c>
      <c r="L6" s="2711"/>
      <c r="M6" s="2712"/>
      <c r="N6" s="2712"/>
      <c r="O6" s="2712"/>
      <c r="P6" s="3749"/>
      <c r="Q6" s="3750"/>
      <c r="R6" s="3730"/>
      <c r="S6" s="3731"/>
      <c r="T6" s="3751"/>
      <c r="U6" s="3752"/>
      <c r="V6" s="3753"/>
      <c r="W6" s="3753"/>
      <c r="X6" s="1351"/>
      <c r="Y6" s="3751"/>
      <c r="Z6" s="3752"/>
      <c r="AA6" s="3725"/>
      <c r="AB6" s="3725"/>
      <c r="AC6" s="3725"/>
    </row>
    <row r="7" spans="1:29" s="108" customFormat="1" ht="15.75" thickBot="1">
      <c r="A7" s="362" t="s">
        <v>1678</v>
      </c>
      <c r="B7" s="363"/>
      <c r="C7" s="364">
        <f>'数据-取费表'!B2</f>
        <v>45147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26" t="s">
        <v>1679</v>
      </c>
      <c r="Q7" s="3754"/>
      <c r="R7" s="701" t="s">
        <v>14</v>
      </c>
      <c r="S7" s="702">
        <f t="shared" ref="S7:S14" si="0">F7</f>
        <v>0</v>
      </c>
      <c r="T7" s="701" t="s">
        <v>14</v>
      </c>
      <c r="U7" s="702">
        <f t="shared" ref="U7:U14" si="1">H7</f>
        <v>0</v>
      </c>
      <c r="V7" s="701" t="s">
        <v>14</v>
      </c>
      <c r="W7" s="702">
        <f t="shared" ref="W7:W14" si="2">J7</f>
        <v>0</v>
      </c>
      <c r="X7" s="703"/>
      <c r="Y7" s="3726" t="s">
        <v>1679</v>
      </c>
      <c r="Z7" s="372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6" t="s">
        <v>1682</v>
      </c>
      <c r="Q8" s="3727"/>
      <c r="R8" s="701" t="s">
        <v>14</v>
      </c>
      <c r="S8" s="702">
        <f t="shared" si="0"/>
        <v>100</v>
      </c>
      <c r="T8" s="701" t="s">
        <v>14</v>
      </c>
      <c r="U8" s="702">
        <f t="shared" si="1"/>
        <v>100</v>
      </c>
      <c r="V8" s="701" t="s">
        <v>14</v>
      </c>
      <c r="W8" s="702">
        <f t="shared" si="2"/>
        <v>100</v>
      </c>
      <c r="X8" s="703"/>
      <c r="Y8" s="3726" t="s">
        <v>1682</v>
      </c>
      <c r="Z8" s="372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8" t="s">
        <v>1685</v>
      </c>
      <c r="Q9" s="1339" t="str">
        <f t="shared" ref="Q9:Q14" si="6">B9</f>
        <v>用途</v>
      </c>
      <c r="R9" s="701" t="s">
        <v>14</v>
      </c>
      <c r="S9" s="702">
        <f t="shared" si="0"/>
        <v>100</v>
      </c>
      <c r="T9" s="701" t="s">
        <v>14</v>
      </c>
      <c r="U9" s="702">
        <f t="shared" si="1"/>
        <v>100</v>
      </c>
      <c r="V9" s="701" t="s">
        <v>14</v>
      </c>
      <c r="W9" s="702">
        <f t="shared" si="2"/>
        <v>100</v>
      </c>
      <c r="X9" s="703"/>
      <c r="Y9" s="3651" t="s">
        <v>1686</v>
      </c>
      <c r="Z9" s="52" t="str">
        <f t="shared" ref="Z9:Z14" si="7">Q9</f>
        <v>用途</v>
      </c>
      <c r="AA9" s="704">
        <f t="shared" si="3"/>
        <v>1</v>
      </c>
      <c r="AB9" s="704">
        <f t="shared" si="4"/>
        <v>1</v>
      </c>
      <c r="AC9" s="704">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58"/>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8"/>
      <c r="Q11" s="1339">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8"/>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8"/>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85.5">
      <c r="A14" s="391" t="s">
        <v>1689</v>
      </c>
      <c r="B14" s="61" t="s">
        <v>1832</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60" t="s">
        <v>1690</v>
      </c>
      <c r="Q14" s="1348" t="str">
        <f t="shared" si="6"/>
        <v>交通便捷度</v>
      </c>
      <c r="R14" s="705" t="s">
        <v>14</v>
      </c>
      <c r="S14" s="706">
        <f t="shared" si="0"/>
        <v>100</v>
      </c>
      <c r="T14" s="705" t="s">
        <v>14</v>
      </c>
      <c r="U14" s="706">
        <f t="shared" si="1"/>
        <v>100</v>
      </c>
      <c r="V14" s="705" t="s">
        <v>14</v>
      </c>
      <c r="W14" s="706">
        <f t="shared" si="2"/>
        <v>100</v>
      </c>
      <c r="X14" s="1351"/>
      <c r="Y14" s="3760" t="s">
        <v>1690</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61"/>
      <c r="Q15" s="1348"/>
      <c r="R15" s="705"/>
      <c r="S15" s="706"/>
      <c r="T15" s="705"/>
      <c r="U15" s="706"/>
      <c r="V15" s="705"/>
      <c r="W15" s="706"/>
      <c r="X15" s="1351"/>
      <c r="Y15" s="3761"/>
      <c r="Z15" s="1352"/>
      <c r="AA15" s="1349">
        <v>1</v>
      </c>
      <c r="AB15" s="1349">
        <v>1</v>
      </c>
      <c r="AC15" s="1349">
        <v>1</v>
      </c>
    </row>
    <row r="16" spans="1:29" ht="42.75">
      <c r="A16" s="379"/>
      <c r="B16" s="402" t="s">
        <v>1811</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61"/>
      <c r="Q16" s="1348" t="str">
        <f>B16</f>
        <v>公共配套设施</v>
      </c>
      <c r="R16" s="705" t="s">
        <v>14</v>
      </c>
      <c r="S16" s="706">
        <f>F16</f>
        <v>100</v>
      </c>
      <c r="T16" s="705" t="s">
        <v>14</v>
      </c>
      <c r="U16" s="706">
        <f>H16</f>
        <v>100</v>
      </c>
      <c r="V16" s="705" t="s">
        <v>14</v>
      </c>
      <c r="W16" s="706">
        <f>J16</f>
        <v>100</v>
      </c>
      <c r="X16" s="1351"/>
      <c r="Y16" s="3761"/>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61"/>
      <c r="Q17" s="1348"/>
      <c r="R17" s="705"/>
      <c r="S17" s="706"/>
      <c r="T17" s="705"/>
      <c r="U17" s="706"/>
      <c r="V17" s="705"/>
      <c r="W17" s="706"/>
      <c r="X17" s="1351"/>
      <c r="Y17" s="3761"/>
      <c r="Z17" s="1352"/>
      <c r="AA17" s="1349">
        <v>1</v>
      </c>
      <c r="AB17" s="1349">
        <v>1</v>
      </c>
      <c r="AC17" s="1349">
        <v>1</v>
      </c>
    </row>
    <row r="18" spans="1:29" ht="28.5">
      <c r="A18" s="379"/>
      <c r="B18" s="1127" t="s">
        <v>1812</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61"/>
      <c r="Q18" s="1348" t="str">
        <f>B18</f>
        <v>基础设施水平</v>
      </c>
      <c r="R18" s="705" t="s">
        <v>14</v>
      </c>
      <c r="S18" s="706">
        <f>F18</f>
        <v>100</v>
      </c>
      <c r="T18" s="705" t="s">
        <v>14</v>
      </c>
      <c r="U18" s="706">
        <f>H18</f>
        <v>100</v>
      </c>
      <c r="V18" s="705" t="s">
        <v>14</v>
      </c>
      <c r="W18" s="706">
        <f>J18</f>
        <v>100</v>
      </c>
      <c r="X18" s="1351"/>
      <c r="Y18" s="3761"/>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61"/>
      <c r="Q19" s="1348"/>
      <c r="R19" s="705"/>
      <c r="S19" s="706"/>
      <c r="T19" s="705"/>
      <c r="U19" s="706"/>
      <c r="V19" s="705"/>
      <c r="W19" s="706"/>
      <c r="X19" s="1351"/>
      <c r="Y19" s="3761"/>
      <c r="Z19" s="1352"/>
      <c r="AA19" s="1349">
        <v>1</v>
      </c>
      <c r="AB19" s="1349">
        <v>1</v>
      </c>
      <c r="AC19" s="1349">
        <v>1</v>
      </c>
    </row>
    <row r="20" spans="1:29" ht="57">
      <c r="A20" s="379"/>
      <c r="B20" s="402" t="s">
        <v>1833</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61"/>
      <c r="Q20" s="1348" t="str">
        <f>B20</f>
        <v>自然及人文环境</v>
      </c>
      <c r="R20" s="705" t="s">
        <v>14</v>
      </c>
      <c r="S20" s="706">
        <f>F20</f>
        <v>100</v>
      </c>
      <c r="T20" s="705" t="s">
        <v>14</v>
      </c>
      <c r="U20" s="706">
        <f>H20</f>
        <v>100</v>
      </c>
      <c r="V20" s="705" t="s">
        <v>14</v>
      </c>
      <c r="W20" s="706">
        <f>J20</f>
        <v>100</v>
      </c>
      <c r="X20" s="1351"/>
      <c r="Y20" s="3761"/>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61"/>
      <c r="Q21" s="1348"/>
      <c r="R21" s="705"/>
      <c r="S21" s="706"/>
      <c r="T21" s="705"/>
      <c r="U21" s="706"/>
      <c r="V21" s="705"/>
      <c r="W21" s="706"/>
      <c r="X21" s="1351"/>
      <c r="Y21" s="3761"/>
      <c r="Z21" s="1352"/>
      <c r="AA21" s="1349">
        <v>1</v>
      </c>
      <c r="AB21" s="1349">
        <v>1</v>
      </c>
      <c r="AC21" s="1349">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61"/>
      <c r="Q22" s="1348" t="str">
        <f>B22</f>
        <v>楼层</v>
      </c>
      <c r="R22" s="705" t="s">
        <v>14</v>
      </c>
      <c r="S22" s="706">
        <f>F22</f>
        <v>100</v>
      </c>
      <c r="T22" s="705" t="s">
        <v>14</v>
      </c>
      <c r="U22" s="706">
        <f>H22</f>
        <v>100</v>
      </c>
      <c r="V22" s="705" t="s">
        <v>14</v>
      </c>
      <c r="W22" s="706">
        <f>J22</f>
        <v>100</v>
      </c>
      <c r="X22" s="1351"/>
      <c r="Y22" s="3761"/>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61"/>
      <c r="Q23" s="1348">
        <f>B23</f>
        <v>111</v>
      </c>
      <c r="R23" s="705" t="s">
        <v>14</v>
      </c>
      <c r="S23" s="706">
        <f>F23</f>
        <v>100</v>
      </c>
      <c r="T23" s="705" t="s">
        <v>14</v>
      </c>
      <c r="U23" s="706">
        <f>H23</f>
        <v>100</v>
      </c>
      <c r="V23" s="705" t="s">
        <v>14</v>
      </c>
      <c r="W23" s="706">
        <f>J23</f>
        <v>100</v>
      </c>
      <c r="X23" s="1351"/>
      <c r="Y23" s="3761"/>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61"/>
      <c r="Q24" s="1348">
        <f t="shared" ref="Q24:Q34" si="11">B24</f>
        <v>111</v>
      </c>
      <c r="R24" s="705" t="s">
        <v>14</v>
      </c>
      <c r="S24" s="706">
        <f>F24</f>
        <v>100</v>
      </c>
      <c r="T24" s="705" t="s">
        <v>14</v>
      </c>
      <c r="U24" s="706">
        <f>H24</f>
        <v>100</v>
      </c>
      <c r="V24" s="705" t="s">
        <v>14</v>
      </c>
      <c r="W24" s="706">
        <f>J24</f>
        <v>100</v>
      </c>
      <c r="X24" s="1351"/>
      <c r="Y24" s="3761"/>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61"/>
      <c r="Q25" s="1339">
        <f t="shared" si="11"/>
        <v>111</v>
      </c>
      <c r="R25" s="701" t="s">
        <v>14</v>
      </c>
      <c r="S25" s="702">
        <f>F25</f>
        <v>100</v>
      </c>
      <c r="T25" s="701" t="s">
        <v>14</v>
      </c>
      <c r="U25" s="702">
        <f>H25</f>
        <v>100</v>
      </c>
      <c r="V25" s="701" t="s">
        <v>14</v>
      </c>
      <c r="W25" s="702">
        <f>J25</f>
        <v>100</v>
      </c>
      <c r="X25" s="703"/>
      <c r="Y25" s="3761"/>
      <c r="Z25" s="52">
        <f>Q25</f>
        <v>111</v>
      </c>
      <c r="AA25" s="1349">
        <f>D25/F25</f>
        <v>1</v>
      </c>
      <c r="AB25" s="1349">
        <f>D25/H25</f>
        <v>1</v>
      </c>
      <c r="AC25" s="1349">
        <f>D25/J25</f>
        <v>1</v>
      </c>
    </row>
    <row r="26" spans="1:29" ht="28.5">
      <c r="A26" s="417" t="s">
        <v>1693</v>
      </c>
      <c r="B26" s="63" t="s">
        <v>1837</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4" t="s">
        <v>1695</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65" t="s">
        <v>1695</v>
      </c>
      <c r="Z26" s="1352" t="str">
        <f t="shared" ref="Z26:Z34" si="15">Q26</f>
        <v>公共部分装修</v>
      </c>
      <c r="AA26" s="1349">
        <f t="shared" si="3"/>
        <v>1</v>
      </c>
      <c r="AB26" s="1349">
        <f t="shared" si="4"/>
        <v>1</v>
      </c>
      <c r="AC26" s="1349">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65"/>
      <c r="Q27" s="707" t="str">
        <f t="shared" si="11"/>
        <v>成新率</v>
      </c>
      <c r="R27" s="708" t="s">
        <v>14</v>
      </c>
      <c r="S27" s="709" t="e">
        <f t="shared" si="12"/>
        <v>#N/A</v>
      </c>
      <c r="T27" s="708" t="s">
        <v>14</v>
      </c>
      <c r="U27" s="709" t="e">
        <f t="shared" si="13"/>
        <v>#N/A</v>
      </c>
      <c r="V27" s="708" t="s">
        <v>14</v>
      </c>
      <c r="W27" s="709" t="e">
        <f t="shared" si="14"/>
        <v>#N/A</v>
      </c>
      <c r="X27" s="710"/>
      <c r="Y27" s="3765"/>
      <c r="Z27" s="711" t="str">
        <f t="shared" si="15"/>
        <v>成新率</v>
      </c>
      <c r="AA27" s="1349" t="e">
        <f t="shared" si="3"/>
        <v>#N/A</v>
      </c>
      <c r="AB27" s="1349" t="e">
        <f t="shared" si="4"/>
        <v>#N/A</v>
      </c>
      <c r="AC27" s="1349"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65"/>
      <c r="Q28" s="1348" t="str">
        <f t="shared" si="11"/>
        <v>物业等级</v>
      </c>
      <c r="R28" s="705" t="s">
        <v>14</v>
      </c>
      <c r="S28" s="706">
        <f t="shared" si="12"/>
        <v>100</v>
      </c>
      <c r="T28" s="705" t="s">
        <v>14</v>
      </c>
      <c r="U28" s="706">
        <f t="shared" si="13"/>
        <v>100</v>
      </c>
      <c r="V28" s="705" t="s">
        <v>14</v>
      </c>
      <c r="W28" s="706">
        <f t="shared" si="14"/>
        <v>100</v>
      </c>
      <c r="X28" s="1351"/>
      <c r="Y28" s="3765"/>
      <c r="Z28" s="1352" t="str">
        <f t="shared" si="15"/>
        <v>物业等级</v>
      </c>
      <c r="AA28" s="1349">
        <f t="shared" si="3"/>
        <v>1</v>
      </c>
      <c r="AB28" s="1349">
        <f t="shared" si="4"/>
        <v>1</v>
      </c>
      <c r="AC28" s="1349">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65"/>
      <c r="Q29" s="1348" t="str">
        <f t="shared" si="11"/>
        <v>有无电梯</v>
      </c>
      <c r="R29" s="705" t="s">
        <v>14</v>
      </c>
      <c r="S29" s="706">
        <f t="shared" si="12"/>
        <v>100</v>
      </c>
      <c r="T29" s="705" t="s">
        <v>14</v>
      </c>
      <c r="U29" s="706">
        <f t="shared" si="13"/>
        <v>100</v>
      </c>
      <c r="V29" s="705" t="s">
        <v>14</v>
      </c>
      <c r="W29" s="706">
        <f t="shared" si="14"/>
        <v>100</v>
      </c>
      <c r="X29" s="1351"/>
      <c r="Y29" s="3765"/>
      <c r="Z29" s="1352" t="str">
        <f t="shared" si="15"/>
        <v>有无电梯</v>
      </c>
      <c r="AA29" s="1349">
        <f t="shared" si="3"/>
        <v>1</v>
      </c>
      <c r="AB29" s="1349">
        <f t="shared" si="4"/>
        <v>1</v>
      </c>
      <c r="AC29" s="1349">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65"/>
      <c r="Q30" s="1348" t="str">
        <f t="shared" si="11"/>
        <v>建筑面积</v>
      </c>
      <c r="R30" s="705" t="s">
        <v>14</v>
      </c>
      <c r="S30" s="706" t="e">
        <f t="shared" si="12"/>
        <v>#N/A</v>
      </c>
      <c r="T30" s="705" t="s">
        <v>14</v>
      </c>
      <c r="U30" s="706" t="e">
        <f t="shared" si="13"/>
        <v>#N/A</v>
      </c>
      <c r="V30" s="705" t="s">
        <v>14</v>
      </c>
      <c r="W30" s="706" t="e">
        <f t="shared" si="14"/>
        <v>#N/A</v>
      </c>
      <c r="X30" s="1351"/>
      <c r="Y30" s="3765"/>
      <c r="Z30" s="1352" t="str">
        <f t="shared" si="15"/>
        <v>建筑面积</v>
      </c>
      <c r="AA30" s="1349" t="e">
        <f t="shared" si="3"/>
        <v>#N/A</v>
      </c>
      <c r="AB30" s="1349" t="e">
        <f t="shared" si="4"/>
        <v>#N/A</v>
      </c>
      <c r="AC30" s="1349"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65"/>
      <c r="Q31" s="1339" t="str">
        <f t="shared" si="11"/>
        <v>是否封闭</v>
      </c>
      <c r="R31" s="701" t="s">
        <v>14</v>
      </c>
      <c r="S31" s="702">
        <f t="shared" si="12"/>
        <v>100</v>
      </c>
      <c r="T31" s="701" t="s">
        <v>14</v>
      </c>
      <c r="U31" s="702">
        <f t="shared" si="13"/>
        <v>100</v>
      </c>
      <c r="V31" s="701" t="s">
        <v>14</v>
      </c>
      <c r="W31" s="702">
        <f t="shared" si="14"/>
        <v>100</v>
      </c>
      <c r="X31" s="703"/>
      <c r="Y31" s="3765"/>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65" t="s">
        <v>1695</v>
      </c>
      <c r="Q32" s="1348">
        <f t="shared" si="11"/>
        <v>111</v>
      </c>
      <c r="R32" s="705" t="s">
        <v>14</v>
      </c>
      <c r="S32" s="706">
        <f t="shared" si="12"/>
        <v>100</v>
      </c>
      <c r="T32" s="705" t="s">
        <v>14</v>
      </c>
      <c r="U32" s="706">
        <f t="shared" si="13"/>
        <v>100</v>
      </c>
      <c r="V32" s="705" t="s">
        <v>14</v>
      </c>
      <c r="W32" s="706">
        <f t="shared" si="14"/>
        <v>100</v>
      </c>
      <c r="X32" s="1351"/>
      <c r="Y32" s="3765" t="s">
        <v>1695</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65"/>
      <c r="Q33" s="1348">
        <f t="shared" si="11"/>
        <v>111</v>
      </c>
      <c r="R33" s="705" t="s">
        <v>14</v>
      </c>
      <c r="S33" s="706">
        <f t="shared" si="12"/>
        <v>100</v>
      </c>
      <c r="T33" s="705" t="s">
        <v>14</v>
      </c>
      <c r="U33" s="706">
        <f t="shared" si="13"/>
        <v>100</v>
      </c>
      <c r="V33" s="705" t="s">
        <v>14</v>
      </c>
      <c r="W33" s="706">
        <f t="shared" si="14"/>
        <v>100</v>
      </c>
      <c r="X33" s="1351"/>
      <c r="Y33" s="3765"/>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65"/>
      <c r="Q34" s="1348">
        <f t="shared" si="11"/>
        <v>111</v>
      </c>
      <c r="R34" s="705" t="s">
        <v>14</v>
      </c>
      <c r="S34" s="706">
        <f t="shared" si="12"/>
        <v>100</v>
      </c>
      <c r="T34" s="705" t="s">
        <v>14</v>
      </c>
      <c r="U34" s="706">
        <f t="shared" si="13"/>
        <v>100</v>
      </c>
      <c r="V34" s="705" t="s">
        <v>14</v>
      </c>
      <c r="W34" s="706">
        <f t="shared" si="14"/>
        <v>100</v>
      </c>
      <c r="X34" s="1351"/>
      <c r="Y34" s="3765"/>
      <c r="Z34" s="1352">
        <f t="shared" si="15"/>
        <v>111</v>
      </c>
      <c r="AA34" s="1349">
        <f t="shared" si="3"/>
        <v>1</v>
      </c>
      <c r="AB34" s="1349">
        <f t="shared" si="4"/>
        <v>1</v>
      </c>
      <c r="AC34" s="1349">
        <f t="shared" si="5"/>
        <v>1</v>
      </c>
    </row>
    <row r="35" spans="1:30" ht="15">
      <c r="A35" s="430" t="s">
        <v>1707</v>
      </c>
      <c r="B35" s="431"/>
      <c r="C35" s="1150" t="s">
        <v>0</v>
      </c>
      <c r="D35" s="1151"/>
      <c r="E35" s="1152"/>
      <c r="F35" s="1153"/>
      <c r="G35" s="1154"/>
      <c r="H35" s="1155"/>
      <c r="I35" s="1152"/>
      <c r="J35" s="1155"/>
      <c r="K35" s="714"/>
      <c r="L35" s="2720"/>
      <c r="M35" s="2721"/>
      <c r="N35" s="2712"/>
      <c r="O35" s="2721"/>
      <c r="P35" s="3758" t="str">
        <f>A35</f>
        <v>成交单价（元/平方米）</v>
      </c>
      <c r="Q35" s="3758"/>
      <c r="R35" s="3759">
        <f>E35</f>
        <v>0</v>
      </c>
      <c r="S35" s="3759"/>
      <c r="T35" s="3759">
        <f>G35</f>
        <v>0</v>
      </c>
      <c r="U35" s="3759"/>
      <c r="V35" s="3759">
        <f>I35</f>
        <v>0</v>
      </c>
      <c r="W35" s="3759"/>
      <c r="X35" s="690"/>
      <c r="Y35" s="712"/>
      <c r="Z35" s="690"/>
      <c r="AA35" s="690"/>
      <c r="AB35" s="690"/>
      <c r="AC35" s="690"/>
    </row>
    <row r="36" spans="1:30" ht="15.75" thickBot="1">
      <c r="A36" s="437" t="s">
        <v>1792</v>
      </c>
      <c r="B36" s="438"/>
      <c r="C36" s="1156" t="e">
        <f>R37</f>
        <v>#DIV/0!</v>
      </c>
      <c r="D36" s="2313" t="s">
        <v>2137</v>
      </c>
      <c r="E36" s="1157" t="e">
        <f>R36</f>
        <v>#DIV/0!</v>
      </c>
      <c r="F36" s="2314"/>
      <c r="G36" s="1156" t="e">
        <f>T36</f>
        <v>#DIV/0!</v>
      </c>
      <c r="H36" s="2314"/>
      <c r="I36" s="1157" t="e">
        <f>V36</f>
        <v>#DIV/0!</v>
      </c>
      <c r="J36" s="2314"/>
      <c r="K36" s="2316">
        <f>F36+H36+J36</f>
        <v>0</v>
      </c>
      <c r="L36" s="2720"/>
      <c r="M36" s="2721"/>
      <c r="N36" s="2712"/>
      <c r="O36" s="2721"/>
      <c r="P36" s="3758" t="str">
        <f>A36</f>
        <v>比较价值（元/平方米）</v>
      </c>
      <c r="Q36" s="3758"/>
      <c r="R36" s="3759" t="e">
        <f>IF(F1="售价",ROUND(PRODUCT(R35,AA7:AA34),0),ROUND(PRODUCT(R35,AA7:AA34),1))</f>
        <v>#DIV/0!</v>
      </c>
      <c r="S36" s="3759"/>
      <c r="T36" s="3759" t="e">
        <f>IF(F1="售价",ROUND(PRODUCT(T35,AB7:AB34),0),ROUND(PRODUCT(T35,AB7:AB34),1))</f>
        <v>#DIV/0!</v>
      </c>
      <c r="U36" s="3759"/>
      <c r="V36" s="3759" t="e">
        <f>IF(F1="售价",ROUND(PRODUCT(V35,AC7:AC34),0),ROUND(PRODUCT(V35,AC7:AC34),1))</f>
        <v>#DIV/0!</v>
      </c>
      <c r="W36" s="3759"/>
      <c r="X36" s="690"/>
      <c r="Y36" s="690"/>
      <c r="Z36" s="690"/>
      <c r="AA36" s="690"/>
      <c r="AB36" s="690"/>
      <c r="AC36" s="690"/>
    </row>
    <row r="37" spans="1:30" ht="15.75" thickBot="1">
      <c r="A37" s="441" t="s">
        <v>1793</v>
      </c>
      <c r="B37" s="442"/>
      <c r="C37" s="1159" t="e">
        <f>R37</f>
        <v>#DIV/0!</v>
      </c>
      <c r="D37" s="1159"/>
      <c r="E37" s="1159"/>
      <c r="F37" s="1159"/>
      <c r="G37" s="1159"/>
      <c r="H37" s="1159"/>
      <c r="I37" s="1159"/>
      <c r="J37" s="1159"/>
      <c r="K37" s="715"/>
      <c r="L37" s="2720"/>
      <c r="M37" s="2721"/>
      <c r="N37" s="2721"/>
      <c r="O37" s="2721"/>
      <c r="P37" s="3755" t="str">
        <f>A37</f>
        <v>估价对象XX用房的比较价值（楼面单价，元/平方米）</v>
      </c>
      <c r="Q37" s="3756"/>
      <c r="R37" s="3785" t="e">
        <f>IF(F1="售价",ROUND(IF(D36="简单平均",AVERAGE(R36:W36),R36*F36+T36*H36+V36*J36),0),ROUND(IF(D36="简单平均",AVERAGE(R36:V36),R36*F36+T36*H36+V36*J36),1))</f>
        <v>#DIV/0!</v>
      </c>
      <c r="S37" s="3785"/>
      <c r="T37" s="3785"/>
      <c r="U37" s="3785"/>
      <c r="V37" s="3785"/>
      <c r="W37" s="378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1797</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0" t="str">
        <f>YEAR(C7)&amp;"-"&amp;MONTH(C7)</f>
        <v>2023-8</v>
      </c>
      <c r="D46" s="1181">
        <f>EDATE(C46,-1)</f>
        <v>45108</v>
      </c>
      <c r="E46" s="1181">
        <f t="shared" ref="E46:O46" si="16">EDATE(D46,-1)</f>
        <v>45078</v>
      </c>
      <c r="F46" s="1181">
        <f t="shared" si="16"/>
        <v>45047</v>
      </c>
      <c r="G46" s="1181">
        <f t="shared" si="16"/>
        <v>45017</v>
      </c>
      <c r="H46" s="1181">
        <f t="shared" si="16"/>
        <v>44986</v>
      </c>
      <c r="I46" s="1181">
        <f t="shared" si="16"/>
        <v>44958</v>
      </c>
      <c r="J46" s="1181">
        <f t="shared" si="16"/>
        <v>44927</v>
      </c>
      <c r="K46" s="1181">
        <f t="shared" si="16"/>
        <v>44896</v>
      </c>
      <c r="L46" s="1181">
        <f t="shared" si="16"/>
        <v>44866</v>
      </c>
      <c r="M46" s="1181">
        <f t="shared" si="16"/>
        <v>44835</v>
      </c>
      <c r="N46" s="1181">
        <f t="shared" si="16"/>
        <v>44805</v>
      </c>
      <c r="O46" s="1181">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28" t="s">
        <v>1770</v>
      </c>
      <c r="S4" s="3729"/>
      <c r="T4" s="3728" t="s">
        <v>1771</v>
      </c>
      <c r="U4" s="3729"/>
      <c r="V4" s="3753" t="s">
        <v>1772</v>
      </c>
      <c r="W4" s="3753"/>
      <c r="X4" s="1351"/>
      <c r="Y4" s="3728" t="s">
        <v>1774</v>
      </c>
      <c r="Z4" s="3729"/>
      <c r="AA4" s="3723" t="s">
        <v>1770</v>
      </c>
      <c r="AB4" s="3724" t="s">
        <v>1771</v>
      </c>
      <c r="AC4" s="3723" t="s">
        <v>1772</v>
      </c>
    </row>
    <row r="5" spans="1:30" ht="15">
      <c r="A5" s="358"/>
      <c r="B5" s="359"/>
      <c r="C5" s="3734" t="s">
        <v>1672</v>
      </c>
      <c r="D5" s="3735"/>
      <c r="E5" s="3732" t="s">
        <v>1673</v>
      </c>
      <c r="F5" s="3733"/>
      <c r="G5" s="3734" t="s">
        <v>1674</v>
      </c>
      <c r="H5" s="3735"/>
      <c r="I5" s="3734" t="s">
        <v>1675</v>
      </c>
      <c r="J5" s="3735"/>
      <c r="K5" s="559"/>
      <c r="L5" s="2711"/>
      <c r="M5" s="2712"/>
      <c r="N5" s="2712"/>
      <c r="O5" s="2712"/>
      <c r="P5" s="3747"/>
      <c r="Q5" s="3748"/>
      <c r="R5" s="3730"/>
      <c r="S5" s="3731"/>
      <c r="T5" s="3730"/>
      <c r="U5" s="3731"/>
      <c r="V5" s="3753"/>
      <c r="W5" s="3753"/>
      <c r="X5" s="1351"/>
      <c r="Y5" s="3730"/>
      <c r="Z5" s="3731"/>
      <c r="AA5" s="3724"/>
      <c r="AB5" s="3724"/>
      <c r="AC5" s="3724"/>
    </row>
    <row r="6" spans="1:30" ht="15.75" thickBot="1">
      <c r="A6" s="360"/>
      <c r="B6" s="361"/>
      <c r="C6" s="3736" t="s">
        <v>1676</v>
      </c>
      <c r="D6" s="3737"/>
      <c r="E6" s="3738" t="s">
        <v>1676</v>
      </c>
      <c r="F6" s="3739"/>
      <c r="G6" s="3736" t="s">
        <v>1676</v>
      </c>
      <c r="H6" s="3737"/>
      <c r="I6" s="3736" t="s">
        <v>1676</v>
      </c>
      <c r="J6" s="3737"/>
      <c r="K6" s="559" t="s">
        <v>1677</v>
      </c>
      <c r="L6" s="2711"/>
      <c r="M6" s="2712"/>
      <c r="N6" s="2712"/>
      <c r="O6" s="2712"/>
      <c r="P6" s="3749"/>
      <c r="Q6" s="3750"/>
      <c r="R6" s="3730"/>
      <c r="S6" s="3731"/>
      <c r="T6" s="3751"/>
      <c r="U6" s="3752"/>
      <c r="V6" s="3753"/>
      <c r="W6" s="3753"/>
      <c r="X6" s="1351"/>
      <c r="Y6" s="3751"/>
      <c r="Z6" s="3752"/>
      <c r="AA6" s="3725"/>
      <c r="AB6" s="3725"/>
      <c r="AC6" s="3725"/>
    </row>
    <row r="7" spans="1:30" s="108" customFormat="1" ht="15.75" thickBot="1">
      <c r="A7" s="362" t="s">
        <v>1678</v>
      </c>
      <c r="B7" s="363"/>
      <c r="C7" s="364">
        <f>'数据-取费表'!B2</f>
        <v>45147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26" t="s">
        <v>1679</v>
      </c>
      <c r="Q7" s="3754"/>
      <c r="R7" s="701" t="s">
        <v>14</v>
      </c>
      <c r="S7" s="702">
        <f t="shared" ref="S7:S15" si="0">F7</f>
        <v>0</v>
      </c>
      <c r="T7" s="701" t="s">
        <v>14</v>
      </c>
      <c r="U7" s="702">
        <f t="shared" ref="U7:U15" si="1">H7</f>
        <v>0</v>
      </c>
      <c r="V7" s="701" t="s">
        <v>14</v>
      </c>
      <c r="W7" s="702">
        <f t="shared" ref="W7:W15" si="2">J7</f>
        <v>0</v>
      </c>
      <c r="X7" s="703"/>
      <c r="Y7" s="3726" t="s">
        <v>1679</v>
      </c>
      <c r="Z7" s="3727"/>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6" t="s">
        <v>1682</v>
      </c>
      <c r="Q8" s="3727"/>
      <c r="R8" s="701" t="s">
        <v>14</v>
      </c>
      <c r="S8" s="702">
        <f t="shared" si="0"/>
        <v>0</v>
      </c>
      <c r="T8" s="701" t="s">
        <v>14</v>
      </c>
      <c r="U8" s="702">
        <f t="shared" si="1"/>
        <v>0</v>
      </c>
      <c r="V8" s="701" t="s">
        <v>14</v>
      </c>
      <c r="W8" s="702">
        <f t="shared" si="2"/>
        <v>0</v>
      </c>
      <c r="X8" s="703"/>
      <c r="Y8" s="3726" t="s">
        <v>1682</v>
      </c>
      <c r="Z8" s="3727"/>
      <c r="AA8" s="704" t="e">
        <f t="shared" ref="AA8:AA45" si="3">D8/F8</f>
        <v>#DIV/0!</v>
      </c>
      <c r="AB8" s="704" t="e">
        <f t="shared" ref="AB8:AB45" si="4">D8/H8</f>
        <v>#DIV/0!</v>
      </c>
      <c r="AC8" s="704" t="e">
        <f t="shared" ref="AC8:AC45" si="5">D8/J8</f>
        <v>#DIV/0!</v>
      </c>
    </row>
    <row r="9" spans="1:30" s="108" customFormat="1">
      <c r="A9" s="369" t="s">
        <v>1683</v>
      </c>
      <c r="B9" s="63" t="s">
        <v>1684</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8" t="s">
        <v>1685</v>
      </c>
      <c r="Q9" s="1339"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114</v>
      </c>
      <c r="G10" s="414"/>
      <c r="H10" s="127">
        <f>ROUND(100/'数据-取费表'!G16,0)</f>
        <v>114</v>
      </c>
      <c r="I10" s="414"/>
      <c r="J10" s="127">
        <f>ROUND(100/'数据-取费表'!G16,0)</f>
        <v>114</v>
      </c>
      <c r="K10" s="620"/>
      <c r="L10" s="2715"/>
      <c r="M10" s="2716"/>
      <c r="N10" s="2716"/>
      <c r="O10" s="2769"/>
      <c r="P10" s="3758"/>
      <c r="Q10" s="1339" t="str">
        <f t="shared" si="6"/>
        <v>土地使用年限（年）</v>
      </c>
      <c r="R10" s="701" t="s">
        <v>14</v>
      </c>
      <c r="S10" s="702">
        <f t="shared" si="0"/>
        <v>114</v>
      </c>
      <c r="T10" s="701" t="s">
        <v>14</v>
      </c>
      <c r="U10" s="702">
        <f t="shared" si="1"/>
        <v>114</v>
      </c>
      <c r="V10" s="701" t="s">
        <v>14</v>
      </c>
      <c r="W10" s="702">
        <f t="shared" si="2"/>
        <v>114</v>
      </c>
      <c r="X10" s="703"/>
      <c r="Y10" s="3651"/>
      <c r="Z10" s="52" t="str">
        <f t="shared" si="7"/>
        <v>土地使用年限（年）</v>
      </c>
      <c r="AA10" s="704">
        <f t="shared" si="3"/>
        <v>0.8771929824561403</v>
      </c>
      <c r="AB10" s="704">
        <f t="shared" si="4"/>
        <v>0.8771929824561403</v>
      </c>
      <c r="AC10" s="704">
        <f t="shared" si="5"/>
        <v>0.8771929824561403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58"/>
      <c r="Q11" s="1339"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30" s="108" customFormat="1" ht="15">
      <c r="A12" s="382"/>
      <c r="B12" s="1889" t="s">
        <v>1869</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58"/>
      <c r="Q12" s="1339" t="str">
        <f t="shared" si="6"/>
        <v>配建</v>
      </c>
      <c r="R12" s="701" t="s">
        <v>14</v>
      </c>
      <c r="S12" s="702">
        <f t="shared" si="0"/>
        <v>100</v>
      </c>
      <c r="T12" s="701" t="s">
        <v>14</v>
      </c>
      <c r="U12" s="702">
        <f t="shared" si="1"/>
        <v>100</v>
      </c>
      <c r="V12" s="701" t="s">
        <v>14</v>
      </c>
      <c r="W12" s="702">
        <f t="shared" si="2"/>
        <v>100</v>
      </c>
      <c r="X12" s="703"/>
      <c r="Y12" s="3651"/>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58"/>
      <c r="Q13" s="1339">
        <f t="shared" si="6"/>
        <v>111</v>
      </c>
      <c r="R13" s="701" t="s">
        <v>14</v>
      </c>
      <c r="S13" s="702">
        <f t="shared" si="0"/>
        <v>100</v>
      </c>
      <c r="T13" s="701" t="s">
        <v>14</v>
      </c>
      <c r="U13" s="702">
        <f t="shared" si="1"/>
        <v>100</v>
      </c>
      <c r="V13" s="701" t="s">
        <v>14</v>
      </c>
      <c r="W13" s="702">
        <f t="shared" si="2"/>
        <v>100</v>
      </c>
      <c r="X13" s="703"/>
      <c r="Y13" s="3651"/>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58"/>
      <c r="Q14" s="1339">
        <f t="shared" si="6"/>
        <v>111</v>
      </c>
      <c r="R14" s="701" t="s">
        <v>14</v>
      </c>
      <c r="S14" s="702">
        <f t="shared" si="0"/>
        <v>100</v>
      </c>
      <c r="T14" s="701" t="s">
        <v>14</v>
      </c>
      <c r="U14" s="702">
        <f t="shared" si="1"/>
        <v>100</v>
      </c>
      <c r="V14" s="701" t="s">
        <v>14</v>
      </c>
      <c r="W14" s="702">
        <f t="shared" si="2"/>
        <v>100</v>
      </c>
      <c r="X14" s="703"/>
      <c r="Y14" s="3651"/>
      <c r="Z14" s="52">
        <f t="shared" si="7"/>
        <v>111</v>
      </c>
      <c r="AA14" s="704">
        <f>D14/F14</f>
        <v>1</v>
      </c>
      <c r="AB14" s="704">
        <f>D14/H14</f>
        <v>1</v>
      </c>
      <c r="AC14" s="704">
        <f>D14/J14</f>
        <v>1</v>
      </c>
    </row>
    <row r="15" spans="1:30" ht="99.75">
      <c r="A15" s="391" t="s">
        <v>1689</v>
      </c>
      <c r="B15" s="61" t="s">
        <v>1256</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60" t="s">
        <v>1690</v>
      </c>
      <c r="Q15" s="1348" t="str">
        <f t="shared" si="6"/>
        <v>居住社区成熟度</v>
      </c>
      <c r="R15" s="705" t="s">
        <v>14</v>
      </c>
      <c r="S15" s="706">
        <f t="shared" si="0"/>
        <v>100</v>
      </c>
      <c r="T15" s="705" t="s">
        <v>14</v>
      </c>
      <c r="U15" s="706">
        <f t="shared" si="1"/>
        <v>100</v>
      </c>
      <c r="V15" s="705" t="s">
        <v>14</v>
      </c>
      <c r="W15" s="706">
        <f t="shared" si="2"/>
        <v>100</v>
      </c>
      <c r="X15" s="1351"/>
      <c r="Y15" s="3760" t="s">
        <v>1690</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61"/>
      <c r="Q16" s="1348"/>
      <c r="R16" s="705"/>
      <c r="S16" s="706"/>
      <c r="T16" s="705"/>
      <c r="U16" s="706"/>
      <c r="V16" s="705"/>
      <c r="W16" s="706"/>
      <c r="X16" s="1351"/>
      <c r="Y16" s="3761"/>
      <c r="Z16" s="1352"/>
      <c r="AA16" s="1349">
        <v>1</v>
      </c>
      <c r="AB16" s="1349">
        <v>1</v>
      </c>
      <c r="AC16" s="1349">
        <v>1</v>
      </c>
    </row>
    <row r="17" spans="1:29" ht="71.25">
      <c r="A17" s="379"/>
      <c r="B17" s="402" t="s">
        <v>1776</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61"/>
      <c r="Q17" s="1348" t="str">
        <f>B17</f>
        <v>商业繁华度</v>
      </c>
      <c r="R17" s="705" t="s">
        <v>14</v>
      </c>
      <c r="S17" s="706">
        <f>F17</f>
        <v>100</v>
      </c>
      <c r="T17" s="705" t="s">
        <v>14</v>
      </c>
      <c r="U17" s="706">
        <f>H17</f>
        <v>100</v>
      </c>
      <c r="V17" s="705" t="s">
        <v>14</v>
      </c>
      <c r="W17" s="706">
        <f>J17</f>
        <v>100</v>
      </c>
      <c r="X17" s="1351"/>
      <c r="Y17" s="3761"/>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61"/>
      <c r="Q18" s="1348"/>
      <c r="R18" s="705"/>
      <c r="S18" s="706"/>
      <c r="T18" s="705"/>
      <c r="U18" s="706"/>
      <c r="V18" s="705"/>
      <c r="W18" s="706"/>
      <c r="X18" s="1351"/>
      <c r="Y18" s="3761"/>
      <c r="Z18" s="1352"/>
      <c r="AA18" s="1349">
        <v>1</v>
      </c>
      <c r="AB18" s="1349">
        <v>1</v>
      </c>
      <c r="AC18" s="1349">
        <v>1</v>
      </c>
    </row>
    <row r="19" spans="1:29" ht="71.25">
      <c r="A19" s="379"/>
      <c r="B19" s="402" t="s">
        <v>1810</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61"/>
      <c r="Q19" s="1348" t="str">
        <f>B19</f>
        <v>办公集聚程度</v>
      </c>
      <c r="R19" s="705" t="s">
        <v>14</v>
      </c>
      <c r="S19" s="706">
        <f>F19</f>
        <v>100</v>
      </c>
      <c r="T19" s="705" t="s">
        <v>14</v>
      </c>
      <c r="U19" s="706">
        <f>H19</f>
        <v>100</v>
      </c>
      <c r="V19" s="705" t="s">
        <v>14</v>
      </c>
      <c r="W19" s="706">
        <f>J19</f>
        <v>100</v>
      </c>
      <c r="X19" s="1351"/>
      <c r="Y19" s="3761"/>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61"/>
      <c r="Q20" s="1348"/>
      <c r="R20" s="705"/>
      <c r="S20" s="706"/>
      <c r="T20" s="705"/>
      <c r="U20" s="706"/>
      <c r="V20" s="705"/>
      <c r="W20" s="706"/>
      <c r="X20" s="1351"/>
      <c r="Y20" s="3761"/>
      <c r="Z20" s="1352"/>
      <c r="AA20" s="1349">
        <v>1</v>
      </c>
      <c r="AB20" s="1349">
        <v>1</v>
      </c>
      <c r="AC20" s="1349">
        <v>1</v>
      </c>
    </row>
    <row r="21" spans="1:29" ht="85.5">
      <c r="A21" s="379"/>
      <c r="B21" s="402" t="s">
        <v>1832</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61"/>
      <c r="Q21" s="1348" t="str">
        <f>B21</f>
        <v>交通便捷度</v>
      </c>
      <c r="R21" s="705" t="s">
        <v>14</v>
      </c>
      <c r="S21" s="706">
        <f>F21</f>
        <v>100</v>
      </c>
      <c r="T21" s="705" t="s">
        <v>14</v>
      </c>
      <c r="U21" s="706">
        <f>H21</f>
        <v>100</v>
      </c>
      <c r="V21" s="705" t="s">
        <v>14</v>
      </c>
      <c r="W21" s="706">
        <f>J21</f>
        <v>100</v>
      </c>
      <c r="X21" s="1351"/>
      <c r="Y21" s="3761"/>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761"/>
      <c r="Q22" s="1348"/>
      <c r="R22" s="705"/>
      <c r="S22" s="706"/>
      <c r="T22" s="705"/>
      <c r="U22" s="706"/>
      <c r="V22" s="705"/>
      <c r="W22" s="706"/>
      <c r="X22" s="1351"/>
      <c r="Y22" s="3761"/>
      <c r="Z22" s="1352"/>
      <c r="AA22" s="1349">
        <v>1</v>
      </c>
      <c r="AB22" s="1349">
        <v>1</v>
      </c>
      <c r="AC22" s="1349">
        <v>1</v>
      </c>
    </row>
    <row r="23" spans="1:29" ht="15">
      <c r="A23" s="358"/>
      <c r="B23" s="402" t="s">
        <v>1870</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61"/>
      <c r="Q23" s="1348" t="str">
        <f t="shared" ref="Q23:Q37" si="8">B23</f>
        <v>区域土地利用方向</v>
      </c>
      <c r="R23" s="705" t="s">
        <v>14</v>
      </c>
      <c r="S23" s="706">
        <f>F23</f>
        <v>100</v>
      </c>
      <c r="T23" s="705" t="s">
        <v>14</v>
      </c>
      <c r="U23" s="706">
        <f>H23</f>
        <v>100</v>
      </c>
      <c r="V23" s="705" t="s">
        <v>14</v>
      </c>
      <c r="W23" s="706">
        <f>J23</f>
        <v>100</v>
      </c>
      <c r="X23" s="1351"/>
      <c r="Y23" s="3761"/>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61"/>
      <c r="Q24" s="1348"/>
      <c r="R24" s="705"/>
      <c r="S24" s="706"/>
      <c r="T24" s="705"/>
      <c r="U24" s="706"/>
      <c r="V24" s="705"/>
      <c r="W24" s="706"/>
      <c r="X24" s="1351"/>
      <c r="Y24" s="3761"/>
      <c r="Z24" s="1352"/>
      <c r="AA24" s="1349"/>
      <c r="AB24" s="1349"/>
      <c r="AC24" s="1349"/>
    </row>
    <row r="25" spans="1:29" ht="57">
      <c r="A25" s="358"/>
      <c r="B25" s="1127" t="s">
        <v>1871</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61"/>
      <c r="Q25" s="1348" t="str">
        <f t="shared" si="8"/>
        <v>自然及人文环境状况</v>
      </c>
      <c r="R25" s="705" t="s">
        <v>14</v>
      </c>
      <c r="S25" s="706">
        <f>F25</f>
        <v>100</v>
      </c>
      <c r="T25" s="705" t="s">
        <v>14</v>
      </c>
      <c r="U25" s="706">
        <f>H25</f>
        <v>100</v>
      </c>
      <c r="V25" s="705" t="s">
        <v>14</v>
      </c>
      <c r="W25" s="706">
        <f>J25</f>
        <v>100</v>
      </c>
      <c r="X25" s="1351"/>
      <c r="Y25" s="3761"/>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61"/>
      <c r="Q26" s="1348"/>
      <c r="R26" s="705"/>
      <c r="S26" s="706"/>
      <c r="T26" s="705"/>
      <c r="U26" s="706"/>
      <c r="V26" s="705"/>
      <c r="W26" s="706"/>
      <c r="X26" s="1351"/>
      <c r="Y26" s="3761"/>
      <c r="Z26" s="1352"/>
      <c r="AA26" s="1349">
        <v>1</v>
      </c>
      <c r="AB26" s="1349">
        <v>1</v>
      </c>
      <c r="AC26" s="1349">
        <v>1</v>
      </c>
    </row>
    <row r="27" spans="1:29" s="108" customFormat="1" ht="42.75">
      <c r="A27" s="597"/>
      <c r="B27" s="1127" t="s">
        <v>1777</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61"/>
      <c r="Q27" s="1339" t="str">
        <f t="shared" si="8"/>
        <v>公共配套设施</v>
      </c>
      <c r="R27" s="701" t="s">
        <v>14</v>
      </c>
      <c r="S27" s="702">
        <f>F27</f>
        <v>100</v>
      </c>
      <c r="T27" s="701" t="s">
        <v>14</v>
      </c>
      <c r="U27" s="702">
        <f>H27</f>
        <v>100</v>
      </c>
      <c r="V27" s="701" t="s">
        <v>14</v>
      </c>
      <c r="W27" s="702">
        <f>J27</f>
        <v>100</v>
      </c>
      <c r="X27" s="703"/>
      <c r="Y27" s="3761"/>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61"/>
      <c r="Q28" s="1339"/>
      <c r="R28" s="701"/>
      <c r="S28" s="702"/>
      <c r="T28" s="701"/>
      <c r="U28" s="702"/>
      <c r="V28" s="701"/>
      <c r="W28" s="702"/>
      <c r="X28" s="703"/>
      <c r="Y28" s="3761"/>
      <c r="Z28" s="52"/>
      <c r="AA28" s="1349">
        <v>1</v>
      </c>
      <c r="AB28" s="1349">
        <v>1</v>
      </c>
      <c r="AC28" s="1349">
        <v>1</v>
      </c>
    </row>
    <row r="29" spans="1:29" s="108" customFormat="1" ht="28.5">
      <c r="A29" s="597"/>
      <c r="B29" s="1127" t="s">
        <v>1778</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61"/>
      <c r="Q29" s="1339" t="str">
        <f t="shared" ref="Q29" si="9">B29</f>
        <v>基础设施水平</v>
      </c>
      <c r="R29" s="701" t="s">
        <v>14</v>
      </c>
      <c r="S29" s="702">
        <f>F29</f>
        <v>100</v>
      </c>
      <c r="T29" s="701" t="s">
        <v>14</v>
      </c>
      <c r="U29" s="702">
        <f>H29</f>
        <v>100</v>
      </c>
      <c r="V29" s="701" t="s">
        <v>14</v>
      </c>
      <c r="W29" s="702">
        <f>J29</f>
        <v>100</v>
      </c>
      <c r="X29" s="703"/>
      <c r="Y29" s="3761"/>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61"/>
      <c r="Q30" s="1339"/>
      <c r="R30" s="701"/>
      <c r="S30" s="702"/>
      <c r="T30" s="701"/>
      <c r="U30" s="702"/>
      <c r="V30" s="701"/>
      <c r="W30" s="702"/>
      <c r="X30" s="703"/>
      <c r="Y30" s="3761"/>
      <c r="Z30" s="52"/>
      <c r="AA30" s="1349">
        <v>1</v>
      </c>
      <c r="AB30" s="1349">
        <v>1</v>
      </c>
      <c r="AC30" s="1349">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61"/>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61"/>
      <c r="Z31" s="1352" t="str">
        <f t="shared" ref="Z31:Z45" si="13">Q31</f>
        <v>临街状况</v>
      </c>
      <c r="AA31" s="1349">
        <f t="shared" si="3"/>
        <v>1</v>
      </c>
      <c r="AB31" s="1349">
        <f t="shared" si="4"/>
        <v>1</v>
      </c>
      <c r="AC31" s="1349">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61"/>
      <c r="Q32" s="1348" t="str">
        <f t="shared" si="8"/>
        <v>毗邻道路的类型与等级</v>
      </c>
      <c r="R32" s="705" t="s">
        <v>14</v>
      </c>
      <c r="S32" s="706">
        <f t="shared" si="10"/>
        <v>100</v>
      </c>
      <c r="T32" s="705" t="s">
        <v>14</v>
      </c>
      <c r="U32" s="706">
        <f t="shared" si="11"/>
        <v>100</v>
      </c>
      <c r="V32" s="705" t="s">
        <v>14</v>
      </c>
      <c r="W32" s="706">
        <f t="shared" si="12"/>
        <v>100</v>
      </c>
      <c r="X32" s="1351"/>
      <c r="Y32" s="3761"/>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61"/>
      <c r="Q33" s="1348"/>
      <c r="R33" s="705"/>
      <c r="S33" s="706"/>
      <c r="T33" s="705"/>
      <c r="U33" s="706"/>
      <c r="V33" s="705"/>
      <c r="W33" s="706"/>
      <c r="X33" s="1351"/>
      <c r="Y33" s="3761"/>
      <c r="Z33" s="1352"/>
      <c r="AA33" s="1349">
        <v>1</v>
      </c>
      <c r="AB33" s="1349">
        <v>1</v>
      </c>
      <c r="AC33" s="1349">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61"/>
      <c r="Q34" s="1348" t="str">
        <f t="shared" si="8"/>
        <v>土地级别</v>
      </c>
      <c r="R34" s="705" t="s">
        <v>14</v>
      </c>
      <c r="S34" s="706">
        <f t="shared" si="10"/>
        <v>100</v>
      </c>
      <c r="T34" s="705" t="s">
        <v>14</v>
      </c>
      <c r="U34" s="706">
        <f t="shared" si="11"/>
        <v>100</v>
      </c>
      <c r="V34" s="705" t="s">
        <v>14</v>
      </c>
      <c r="W34" s="706">
        <f t="shared" si="12"/>
        <v>100</v>
      </c>
      <c r="X34" s="1351"/>
      <c r="Y34" s="3761"/>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61"/>
      <c r="Q35" s="1348">
        <f t="shared" si="8"/>
        <v>111</v>
      </c>
      <c r="R35" s="705" t="s">
        <v>14</v>
      </c>
      <c r="S35" s="706">
        <f t="shared" si="10"/>
        <v>100</v>
      </c>
      <c r="T35" s="705" t="s">
        <v>14</v>
      </c>
      <c r="U35" s="706">
        <f t="shared" si="11"/>
        <v>100</v>
      </c>
      <c r="V35" s="705" t="s">
        <v>14</v>
      </c>
      <c r="W35" s="706">
        <f t="shared" si="12"/>
        <v>100</v>
      </c>
      <c r="X35" s="1351"/>
      <c r="Y35" s="3761"/>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4" t="s">
        <v>1695</v>
      </c>
      <c r="Q36" s="1348">
        <f t="shared" si="8"/>
        <v>111</v>
      </c>
      <c r="R36" s="705" t="s">
        <v>14</v>
      </c>
      <c r="S36" s="706">
        <f t="shared" si="10"/>
        <v>100</v>
      </c>
      <c r="T36" s="705" t="s">
        <v>14</v>
      </c>
      <c r="U36" s="706">
        <f t="shared" si="11"/>
        <v>100</v>
      </c>
      <c r="V36" s="705" t="s">
        <v>14</v>
      </c>
      <c r="W36" s="706">
        <f t="shared" si="12"/>
        <v>100</v>
      </c>
      <c r="X36" s="1351"/>
      <c r="Y36" s="3765" t="s">
        <v>1695</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65"/>
      <c r="Q37" s="1348">
        <f t="shared" si="8"/>
        <v>111</v>
      </c>
      <c r="R37" s="708" t="s">
        <v>14</v>
      </c>
      <c r="S37" s="709">
        <f t="shared" si="10"/>
        <v>100</v>
      </c>
      <c r="T37" s="708" t="s">
        <v>14</v>
      </c>
      <c r="U37" s="709">
        <f t="shared" si="11"/>
        <v>100</v>
      </c>
      <c r="V37" s="708" t="s">
        <v>14</v>
      </c>
      <c r="W37" s="709">
        <f t="shared" si="12"/>
        <v>100</v>
      </c>
      <c r="X37" s="710"/>
      <c r="Y37" s="3765"/>
      <c r="Z37" s="711">
        <f t="shared" si="13"/>
        <v>111</v>
      </c>
      <c r="AA37" s="1349">
        <f t="shared" si="3"/>
        <v>1</v>
      </c>
      <c r="AB37" s="1349">
        <f t="shared" si="4"/>
        <v>1</v>
      </c>
      <c r="AC37" s="1349">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65"/>
      <c r="Q38" s="1348" t="str">
        <f>B38</f>
        <v>宗地面积</v>
      </c>
      <c r="R38" s="705" t="s">
        <v>14</v>
      </c>
      <c r="S38" s="706" t="e">
        <f t="shared" si="10"/>
        <v>#N/A</v>
      </c>
      <c r="T38" s="705" t="s">
        <v>14</v>
      </c>
      <c r="U38" s="706" t="e">
        <f t="shared" si="11"/>
        <v>#N/A</v>
      </c>
      <c r="V38" s="705" t="s">
        <v>14</v>
      </c>
      <c r="W38" s="706" t="e">
        <f t="shared" si="12"/>
        <v>#N/A</v>
      </c>
      <c r="X38" s="1351"/>
      <c r="Y38" s="3765"/>
      <c r="Z38" s="1352" t="str">
        <f t="shared" si="13"/>
        <v>宗地面积</v>
      </c>
      <c r="AA38" s="1349" t="e">
        <f t="shared" si="3"/>
        <v>#N/A</v>
      </c>
      <c r="AB38" s="1349" t="e">
        <f t="shared" si="4"/>
        <v>#N/A</v>
      </c>
      <c r="AC38" s="1349" t="e">
        <f t="shared" si="5"/>
        <v>#N/A</v>
      </c>
    </row>
    <row r="39" spans="1:29" ht="15">
      <c r="A39" s="423"/>
      <c r="B39" s="375" t="s">
        <v>1874</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65"/>
      <c r="Q39" s="1348" t="str">
        <f t="shared" ref="Q39:Q45" si="14">B39</f>
        <v>宗地形状</v>
      </c>
      <c r="R39" s="705" t="s">
        <v>14</v>
      </c>
      <c r="S39" s="706">
        <f t="shared" si="10"/>
        <v>100</v>
      </c>
      <c r="T39" s="705" t="s">
        <v>14</v>
      </c>
      <c r="U39" s="706">
        <f t="shared" si="11"/>
        <v>100</v>
      </c>
      <c r="V39" s="705" t="s">
        <v>14</v>
      </c>
      <c r="W39" s="706">
        <f t="shared" si="12"/>
        <v>100</v>
      </c>
      <c r="X39" s="1351"/>
      <c r="Y39" s="3765"/>
      <c r="Z39" s="1352" t="str">
        <f t="shared" si="13"/>
        <v>宗地形状</v>
      </c>
      <c r="AA39" s="1349">
        <f t="shared" si="3"/>
        <v>1</v>
      </c>
      <c r="AB39" s="1349">
        <f t="shared" si="4"/>
        <v>1</v>
      </c>
      <c r="AC39" s="1349">
        <f t="shared" si="5"/>
        <v>1</v>
      </c>
    </row>
    <row r="40" spans="1:29" ht="15">
      <c r="A40" s="423"/>
      <c r="B40" s="375" t="s">
        <v>1875</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65"/>
      <c r="Q40" s="1348" t="str">
        <f t="shared" si="14"/>
        <v>临街宽度及深度</v>
      </c>
      <c r="R40" s="705" t="s">
        <v>14</v>
      </c>
      <c r="S40" s="706">
        <f t="shared" si="10"/>
        <v>100</v>
      </c>
      <c r="T40" s="705" t="s">
        <v>14</v>
      </c>
      <c r="U40" s="706">
        <f t="shared" si="11"/>
        <v>100</v>
      </c>
      <c r="V40" s="705" t="s">
        <v>14</v>
      </c>
      <c r="W40" s="706">
        <f t="shared" si="12"/>
        <v>100</v>
      </c>
      <c r="X40" s="1351"/>
      <c r="Y40" s="3765"/>
      <c r="Z40" s="1352" t="str">
        <f t="shared" si="13"/>
        <v>临街宽度及深度</v>
      </c>
      <c r="AA40" s="1349">
        <f t="shared" si="3"/>
        <v>1</v>
      </c>
      <c r="AB40" s="1349">
        <f t="shared" si="4"/>
        <v>1</v>
      </c>
      <c r="AC40" s="1349">
        <f t="shared" si="5"/>
        <v>1</v>
      </c>
    </row>
    <row r="41" spans="1:29" s="108" customFormat="1" ht="15">
      <c r="A41" s="424"/>
      <c r="B41" s="375" t="s">
        <v>1876</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65"/>
      <c r="Q41" s="1348" t="str">
        <f t="shared" si="14"/>
        <v>宗地开发程度</v>
      </c>
      <c r="R41" s="701" t="s">
        <v>14</v>
      </c>
      <c r="S41" s="702">
        <f t="shared" si="10"/>
        <v>100</v>
      </c>
      <c r="T41" s="701" t="s">
        <v>14</v>
      </c>
      <c r="U41" s="702">
        <f t="shared" si="11"/>
        <v>100</v>
      </c>
      <c r="V41" s="701" t="s">
        <v>14</v>
      </c>
      <c r="W41" s="702">
        <f t="shared" si="12"/>
        <v>100</v>
      </c>
      <c r="X41" s="703"/>
      <c r="Y41" s="3765"/>
      <c r="Z41" s="52" t="str">
        <f t="shared" si="13"/>
        <v>宗地开发程度</v>
      </c>
      <c r="AA41" s="704">
        <f t="shared" si="3"/>
        <v>1</v>
      </c>
      <c r="AB41" s="704">
        <f t="shared" si="4"/>
        <v>1</v>
      </c>
      <c r="AC41" s="704">
        <f t="shared" si="5"/>
        <v>1</v>
      </c>
    </row>
    <row r="42" spans="1:29" ht="15">
      <c r="A42" s="423"/>
      <c r="B42" s="375" t="s">
        <v>1877</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65" t="s">
        <v>1695</v>
      </c>
      <c r="Q42" s="1348" t="str">
        <f t="shared" si="14"/>
        <v>工程地质条件</v>
      </c>
      <c r="R42" s="705" t="s">
        <v>14</v>
      </c>
      <c r="S42" s="706">
        <f t="shared" si="10"/>
        <v>100</v>
      </c>
      <c r="T42" s="705" t="s">
        <v>14</v>
      </c>
      <c r="U42" s="706">
        <f t="shared" si="11"/>
        <v>100</v>
      </c>
      <c r="V42" s="705" t="s">
        <v>14</v>
      </c>
      <c r="W42" s="706">
        <f t="shared" si="12"/>
        <v>100</v>
      </c>
      <c r="X42" s="1351"/>
      <c r="Y42" s="3765" t="s">
        <v>1695</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65"/>
      <c r="Q43" s="1348">
        <f t="shared" si="14"/>
        <v>111</v>
      </c>
      <c r="R43" s="705" t="s">
        <v>14</v>
      </c>
      <c r="S43" s="706">
        <f t="shared" si="10"/>
        <v>100</v>
      </c>
      <c r="T43" s="705" t="s">
        <v>14</v>
      </c>
      <c r="U43" s="706">
        <f t="shared" si="11"/>
        <v>100</v>
      </c>
      <c r="V43" s="705" t="s">
        <v>14</v>
      </c>
      <c r="W43" s="706">
        <f t="shared" si="12"/>
        <v>100</v>
      </c>
      <c r="X43" s="1351"/>
      <c r="Y43" s="3765"/>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65"/>
      <c r="Q44" s="1348">
        <f t="shared" si="14"/>
        <v>111</v>
      </c>
      <c r="R44" s="705" t="s">
        <v>14</v>
      </c>
      <c r="S44" s="706">
        <f t="shared" si="10"/>
        <v>100</v>
      </c>
      <c r="T44" s="705" t="s">
        <v>14</v>
      </c>
      <c r="U44" s="706">
        <f t="shared" si="11"/>
        <v>100</v>
      </c>
      <c r="V44" s="705" t="s">
        <v>14</v>
      </c>
      <c r="W44" s="706">
        <f t="shared" si="12"/>
        <v>100</v>
      </c>
      <c r="X44" s="1351"/>
      <c r="Y44" s="3765"/>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65"/>
      <c r="Q45" s="1348">
        <f t="shared" si="14"/>
        <v>111</v>
      </c>
      <c r="R45" s="708" t="s">
        <v>14</v>
      </c>
      <c r="S45" s="709">
        <f t="shared" si="10"/>
        <v>100</v>
      </c>
      <c r="T45" s="708" t="s">
        <v>14</v>
      </c>
      <c r="U45" s="709">
        <f t="shared" si="11"/>
        <v>100</v>
      </c>
      <c r="V45" s="708" t="s">
        <v>14</v>
      </c>
      <c r="W45" s="709">
        <f t="shared" si="12"/>
        <v>100</v>
      </c>
      <c r="X45" s="710"/>
      <c r="Y45" s="3765"/>
      <c r="Z45" s="711">
        <f t="shared" si="13"/>
        <v>111</v>
      </c>
      <c r="AA45" s="1349">
        <f t="shared" si="3"/>
        <v>1</v>
      </c>
      <c r="AB45" s="1349">
        <f t="shared" si="4"/>
        <v>1</v>
      </c>
      <c r="AC45" s="1349">
        <f t="shared" si="5"/>
        <v>1</v>
      </c>
    </row>
    <row r="46" spans="1:29" ht="15">
      <c r="A46" s="430" t="s">
        <v>1843</v>
      </c>
      <c r="B46" s="1978" t="s">
        <v>1878</v>
      </c>
      <c r="C46" s="630" t="s">
        <v>0</v>
      </c>
      <c r="D46" s="432"/>
      <c r="E46" s="433"/>
      <c r="F46" s="434"/>
      <c r="G46" s="435"/>
      <c r="H46" s="436"/>
      <c r="I46" s="433"/>
      <c r="J46" s="436"/>
      <c r="K46" s="714"/>
      <c r="L46" s="2720"/>
      <c r="M46" s="2721"/>
      <c r="N46" s="2712"/>
      <c r="O46" s="2721"/>
      <c r="P46" s="3758" t="str">
        <f>A46</f>
        <v>成交单价</v>
      </c>
      <c r="Q46" s="3758"/>
      <c r="R46" s="3753">
        <f>E46</f>
        <v>0</v>
      </c>
      <c r="S46" s="3753"/>
      <c r="T46" s="3753">
        <f>G46</f>
        <v>0</v>
      </c>
      <c r="U46" s="3753"/>
      <c r="V46" s="3753">
        <f>I46</f>
        <v>0</v>
      </c>
      <c r="W46" s="3753"/>
      <c r="X46" s="690"/>
      <c r="Y46" s="712"/>
      <c r="Z46" s="690"/>
      <c r="AA46" s="690"/>
      <c r="AB46" s="690"/>
      <c r="AC46" s="690"/>
    </row>
    <row r="47" spans="1:29" ht="15.75" thickBot="1">
      <c r="A47" s="437" t="s">
        <v>1792</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758" t="str">
        <f>A47</f>
        <v>比较价值（元/平方米）</v>
      </c>
      <c r="Q47" s="3758"/>
      <c r="R47" s="3786" t="e">
        <f>ROUND(PRODUCT(R46,AA7:AA45),0)</f>
        <v>#DIV/0!</v>
      </c>
      <c r="S47" s="3786"/>
      <c r="T47" s="3786" t="e">
        <f>ROUND(PRODUCT(T46,AB7:AB45),0)</f>
        <v>#DIV/0!</v>
      </c>
      <c r="U47" s="3786"/>
      <c r="V47" s="3786" t="e">
        <f>ROUND(PRODUCT(V46,AC7:AC45),0)</f>
        <v>#DIV/0!</v>
      </c>
      <c r="W47" s="3786"/>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0"/>
      <c r="M48" s="2721"/>
      <c r="N48" s="2721"/>
      <c r="O48" s="2721"/>
      <c r="P48" s="3755" t="str">
        <f>A48</f>
        <v>估价对象XX用房的比较价值（楼面单价，元/平方米）</v>
      </c>
      <c r="Q48" s="3756"/>
      <c r="R48" s="3787" t="e">
        <f>ROUND(IF(D47="简单平均",AVERAGE(R47:W47),R47*F47+T47*H47+V47*J47),0)</f>
        <v>#DIV/0!</v>
      </c>
      <c r="S48" s="3787"/>
      <c r="T48" s="3787"/>
      <c r="U48" s="3787"/>
      <c r="V48" s="3787"/>
      <c r="W48" s="378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79" t="s">
        <v>1882</v>
      </c>
      <c r="D55" s="1980" t="s">
        <v>1883</v>
      </c>
      <c r="E55" s="634" t="s">
        <v>1884</v>
      </c>
      <c r="F55" s="886" t="s">
        <v>1885</v>
      </c>
      <c r="G55" s="3741" t="s">
        <v>1886</v>
      </c>
      <c r="H55" s="3788"/>
      <c r="I55" s="135" t="s">
        <v>1887</v>
      </c>
      <c r="J55" s="1981">
        <f>项目基本情况!F35</f>
        <v>0</v>
      </c>
      <c r="K55" s="1982"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t="e">
        <f>C48</f>
        <v>#DIV/0!</v>
      </c>
      <c r="C56" s="638">
        <v>1</v>
      </c>
      <c r="D56" s="940">
        <v>1</v>
      </c>
      <c r="E56" s="638">
        <f>'数据-汇总表'!E8+'数据-汇总表'!E9</f>
        <v>75223.839999999997</v>
      </c>
      <c r="F56" s="882" t="e">
        <f t="shared" ref="F56:F64" si="15">ROUND(B56*E56/10000,0)</f>
        <v>#DIV/0!</v>
      </c>
      <c r="G56" s="3740"/>
      <c r="H56" s="3758"/>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t="e">
        <f>ROUND($C$48*C57*D57,0)</f>
        <v>#DIV/0!</v>
      </c>
      <c r="C57" s="171">
        <f t="shared" ref="C57:C64" si="16">IF($C$55="北京市系数",I57,J57)</f>
        <v>0.6</v>
      </c>
      <c r="D57" s="941">
        <v>0.25</v>
      </c>
      <c r="E57" s="642"/>
      <c r="F57" s="882" t="e">
        <f t="shared" si="15"/>
        <v>#DIV/0!</v>
      </c>
      <c r="G57" s="3002" t="s">
        <v>1891</v>
      </c>
      <c r="H57" s="883" t="str">
        <f>项目基本情况!B37</f>
        <v>五级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t="e">
        <f t="shared" ref="B58:B64" si="17">ROUND($C$48*C58*D58,0)</f>
        <v>#DIV/0!</v>
      </c>
      <c r="C58" s="171">
        <f t="shared" si="16"/>
        <v>0.3</v>
      </c>
      <c r="D58" s="941">
        <v>0.25</v>
      </c>
      <c r="E58" s="642"/>
      <c r="F58" s="882" t="e">
        <f t="shared" si="15"/>
        <v>#DIV/0!</v>
      </c>
      <c r="G58" s="3003"/>
      <c r="H58" s="883" t="str">
        <f>项目基本情况!B37</f>
        <v>五级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t="e">
        <f t="shared" si="17"/>
        <v>#DIV/0!</v>
      </c>
      <c r="C59" s="171">
        <f t="shared" si="16"/>
        <v>0.25</v>
      </c>
      <c r="D59" s="941">
        <v>0.25</v>
      </c>
      <c r="E59" s="642"/>
      <c r="F59" s="882" t="e">
        <f t="shared" si="15"/>
        <v>#DIV/0!</v>
      </c>
      <c r="G59" s="3003"/>
      <c r="H59" s="883" t="str">
        <f>项目基本情况!B37</f>
        <v>五级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t="e">
        <f t="shared" si="17"/>
        <v>#DIV/0!</v>
      </c>
      <c r="C60" s="171">
        <f t="shared" si="16"/>
        <v>0.25</v>
      </c>
      <c r="D60" s="941">
        <v>0.25</v>
      </c>
      <c r="E60" s="217">
        <f>'数据-汇总表'!E11</f>
        <v>0</v>
      </c>
      <c r="F60" s="882" t="e">
        <f t="shared" si="15"/>
        <v>#DIV/0!</v>
      </c>
      <c r="G60" s="1983" t="s">
        <v>1895</v>
      </c>
      <c r="H60" s="883" t="str">
        <f>项目基本情况!C37</f>
        <v>五级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t="e">
        <f t="shared" si="17"/>
        <v>#DIV/0!</v>
      </c>
      <c r="C61" s="171">
        <f t="shared" si="16"/>
        <v>0.25</v>
      </c>
      <c r="D61" s="941">
        <v>0.25</v>
      </c>
      <c r="E61" s="217">
        <f>'数据-汇总表'!E12</f>
        <v>0</v>
      </c>
      <c r="F61" s="882" t="e">
        <f t="shared" si="15"/>
        <v>#DIV/0!</v>
      </c>
      <c r="G61" s="888" t="s">
        <v>1897</v>
      </c>
      <c r="H61" s="883" t="str">
        <f>IF(G61="商业",项目基本情况!B37,IF(G61="办公",项目基本情况!C37,IF(G61="住宅",项目基本情况!D37,项目基本情况!E37)))</f>
        <v>五级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t="e">
        <f t="shared" si="17"/>
        <v>#DIV/0!</v>
      </c>
      <c r="C62" s="171">
        <f t="shared" si="16"/>
        <v>0</v>
      </c>
      <c r="D62" s="941">
        <v>0.25</v>
      </c>
      <c r="E62" s="217">
        <f>'数据-汇总表'!E13</f>
        <v>30561.740000000005</v>
      </c>
      <c r="F62" s="882" t="e">
        <f t="shared" si="15"/>
        <v>#DIV/0!</v>
      </c>
      <c r="G62" s="888" t="s">
        <v>1899</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t="e">
        <f t="shared" si="17"/>
        <v>#DIV/0!</v>
      </c>
      <c r="C63" s="171">
        <f t="shared" si="16"/>
        <v>0.15</v>
      </c>
      <c r="D63" s="941">
        <v>0.25</v>
      </c>
      <c r="E63" s="217">
        <f>'数据-汇总表'!E14</f>
        <v>0</v>
      </c>
      <c r="F63" s="882" t="e">
        <f t="shared" si="15"/>
        <v>#DIV/0!</v>
      </c>
      <c r="G63" s="1983" t="s">
        <v>1891</v>
      </c>
      <c r="H63" s="883" t="str">
        <f>项目基本情况!B37</f>
        <v>五级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t="e">
        <f t="shared" si="17"/>
        <v>#DIV/0!</v>
      </c>
      <c r="C64" s="171">
        <f t="shared" si="16"/>
        <v>0.15</v>
      </c>
      <c r="D64" s="941">
        <v>0.25</v>
      </c>
      <c r="E64" s="217">
        <f>'数据-汇总表'!E15</f>
        <v>0</v>
      </c>
      <c r="F64" s="882" t="e">
        <f t="shared" si="15"/>
        <v>#DIV/0!</v>
      </c>
      <c r="G64" s="1984" t="s">
        <v>1895</v>
      </c>
      <c r="H64" s="893" t="str">
        <f>项目基本情况!C37</f>
        <v>五级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105785.58</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1797</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1903</v>
      </c>
      <c r="B69" s="1105"/>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6"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1768</v>
      </c>
      <c r="B4" s="356"/>
      <c r="C4" s="3741" t="s">
        <v>1769</v>
      </c>
      <c r="D4" s="3742"/>
      <c r="E4" s="3743" t="s">
        <v>1770</v>
      </c>
      <c r="F4" s="3744"/>
      <c r="G4" s="3741" t="s">
        <v>1771</v>
      </c>
      <c r="H4" s="3742"/>
      <c r="I4" s="3741" t="s">
        <v>1772</v>
      </c>
      <c r="J4" s="3742"/>
      <c r="K4" s="559" t="s">
        <v>1773</v>
      </c>
      <c r="L4" s="2711"/>
      <c r="M4" s="2712"/>
      <c r="N4" s="2712"/>
      <c r="O4" s="2712"/>
      <c r="P4" s="3745" t="s">
        <v>1774</v>
      </c>
      <c r="Q4" s="3746"/>
      <c r="R4" s="3728" t="s">
        <v>1770</v>
      </c>
      <c r="S4" s="3729"/>
      <c r="T4" s="3728" t="s">
        <v>1771</v>
      </c>
      <c r="U4" s="3729"/>
      <c r="V4" s="3753" t="s">
        <v>1772</v>
      </c>
      <c r="W4" s="3753"/>
      <c r="X4" s="1351"/>
      <c r="Y4" s="3728" t="s">
        <v>1774</v>
      </c>
      <c r="Z4" s="3729"/>
      <c r="AA4" s="3723" t="s">
        <v>1770</v>
      </c>
      <c r="AB4" s="3724" t="s">
        <v>1771</v>
      </c>
      <c r="AC4" s="3723" t="s">
        <v>1772</v>
      </c>
    </row>
    <row r="5" spans="1:29" ht="15">
      <c r="A5" s="358"/>
      <c r="B5" s="359"/>
      <c r="C5" s="3734" t="s">
        <v>1672</v>
      </c>
      <c r="D5" s="3735"/>
      <c r="E5" s="3732" t="s">
        <v>1673</v>
      </c>
      <c r="F5" s="3733"/>
      <c r="G5" s="3734" t="s">
        <v>1674</v>
      </c>
      <c r="H5" s="3735"/>
      <c r="I5" s="3734" t="s">
        <v>1675</v>
      </c>
      <c r="J5" s="3735"/>
      <c r="K5" s="559"/>
      <c r="L5" s="2711"/>
      <c r="M5" s="2712"/>
      <c r="N5" s="2712"/>
      <c r="O5" s="2712"/>
      <c r="P5" s="3747"/>
      <c r="Q5" s="3748"/>
      <c r="R5" s="3730"/>
      <c r="S5" s="3731"/>
      <c r="T5" s="3730"/>
      <c r="U5" s="3731"/>
      <c r="V5" s="3753"/>
      <c r="W5" s="3753"/>
      <c r="X5" s="1351"/>
      <c r="Y5" s="3730"/>
      <c r="Z5" s="3731"/>
      <c r="AA5" s="3724"/>
      <c r="AB5" s="3724"/>
      <c r="AC5" s="3724"/>
    </row>
    <row r="6" spans="1:29" ht="15.75" thickBot="1">
      <c r="A6" s="360"/>
      <c r="B6" s="361"/>
      <c r="C6" s="3789" t="s">
        <v>1918</v>
      </c>
      <c r="D6" s="3790"/>
      <c r="E6" s="3791" t="s">
        <v>1918</v>
      </c>
      <c r="F6" s="3792"/>
      <c r="G6" s="3789" t="s">
        <v>1918</v>
      </c>
      <c r="H6" s="3790"/>
      <c r="I6" s="3789" t="s">
        <v>1918</v>
      </c>
      <c r="J6" s="3790"/>
      <c r="K6" s="559" t="s">
        <v>1677</v>
      </c>
      <c r="L6" s="2711"/>
      <c r="M6" s="2712"/>
      <c r="N6" s="2712"/>
      <c r="O6" s="2712"/>
      <c r="P6" s="3749"/>
      <c r="Q6" s="3750"/>
      <c r="R6" s="3730"/>
      <c r="S6" s="3731"/>
      <c r="T6" s="3751"/>
      <c r="U6" s="3752"/>
      <c r="V6" s="3753"/>
      <c r="W6" s="3753"/>
      <c r="X6" s="1351"/>
      <c r="Y6" s="3751"/>
      <c r="Z6" s="3752"/>
      <c r="AA6" s="3725"/>
      <c r="AB6" s="3725"/>
      <c r="AC6" s="3725"/>
    </row>
    <row r="7" spans="1:29" s="108" customFormat="1" ht="15.75" thickBot="1">
      <c r="A7" s="362" t="s">
        <v>1678</v>
      </c>
      <c r="B7" s="363"/>
      <c r="C7" s="364">
        <f>'数据-取费表'!B2</f>
        <v>45147</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26" t="s">
        <v>1679</v>
      </c>
      <c r="Q7" s="3754"/>
      <c r="R7" s="701" t="s">
        <v>14</v>
      </c>
      <c r="S7" s="702">
        <f t="shared" ref="S7:S15" si="0">F7</f>
        <v>0</v>
      </c>
      <c r="T7" s="701" t="s">
        <v>14</v>
      </c>
      <c r="U7" s="702">
        <f t="shared" ref="U7:U15" si="1">H7</f>
        <v>0</v>
      </c>
      <c r="V7" s="701" t="s">
        <v>14</v>
      </c>
      <c r="W7" s="702">
        <f t="shared" ref="W7:W15" si="2">J7</f>
        <v>0</v>
      </c>
      <c r="X7" s="703"/>
      <c r="Y7" s="3726" t="s">
        <v>1679</v>
      </c>
      <c r="Z7" s="3727"/>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6" t="s">
        <v>1682</v>
      </c>
      <c r="Q8" s="3727"/>
      <c r="R8" s="701" t="s">
        <v>14</v>
      </c>
      <c r="S8" s="702">
        <f t="shared" si="0"/>
        <v>0</v>
      </c>
      <c r="T8" s="701" t="s">
        <v>14</v>
      </c>
      <c r="U8" s="702">
        <f t="shared" si="1"/>
        <v>0</v>
      </c>
      <c r="V8" s="701" t="s">
        <v>14</v>
      </c>
      <c r="W8" s="702">
        <f t="shared" si="2"/>
        <v>0</v>
      </c>
      <c r="X8" s="703"/>
      <c r="Y8" s="3726" t="s">
        <v>1682</v>
      </c>
      <c r="Z8" s="3727"/>
      <c r="AA8" s="704" t="e">
        <f t="shared" ref="AA8:AA40" si="3">D8/F8</f>
        <v>#DIV/0!</v>
      </c>
      <c r="AB8" s="704" t="e">
        <f t="shared" ref="AB8:AB40" si="4">D8/H8</f>
        <v>#DIV/0!</v>
      </c>
      <c r="AC8" s="704"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58" t="s">
        <v>1685</v>
      </c>
      <c r="Q9" s="1339" t="str">
        <f t="shared" ref="Q9:Q15" si="6">B9</f>
        <v>用途</v>
      </c>
      <c r="R9" s="701" t="s">
        <v>14</v>
      </c>
      <c r="S9" s="702">
        <f t="shared" si="0"/>
        <v>100</v>
      </c>
      <c r="T9" s="701" t="s">
        <v>14</v>
      </c>
      <c r="U9" s="702">
        <f t="shared" si="1"/>
        <v>100</v>
      </c>
      <c r="V9" s="701" t="s">
        <v>14</v>
      </c>
      <c r="W9" s="702">
        <f t="shared" si="2"/>
        <v>100</v>
      </c>
      <c r="X9" s="703"/>
      <c r="Y9" s="365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114</v>
      </c>
      <c r="G10" s="383"/>
      <c r="H10" s="127">
        <f>ROUND(100/'数据-取费表'!G16,0)</f>
        <v>114</v>
      </c>
      <c r="I10" s="383"/>
      <c r="J10" s="127">
        <f>ROUND(100/'数据-取费表'!G16,0)</f>
        <v>114</v>
      </c>
      <c r="K10" s="620"/>
      <c r="L10" s="2715"/>
      <c r="M10" s="2716"/>
      <c r="N10" s="2716"/>
      <c r="O10" s="2769"/>
      <c r="P10" s="3758"/>
      <c r="Q10" s="1339" t="str">
        <f t="shared" si="6"/>
        <v>土地使用年限（年）</v>
      </c>
      <c r="R10" s="701" t="s">
        <v>14</v>
      </c>
      <c r="S10" s="702">
        <f t="shared" si="0"/>
        <v>114</v>
      </c>
      <c r="T10" s="701" t="s">
        <v>14</v>
      </c>
      <c r="U10" s="702">
        <f t="shared" si="1"/>
        <v>114</v>
      </c>
      <c r="V10" s="701" t="s">
        <v>14</v>
      </c>
      <c r="W10" s="702">
        <f t="shared" si="2"/>
        <v>114</v>
      </c>
      <c r="X10" s="703"/>
      <c r="Y10" s="3651"/>
      <c r="Z10" s="52" t="str">
        <f t="shared" si="7"/>
        <v>土地使用年限（年）</v>
      </c>
      <c r="AA10" s="704">
        <f t="shared" si="3"/>
        <v>0.8771929824561403</v>
      </c>
      <c r="AB10" s="704">
        <f t="shared" si="4"/>
        <v>0.8771929824561403</v>
      </c>
      <c r="AC10" s="704">
        <f t="shared" si="5"/>
        <v>0.8771929824561403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58"/>
      <c r="Q11" s="1339"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58"/>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58"/>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58"/>
      <c r="Q14" s="1339">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1689</v>
      </c>
      <c r="B15" s="577" t="s">
        <v>1919</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60" t="s">
        <v>1690</v>
      </c>
      <c r="Q15" s="1348" t="str">
        <f t="shared" si="6"/>
        <v>产业集聚程度</v>
      </c>
      <c r="R15" s="705" t="s">
        <v>14</v>
      </c>
      <c r="S15" s="706">
        <f t="shared" si="0"/>
        <v>100</v>
      </c>
      <c r="T15" s="705" t="s">
        <v>14</v>
      </c>
      <c r="U15" s="706">
        <f t="shared" si="1"/>
        <v>100</v>
      </c>
      <c r="V15" s="705" t="s">
        <v>14</v>
      </c>
      <c r="W15" s="706">
        <f t="shared" si="2"/>
        <v>100</v>
      </c>
      <c r="X15" s="1351"/>
      <c r="Y15" s="3760" t="s">
        <v>1690</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61"/>
      <c r="Q16" s="1348"/>
      <c r="R16" s="705"/>
      <c r="S16" s="706"/>
      <c r="T16" s="705"/>
      <c r="U16" s="706"/>
      <c r="V16" s="705"/>
      <c r="W16" s="706"/>
      <c r="X16" s="1351"/>
      <c r="Y16" s="3761"/>
      <c r="Z16" s="1352"/>
      <c r="AA16" s="1349">
        <v>1</v>
      </c>
      <c r="AB16" s="1349">
        <v>1</v>
      </c>
      <c r="AC16" s="1349">
        <v>1</v>
      </c>
    </row>
    <row r="17" spans="1:29" ht="85.5">
      <c r="A17" s="379"/>
      <c r="B17" s="579" t="s">
        <v>1832</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61"/>
      <c r="Q17" s="1348" t="str">
        <f>B17</f>
        <v>交通便捷度</v>
      </c>
      <c r="R17" s="705" t="s">
        <v>14</v>
      </c>
      <c r="S17" s="706">
        <f>F17</f>
        <v>100</v>
      </c>
      <c r="T17" s="705" t="s">
        <v>14</v>
      </c>
      <c r="U17" s="706">
        <f>H17</f>
        <v>100</v>
      </c>
      <c r="V17" s="705" t="s">
        <v>14</v>
      </c>
      <c r="W17" s="706">
        <f>J17</f>
        <v>100</v>
      </c>
      <c r="X17" s="1351"/>
      <c r="Y17" s="3761"/>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61"/>
      <c r="Q18" s="1348"/>
      <c r="R18" s="705"/>
      <c r="S18" s="706"/>
      <c r="T18" s="705"/>
      <c r="U18" s="706"/>
      <c r="V18" s="705"/>
      <c r="W18" s="706"/>
      <c r="X18" s="1351"/>
      <c r="Y18" s="3761"/>
      <c r="Z18" s="1352"/>
      <c r="AA18" s="1349">
        <v>1</v>
      </c>
      <c r="AB18" s="1349">
        <v>1</v>
      </c>
      <c r="AC18" s="1349">
        <v>1</v>
      </c>
    </row>
    <row r="19" spans="1:29" ht="15">
      <c r="A19" s="379"/>
      <c r="B19" s="579" t="s">
        <v>1870</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61"/>
      <c r="Q19" s="1348" t="str">
        <f t="shared" ref="Q19:Q33" si="8">B19</f>
        <v>区域土地利用方向</v>
      </c>
      <c r="R19" s="705" t="s">
        <v>14</v>
      </c>
      <c r="S19" s="706">
        <f>F19</f>
        <v>100</v>
      </c>
      <c r="T19" s="705" t="s">
        <v>14</v>
      </c>
      <c r="U19" s="706">
        <f>H19</f>
        <v>100</v>
      </c>
      <c r="V19" s="705" t="s">
        <v>14</v>
      </c>
      <c r="W19" s="706">
        <f>J19</f>
        <v>100</v>
      </c>
      <c r="X19" s="1351"/>
      <c r="Y19" s="3761"/>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761"/>
      <c r="Q20" s="1348"/>
      <c r="R20" s="705"/>
      <c r="S20" s="706"/>
      <c r="T20" s="705"/>
      <c r="U20" s="706"/>
      <c r="V20" s="705"/>
      <c r="W20" s="706"/>
      <c r="X20" s="1351"/>
      <c r="Y20" s="3761"/>
      <c r="Z20" s="1352"/>
      <c r="AA20" s="1349"/>
      <c r="AB20" s="1349"/>
      <c r="AC20" s="1349"/>
    </row>
    <row r="21" spans="1:29" ht="71.25">
      <c r="A21" s="358"/>
      <c r="B21" s="579" t="s">
        <v>1920</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61"/>
      <c r="Q21" s="1348" t="str">
        <f t="shared" si="8"/>
        <v>环境状况</v>
      </c>
      <c r="R21" s="705" t="s">
        <v>14</v>
      </c>
      <c r="S21" s="706">
        <f>F21</f>
        <v>100</v>
      </c>
      <c r="T21" s="705" t="s">
        <v>14</v>
      </c>
      <c r="U21" s="706">
        <f>H21</f>
        <v>100</v>
      </c>
      <c r="V21" s="705" t="s">
        <v>14</v>
      </c>
      <c r="W21" s="706">
        <f>J21</f>
        <v>100</v>
      </c>
      <c r="X21" s="1351"/>
      <c r="Y21" s="3761"/>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61"/>
      <c r="Q22" s="1348"/>
      <c r="R22" s="705"/>
      <c r="S22" s="706"/>
      <c r="T22" s="705"/>
      <c r="U22" s="706"/>
      <c r="V22" s="705"/>
      <c r="W22" s="706"/>
      <c r="X22" s="1351"/>
      <c r="Y22" s="3761"/>
      <c r="Z22" s="1352"/>
      <c r="AA22" s="1349">
        <v>1</v>
      </c>
      <c r="AB22" s="1349">
        <v>1</v>
      </c>
      <c r="AC22" s="1349">
        <v>1</v>
      </c>
    </row>
    <row r="23" spans="1:29" s="108" customFormat="1" ht="42.75">
      <c r="A23" s="597"/>
      <c r="B23" s="581" t="s">
        <v>1777</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61"/>
      <c r="Q23" s="1339" t="str">
        <f t="shared" si="8"/>
        <v>公共配套设施</v>
      </c>
      <c r="R23" s="701" t="s">
        <v>14</v>
      </c>
      <c r="S23" s="702">
        <f>F23</f>
        <v>100</v>
      </c>
      <c r="T23" s="701" t="s">
        <v>14</v>
      </c>
      <c r="U23" s="702">
        <f>H23</f>
        <v>100</v>
      </c>
      <c r="V23" s="701" t="s">
        <v>14</v>
      </c>
      <c r="W23" s="702">
        <f>J23</f>
        <v>100</v>
      </c>
      <c r="X23" s="703"/>
      <c r="Y23" s="3761"/>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61"/>
      <c r="Q24" s="1339"/>
      <c r="R24" s="701"/>
      <c r="S24" s="702"/>
      <c r="T24" s="701"/>
      <c r="U24" s="702"/>
      <c r="V24" s="701"/>
      <c r="W24" s="702"/>
      <c r="X24" s="703"/>
      <c r="Y24" s="3761"/>
      <c r="Z24" s="52"/>
      <c r="AA24" s="704">
        <v>1</v>
      </c>
      <c r="AB24" s="704">
        <v>1</v>
      </c>
      <c r="AC24" s="704">
        <v>1</v>
      </c>
    </row>
    <row r="25" spans="1:29" s="108" customFormat="1" ht="28.5">
      <c r="A25" s="597"/>
      <c r="B25" s="581" t="s">
        <v>1778</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61"/>
      <c r="Q25" s="1339" t="str">
        <f t="shared" ref="Q25" si="9">B25</f>
        <v>基础设施水平</v>
      </c>
      <c r="R25" s="701" t="s">
        <v>14</v>
      </c>
      <c r="S25" s="702">
        <f>F25</f>
        <v>100</v>
      </c>
      <c r="T25" s="701" t="s">
        <v>14</v>
      </c>
      <c r="U25" s="702">
        <f>H25</f>
        <v>100</v>
      </c>
      <c r="V25" s="701" t="s">
        <v>14</v>
      </c>
      <c r="W25" s="702">
        <f>J25</f>
        <v>100</v>
      </c>
      <c r="X25" s="703"/>
      <c r="Y25" s="3761"/>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61"/>
      <c r="Q26" s="1339"/>
      <c r="R26" s="701"/>
      <c r="S26" s="702"/>
      <c r="T26" s="701"/>
      <c r="U26" s="702"/>
      <c r="V26" s="701"/>
      <c r="W26" s="702"/>
      <c r="X26" s="703"/>
      <c r="Y26" s="376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61"/>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61"/>
      <c r="Z27" s="1352" t="str">
        <f t="shared" ref="Z27:Z40" si="13">Q27</f>
        <v>临街状况</v>
      </c>
      <c r="AA27" s="1349">
        <f t="shared" si="3"/>
        <v>1</v>
      </c>
      <c r="AB27" s="1349">
        <f t="shared" si="4"/>
        <v>1</v>
      </c>
      <c r="AC27" s="1349">
        <f t="shared" si="5"/>
        <v>1</v>
      </c>
    </row>
    <row r="28" spans="1:29" ht="27">
      <c r="A28" s="379"/>
      <c r="B28" s="581"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61"/>
      <c r="Q28" s="1348" t="str">
        <f t="shared" si="8"/>
        <v>毗邻道路的类型与等级</v>
      </c>
      <c r="R28" s="705" t="s">
        <v>14</v>
      </c>
      <c r="S28" s="706">
        <f t="shared" si="10"/>
        <v>100</v>
      </c>
      <c r="T28" s="705" t="s">
        <v>14</v>
      </c>
      <c r="U28" s="706">
        <f t="shared" si="11"/>
        <v>100</v>
      </c>
      <c r="V28" s="705" t="s">
        <v>14</v>
      </c>
      <c r="W28" s="706">
        <f t="shared" si="12"/>
        <v>100</v>
      </c>
      <c r="X28" s="1351"/>
      <c r="Y28" s="3761"/>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61"/>
      <c r="Q29" s="1348"/>
      <c r="R29" s="705"/>
      <c r="S29" s="706"/>
      <c r="T29" s="705"/>
      <c r="U29" s="706"/>
      <c r="V29" s="705"/>
      <c r="W29" s="706"/>
      <c r="X29" s="1351"/>
      <c r="Y29" s="3761"/>
      <c r="Z29" s="1352"/>
      <c r="AA29" s="1349">
        <v>1</v>
      </c>
      <c r="AB29" s="1349">
        <v>1</v>
      </c>
      <c r="AC29" s="1349">
        <v>1</v>
      </c>
    </row>
    <row r="30" spans="1:29" ht="15">
      <c r="A30" s="379"/>
      <c r="B30" s="602" t="s">
        <v>1872</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61"/>
      <c r="Q30" s="1348" t="str">
        <f t="shared" si="8"/>
        <v>土地级别</v>
      </c>
      <c r="R30" s="705" t="s">
        <v>14</v>
      </c>
      <c r="S30" s="706">
        <f t="shared" si="10"/>
        <v>100</v>
      </c>
      <c r="T30" s="705" t="s">
        <v>14</v>
      </c>
      <c r="U30" s="706">
        <f t="shared" si="11"/>
        <v>100</v>
      </c>
      <c r="V30" s="705" t="s">
        <v>14</v>
      </c>
      <c r="W30" s="706">
        <f t="shared" si="12"/>
        <v>100</v>
      </c>
      <c r="X30" s="1351"/>
      <c r="Y30" s="3761"/>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61"/>
      <c r="Q31" s="1348">
        <f t="shared" si="8"/>
        <v>111</v>
      </c>
      <c r="R31" s="705" t="s">
        <v>14</v>
      </c>
      <c r="S31" s="706">
        <f t="shared" si="10"/>
        <v>100</v>
      </c>
      <c r="T31" s="705" t="s">
        <v>14</v>
      </c>
      <c r="U31" s="706">
        <f t="shared" si="11"/>
        <v>100</v>
      </c>
      <c r="V31" s="705" t="s">
        <v>14</v>
      </c>
      <c r="W31" s="706">
        <f t="shared" si="12"/>
        <v>100</v>
      </c>
      <c r="X31" s="1351"/>
      <c r="Y31" s="3761"/>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4" t="s">
        <v>1695</v>
      </c>
      <c r="Q32" s="1348">
        <f t="shared" si="8"/>
        <v>111</v>
      </c>
      <c r="R32" s="705" t="s">
        <v>14</v>
      </c>
      <c r="S32" s="706">
        <f t="shared" si="10"/>
        <v>100</v>
      </c>
      <c r="T32" s="705" t="s">
        <v>14</v>
      </c>
      <c r="U32" s="706">
        <f t="shared" si="11"/>
        <v>100</v>
      </c>
      <c r="V32" s="705" t="s">
        <v>14</v>
      </c>
      <c r="W32" s="706">
        <f t="shared" si="12"/>
        <v>100</v>
      </c>
      <c r="X32" s="1351"/>
      <c r="Y32" s="3765" t="s">
        <v>1695</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65"/>
      <c r="Q33" s="1348">
        <f t="shared" si="8"/>
        <v>111</v>
      </c>
      <c r="R33" s="708" t="s">
        <v>14</v>
      </c>
      <c r="S33" s="709">
        <f t="shared" si="10"/>
        <v>100</v>
      </c>
      <c r="T33" s="708" t="s">
        <v>14</v>
      </c>
      <c r="U33" s="709">
        <f t="shared" si="11"/>
        <v>100</v>
      </c>
      <c r="V33" s="708" t="s">
        <v>14</v>
      </c>
      <c r="W33" s="709">
        <f t="shared" si="12"/>
        <v>100</v>
      </c>
      <c r="X33" s="710"/>
      <c r="Y33" s="3765"/>
      <c r="Z33" s="711">
        <f t="shared" si="13"/>
        <v>111</v>
      </c>
      <c r="AA33" s="1349">
        <f t="shared" si="3"/>
        <v>1</v>
      </c>
      <c r="AB33" s="1349">
        <f t="shared" si="4"/>
        <v>1</v>
      </c>
      <c r="AC33" s="1349">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65"/>
      <c r="Q34" s="1348" t="str">
        <f>B34</f>
        <v>宗地面积</v>
      </c>
      <c r="R34" s="705" t="s">
        <v>14</v>
      </c>
      <c r="S34" s="706" t="e">
        <f t="shared" si="10"/>
        <v>#N/A</v>
      </c>
      <c r="T34" s="705" t="s">
        <v>14</v>
      </c>
      <c r="U34" s="706" t="e">
        <f t="shared" si="11"/>
        <v>#N/A</v>
      </c>
      <c r="V34" s="705" t="s">
        <v>14</v>
      </c>
      <c r="W34" s="706" t="e">
        <f t="shared" si="12"/>
        <v>#N/A</v>
      </c>
      <c r="X34" s="1351"/>
      <c r="Y34" s="3765"/>
      <c r="Z34" s="1352" t="str">
        <f t="shared" si="13"/>
        <v>宗地面积</v>
      </c>
      <c r="AA34" s="1349" t="e">
        <f t="shared" si="3"/>
        <v>#N/A</v>
      </c>
      <c r="AB34" s="1349" t="e">
        <f t="shared" si="4"/>
        <v>#N/A</v>
      </c>
      <c r="AC34" s="1349" t="e">
        <f t="shared" si="5"/>
        <v>#N/A</v>
      </c>
    </row>
    <row r="35" spans="1:31" ht="15">
      <c r="A35" s="423"/>
      <c r="B35" s="375" t="s">
        <v>1874</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65"/>
      <c r="Q35" s="1348" t="str">
        <f t="shared" ref="Q35:Q40" si="14">B35</f>
        <v>宗地形状</v>
      </c>
      <c r="R35" s="705" t="s">
        <v>14</v>
      </c>
      <c r="S35" s="706">
        <f t="shared" si="10"/>
        <v>100</v>
      </c>
      <c r="T35" s="705" t="s">
        <v>14</v>
      </c>
      <c r="U35" s="706">
        <f t="shared" si="11"/>
        <v>100</v>
      </c>
      <c r="V35" s="705" t="s">
        <v>14</v>
      </c>
      <c r="W35" s="706">
        <f t="shared" si="12"/>
        <v>100</v>
      </c>
      <c r="X35" s="1351"/>
      <c r="Y35" s="3765"/>
      <c r="Z35" s="1352" t="str">
        <f t="shared" si="13"/>
        <v>宗地形状</v>
      </c>
      <c r="AA35" s="1349">
        <f t="shared" si="3"/>
        <v>1</v>
      </c>
      <c r="AB35" s="1349">
        <f t="shared" si="4"/>
        <v>1</v>
      </c>
      <c r="AC35" s="1349">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65"/>
      <c r="Q36" s="1348" t="str">
        <f t="shared" si="14"/>
        <v>宗地开发程度</v>
      </c>
      <c r="R36" s="701" t="s">
        <v>14</v>
      </c>
      <c r="S36" s="702">
        <f t="shared" si="10"/>
        <v>100</v>
      </c>
      <c r="T36" s="701" t="s">
        <v>14</v>
      </c>
      <c r="U36" s="702">
        <f t="shared" si="11"/>
        <v>100</v>
      </c>
      <c r="V36" s="701" t="s">
        <v>14</v>
      </c>
      <c r="W36" s="702">
        <f t="shared" si="12"/>
        <v>100</v>
      </c>
      <c r="X36" s="703"/>
      <c r="Y36" s="3765"/>
      <c r="Z36" s="52" t="str">
        <f t="shared" si="13"/>
        <v>宗地开发程度</v>
      </c>
      <c r="AA36" s="704">
        <f t="shared" si="3"/>
        <v>1</v>
      </c>
      <c r="AB36" s="704">
        <f t="shared" si="4"/>
        <v>1</v>
      </c>
      <c r="AC36" s="704">
        <f t="shared" si="5"/>
        <v>1</v>
      </c>
    </row>
    <row r="37" spans="1:31" ht="15">
      <c r="A37" s="423"/>
      <c r="B37" s="375" t="s">
        <v>1877</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65" t="s">
        <v>1695</v>
      </c>
      <c r="Q37" s="1348" t="str">
        <f t="shared" si="14"/>
        <v>工程地质条件</v>
      </c>
      <c r="R37" s="705" t="s">
        <v>14</v>
      </c>
      <c r="S37" s="706">
        <f t="shared" si="10"/>
        <v>100</v>
      </c>
      <c r="T37" s="705" t="s">
        <v>14</v>
      </c>
      <c r="U37" s="706">
        <f t="shared" si="11"/>
        <v>100</v>
      </c>
      <c r="V37" s="705" t="s">
        <v>14</v>
      </c>
      <c r="W37" s="706">
        <f t="shared" si="12"/>
        <v>100</v>
      </c>
      <c r="X37" s="1351"/>
      <c r="Y37" s="3765" t="s">
        <v>1695</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65"/>
      <c r="Q38" s="1348">
        <f t="shared" si="14"/>
        <v>111</v>
      </c>
      <c r="R38" s="705" t="s">
        <v>14</v>
      </c>
      <c r="S38" s="706">
        <f t="shared" si="10"/>
        <v>100</v>
      </c>
      <c r="T38" s="705" t="s">
        <v>14</v>
      </c>
      <c r="U38" s="706">
        <f t="shared" si="11"/>
        <v>100</v>
      </c>
      <c r="V38" s="705" t="s">
        <v>14</v>
      </c>
      <c r="W38" s="706">
        <f t="shared" si="12"/>
        <v>100</v>
      </c>
      <c r="X38" s="1351"/>
      <c r="Y38" s="3765"/>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65"/>
      <c r="Q39" s="1348">
        <f t="shared" si="14"/>
        <v>111</v>
      </c>
      <c r="R39" s="705" t="s">
        <v>14</v>
      </c>
      <c r="S39" s="706">
        <f t="shared" si="10"/>
        <v>100</v>
      </c>
      <c r="T39" s="705" t="s">
        <v>14</v>
      </c>
      <c r="U39" s="706">
        <f t="shared" si="11"/>
        <v>100</v>
      </c>
      <c r="V39" s="705" t="s">
        <v>14</v>
      </c>
      <c r="W39" s="706">
        <f t="shared" si="12"/>
        <v>100</v>
      </c>
      <c r="X39" s="1351"/>
      <c r="Y39" s="3765"/>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65"/>
      <c r="Q40" s="1348">
        <f t="shared" si="14"/>
        <v>111</v>
      </c>
      <c r="R40" s="708" t="s">
        <v>14</v>
      </c>
      <c r="S40" s="709">
        <f t="shared" si="10"/>
        <v>100</v>
      </c>
      <c r="T40" s="708" t="s">
        <v>14</v>
      </c>
      <c r="U40" s="709">
        <f t="shared" si="11"/>
        <v>100</v>
      </c>
      <c r="V40" s="708" t="s">
        <v>14</v>
      </c>
      <c r="W40" s="709">
        <f t="shared" si="12"/>
        <v>100</v>
      </c>
      <c r="X40" s="710"/>
      <c r="Y40" s="3765"/>
      <c r="Z40" s="711">
        <f t="shared" si="13"/>
        <v>111</v>
      </c>
      <c r="AA40" s="1349">
        <f t="shared" si="3"/>
        <v>1</v>
      </c>
      <c r="AB40" s="1349">
        <f t="shared" si="4"/>
        <v>1</v>
      </c>
      <c r="AC40" s="1349">
        <f t="shared" si="5"/>
        <v>1</v>
      </c>
    </row>
    <row r="41" spans="1:31" ht="15">
      <c r="A41" s="430" t="s">
        <v>1843</v>
      </c>
      <c r="B41" s="1978" t="s">
        <v>1921</v>
      </c>
      <c r="C41" s="630" t="s">
        <v>0</v>
      </c>
      <c r="D41" s="432"/>
      <c r="E41" s="433"/>
      <c r="F41" s="434"/>
      <c r="G41" s="435"/>
      <c r="H41" s="436"/>
      <c r="I41" s="433"/>
      <c r="J41" s="436"/>
      <c r="K41" s="714"/>
      <c r="L41" s="2720"/>
      <c r="M41" s="2712"/>
      <c r="N41" s="2712"/>
      <c r="O41" s="2721"/>
      <c r="P41" s="3758" t="str">
        <f>A41</f>
        <v>成交单价</v>
      </c>
      <c r="Q41" s="3758"/>
      <c r="R41" s="3753">
        <f>E41</f>
        <v>0</v>
      </c>
      <c r="S41" s="3753"/>
      <c r="T41" s="3753">
        <f>G41</f>
        <v>0</v>
      </c>
      <c r="U41" s="3753"/>
      <c r="V41" s="3753">
        <f>I41</f>
        <v>0</v>
      </c>
      <c r="W41" s="3753"/>
      <c r="X41" s="690"/>
      <c r="Y41" s="712"/>
      <c r="Z41" s="690"/>
      <c r="AA41" s="690"/>
      <c r="AB41" s="690"/>
      <c r="AC41" s="690"/>
    </row>
    <row r="42" spans="1:31" ht="15.75" thickBot="1">
      <c r="A42" s="437" t="s">
        <v>1792</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58" t="str">
        <f>A42</f>
        <v>比较价值（元/平方米）</v>
      </c>
      <c r="Q42" s="3758"/>
      <c r="R42" s="3786" t="e">
        <f>ROUND(PRODUCT(R41,AA7:AA40),0)</f>
        <v>#DIV/0!</v>
      </c>
      <c r="S42" s="3786"/>
      <c r="T42" s="3786" t="e">
        <f>ROUND(PRODUCT(T41,AB7:AB40),0)</f>
        <v>#DIV/0!</v>
      </c>
      <c r="U42" s="3786"/>
      <c r="V42" s="3786" t="e">
        <f>ROUND(PRODUCT(V41,AC7:AC40),0)</f>
        <v>#DIV/0!</v>
      </c>
      <c r="W42" s="3786"/>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0"/>
      <c r="M43" s="2712"/>
      <c r="N43" s="2712"/>
      <c r="O43" s="2721"/>
      <c r="P43" s="3755" t="str">
        <f>A43</f>
        <v>估价对象XX用房的比较价值（楼面单价，元/平方米）</v>
      </c>
      <c r="Q43" s="3756"/>
      <c r="R43" s="3787" t="e">
        <f>ROUND(IF(D42="简单平均",AVERAGE(R42:W42),R42*F42+T42*H42+V42*J42),0)</f>
        <v>#DIV/0!</v>
      </c>
      <c r="S43" s="3787"/>
      <c r="T43" s="3787"/>
      <c r="U43" s="3787"/>
      <c r="V43" s="3787"/>
      <c r="W43" s="378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79" t="s">
        <v>1882</v>
      </c>
      <c r="D50" s="1980" t="s">
        <v>1883</v>
      </c>
      <c r="E50" s="634" t="s">
        <v>1884</v>
      </c>
      <c r="F50" s="635" t="s">
        <v>1885</v>
      </c>
      <c r="G50" s="3741" t="s">
        <v>1886</v>
      </c>
      <c r="H50" s="3788"/>
      <c r="I50" s="1352" t="s">
        <v>1922</v>
      </c>
      <c r="J50" s="1352">
        <f>项目基本情况!F35</f>
        <v>0</v>
      </c>
      <c r="K50" s="1982"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t="e">
        <f>C43</f>
        <v>#DIV/0!</v>
      </c>
      <c r="C51" s="638">
        <v>1</v>
      </c>
      <c r="D51" s="940">
        <v>1</v>
      </c>
      <c r="E51" s="638">
        <f>'数据-汇总表'!E8+'数据-汇总表'!E9</f>
        <v>75223.839999999997</v>
      </c>
      <c r="F51" s="639" t="e">
        <f t="shared" ref="F51:F60" si="15">ROUND(B51*E51/10000,0)</f>
        <v>#DIV/0!</v>
      </c>
      <c r="G51" s="3740"/>
      <c r="H51" s="3758"/>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0.6</v>
      </c>
      <c r="D52" s="941">
        <v>0.25</v>
      </c>
      <c r="E52" s="642"/>
      <c r="F52" s="639" t="e">
        <f t="shared" si="15"/>
        <v>#DIV/0!</v>
      </c>
      <c r="G52" s="3002" t="s">
        <v>1891</v>
      </c>
      <c r="H52" s="883" t="str">
        <f>项目基本情况!B37</f>
        <v>五级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0.3</v>
      </c>
      <c r="D53" s="941">
        <v>0.25</v>
      </c>
      <c r="E53" s="642"/>
      <c r="F53" s="639" t="e">
        <f t="shared" si="15"/>
        <v>#DIV/0!</v>
      </c>
      <c r="G53" s="3003"/>
      <c r="H53" s="883" t="str">
        <f>项目基本情况!B37</f>
        <v>五级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0.25</v>
      </c>
      <c r="D54" s="941">
        <v>0.25</v>
      </c>
      <c r="E54" s="642"/>
      <c r="F54" s="639" t="e">
        <f t="shared" si="15"/>
        <v>#DIV/0!</v>
      </c>
      <c r="G54" s="3003"/>
      <c r="H54" s="883" t="str">
        <f>项目基本情况!B37</f>
        <v>五级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0.25</v>
      </c>
      <c r="D56" s="941">
        <v>0.25</v>
      </c>
      <c r="E56" s="217">
        <f>'数据-汇总表'!E11</f>
        <v>0</v>
      </c>
      <c r="F56" s="639" t="e">
        <f t="shared" si="15"/>
        <v>#DIV/0!</v>
      </c>
      <c r="G56" s="1983" t="s">
        <v>1895</v>
      </c>
      <c r="H56" s="883" t="str">
        <f>项目基本情况!C37</f>
        <v>五级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0.25</v>
      </c>
      <c r="D57" s="941">
        <v>0.25</v>
      </c>
      <c r="E57" s="217">
        <f>'数据-汇总表'!E12</f>
        <v>0</v>
      </c>
      <c r="F57" s="639" t="e">
        <f t="shared" si="15"/>
        <v>#DIV/0!</v>
      </c>
      <c r="G57" s="888" t="s">
        <v>1897</v>
      </c>
      <c r="H57" s="883" t="str">
        <f>IF(G57="商业",项目基本情况!B37,IF(G57="办公",项目基本情况!C37,IF(G57="住宅",项目基本情况!D37,项目基本情况!E37)))</f>
        <v>五级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v>
      </c>
      <c r="D58" s="941">
        <v>0.25</v>
      </c>
      <c r="E58" s="217">
        <f>'数据-汇总表'!E13</f>
        <v>30561.740000000005</v>
      </c>
      <c r="F58" s="639" t="e">
        <f t="shared" si="15"/>
        <v>#DIV/0!</v>
      </c>
      <c r="G58" s="888" t="s">
        <v>1899</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0.15</v>
      </c>
      <c r="D59" s="941">
        <v>0.25</v>
      </c>
      <c r="E59" s="217">
        <f>'数据-汇总表'!E14</f>
        <v>0</v>
      </c>
      <c r="F59" s="639" t="e">
        <f t="shared" si="15"/>
        <v>#DIV/0!</v>
      </c>
      <c r="G59" s="1983" t="s">
        <v>1891</v>
      </c>
      <c r="H59" s="883" t="str">
        <f>项目基本情况!B37</f>
        <v>五级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0.15</v>
      </c>
      <c r="D60" s="941">
        <v>0.25</v>
      </c>
      <c r="E60" s="217">
        <f>'数据-汇总表'!E15</f>
        <v>0</v>
      </c>
      <c r="F60" s="639" t="e">
        <f t="shared" si="15"/>
        <v>#DIV/0!</v>
      </c>
      <c r="G60" s="1984" t="s">
        <v>1895</v>
      </c>
      <c r="H60" s="893" t="str">
        <f>项目基本情况!C37</f>
        <v>五级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35932.949999999997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1797</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1903</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1923</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2082</v>
      </c>
      <c r="C1" s="3796" t="s">
        <v>2083</v>
      </c>
      <c r="D1" s="3797"/>
      <c r="E1" s="3797"/>
      <c r="F1" s="3797"/>
      <c r="G1" s="3797"/>
      <c r="H1" s="3797"/>
      <c r="I1" s="3797"/>
      <c r="J1" s="3797"/>
      <c r="K1" s="3797"/>
      <c r="L1" s="3797"/>
      <c r="M1" s="3797"/>
      <c r="N1" s="3797"/>
      <c r="O1" s="3797"/>
      <c r="P1" s="3797"/>
      <c r="Q1" s="3797"/>
      <c r="R1" s="3797"/>
      <c r="S1" s="3798"/>
      <c r="T1" s="979" t="s">
        <v>2084</v>
      </c>
    </row>
    <row r="2" spans="1:45" s="655" customFormat="1">
      <c r="A2" s="980"/>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2086</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2087</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2088</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2089</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2090</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2091</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2092</v>
      </c>
      <c r="B17" s="2145" t="s">
        <v>2093</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2094</v>
      </c>
      <c r="E19" s="1336"/>
      <c r="F19" s="1336"/>
      <c r="G19" s="1336"/>
      <c r="H19" s="1055"/>
      <c r="I19" s="159"/>
      <c r="J19" s="159"/>
      <c r="K19" s="159"/>
      <c r="L19" s="159"/>
      <c r="M19" s="159"/>
      <c r="N19" s="159"/>
      <c r="O19" s="159"/>
      <c r="P19" s="159"/>
      <c r="Q19" s="159"/>
      <c r="R19" s="718"/>
      <c r="S19" s="129"/>
    </row>
    <row r="20" spans="1:45" ht="16.5" thickBot="1">
      <c r="A20" s="662" t="s">
        <v>2095</v>
      </c>
      <c r="B20" s="294" t="e">
        <f ca="1">IF(D20="——",S22,S22-F20)</f>
        <v>#REF!</v>
      </c>
      <c r="C20" s="159"/>
      <c r="D20" s="2147"/>
      <c r="E20" s="1337"/>
      <c r="F20" s="979" t="e">
        <f ca="1">SUMIF(INDIRECT("'"&amp;H20&amp;"'"&amp;"!A:A"),"承租人权益价值",INDIRECT("'"&amp;H20&amp;"'"&amp;"!c:c"))</f>
        <v>#REF!</v>
      </c>
      <c r="G20" s="979" t="s">
        <v>2096</v>
      </c>
      <c r="H20" s="2148"/>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3" t="s">
        <v>27</v>
      </c>
      <c r="D22" s="3794"/>
      <c r="E22" s="3794"/>
      <c r="F22" s="3794"/>
      <c r="G22" s="3794"/>
      <c r="H22" s="3794"/>
      <c r="I22" s="3794"/>
      <c r="J22" s="3794"/>
      <c r="K22" s="3794"/>
      <c r="L22" s="3794"/>
      <c r="M22" s="3794"/>
      <c r="N22" s="3794"/>
      <c r="O22" s="3794"/>
      <c r="P22" s="3794"/>
      <c r="Q22" s="379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2080</v>
      </c>
      <c r="B1" s="2143"/>
      <c r="C1" s="2143"/>
      <c r="D1" s="2143"/>
      <c r="E1" s="2143"/>
      <c r="F1" s="2789"/>
      <c r="G1" s="2789"/>
      <c r="H1" s="2789"/>
      <c r="I1" s="2789"/>
      <c r="J1" s="2789"/>
      <c r="K1" s="2789"/>
      <c r="L1" s="2789"/>
      <c r="M1" s="2789"/>
      <c r="N1" s="2789"/>
      <c r="O1" s="2789"/>
      <c r="P1" s="2789"/>
    </row>
    <row r="2" spans="1:16" ht="15.75">
      <c r="A2" s="2141" t="s">
        <v>2072</v>
      </c>
      <c r="B2" s="2598">
        <f ca="1">SUMIF(B6:B13,"&lt;&gt;#ref!",B6:B13)</f>
        <v>70694</v>
      </c>
      <c r="C2" s="2141" t="s">
        <v>2073</v>
      </c>
      <c r="D2" s="2141" t="s">
        <v>2074</v>
      </c>
      <c r="E2" s="2608">
        <f ca="1">SUMIF(E6:E13,"&lt;&gt;#ref!",E6:E13)</f>
        <v>102810.34</v>
      </c>
      <c r="F2" s="2789"/>
      <c r="G2" s="2789"/>
      <c r="H2" s="2789"/>
      <c r="I2" s="2789"/>
      <c r="J2" s="2789"/>
      <c r="K2" s="2789"/>
      <c r="L2" s="2789"/>
      <c r="M2" s="2789"/>
      <c r="N2" s="2789"/>
      <c r="O2" s="2789"/>
      <c r="P2" s="2789"/>
    </row>
    <row r="3" spans="1:16" ht="15.75">
      <c r="A3" s="2141" t="s">
        <v>2075</v>
      </c>
      <c r="B3" s="2598">
        <f ca="1">ROUND(B2*10000/E2,0)</f>
        <v>6876</v>
      </c>
      <c r="C3" s="2141"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2"/>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70694</v>
      </c>
      <c r="C6" s="2141" t="s">
        <v>2073</v>
      </c>
      <c r="D6" s="2789"/>
      <c r="E6" s="2608">
        <f ca="1">SUMIF(INDIRECT("'"&amp;A6&amp;"'"&amp;"!C:C"),"建筑面积",INDIRECT("'"&amp;A6&amp;"'"&amp;"!D:D"))</f>
        <v>102810.34</v>
      </c>
      <c r="F6" s="2789"/>
      <c r="G6" s="2789"/>
      <c r="H6" s="2789"/>
      <c r="I6" s="2789"/>
      <c r="J6" s="2789"/>
      <c r="K6" s="2789"/>
      <c r="L6" s="2789"/>
      <c r="M6" s="2789"/>
      <c r="N6" s="2789"/>
      <c r="O6" s="2789"/>
      <c r="P6" s="2789"/>
    </row>
    <row r="7" spans="1:16" ht="15.75">
      <c r="A7" s="2605"/>
      <c r="B7" s="2598" t="e">
        <f ca="1">SUMIF(INDIRECT("'"&amp;A7&amp;"'"&amp;"!A:A"),"总价",INDIRECT("'"&amp;A7&amp;"'"&amp;"!B:B"))</f>
        <v>#REF!</v>
      </c>
      <c r="C7" s="2141"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06" t="s">
        <v>2610</v>
      </c>
      <c r="B20" s="3799" t="s">
        <v>2631</v>
      </c>
      <c r="C20" s="3099" t="s">
        <v>2442</v>
      </c>
      <c r="D20" s="3100"/>
      <c r="E20" s="3101">
        <v>1</v>
      </c>
      <c r="F20" s="3102" t="s">
        <v>2443</v>
      </c>
      <c r="G20" s="3102"/>
    </row>
    <row r="21" spans="1:13" ht="19.5" customHeight="1">
      <c r="A21" s="3807"/>
      <c r="B21" s="3800"/>
      <c r="C21" s="3103" t="s">
        <v>2444</v>
      </c>
      <c r="D21" s="3104"/>
      <c r="E21" s="3105">
        <v>1</v>
      </c>
      <c r="F21" s="3102" t="s">
        <v>2445</v>
      </c>
      <c r="G21" s="3102"/>
    </row>
    <row r="22" spans="1:13" ht="19.5" customHeight="1">
      <c r="A22" s="3807"/>
      <c r="B22" s="3800"/>
      <c r="C22" s="3103" t="s">
        <v>2446</v>
      </c>
      <c r="D22" s="3104"/>
      <c r="E22" s="3105">
        <v>0.9</v>
      </c>
      <c r="F22" s="3102" t="s">
        <v>2447</v>
      </c>
      <c r="G22" s="3102"/>
    </row>
    <row r="23" spans="1:13" ht="19.5" customHeight="1">
      <c r="A23" s="3807"/>
      <c r="B23" s="3800"/>
      <c r="C23" s="3103" t="s">
        <v>2448</v>
      </c>
      <c r="D23" s="3104"/>
      <c r="E23" s="3105">
        <v>0.9</v>
      </c>
      <c r="F23" s="3102" t="s">
        <v>2449</v>
      </c>
      <c r="G23" s="3102"/>
    </row>
    <row r="24" spans="1:13" ht="19.5" customHeight="1">
      <c r="A24" s="3807"/>
      <c r="B24" s="3800"/>
      <c r="C24" s="3103" t="s">
        <v>2450</v>
      </c>
      <c r="D24" s="3104"/>
      <c r="E24" s="3105">
        <v>0.8</v>
      </c>
      <c r="F24" s="3102" t="s">
        <v>2451</v>
      </c>
      <c r="G24" s="3102"/>
    </row>
    <row r="25" spans="1:13" ht="19.5" customHeight="1" thickBot="1">
      <c r="A25" s="3808"/>
      <c r="B25" s="3801"/>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02" t="s">
        <v>2634</v>
      </c>
      <c r="B27" s="3799" t="s">
        <v>2615</v>
      </c>
      <c r="C27" s="3099" t="s">
        <v>2455</v>
      </c>
      <c r="D27" s="3100"/>
      <c r="E27" s="3101">
        <v>1</v>
      </c>
      <c r="F27" s="3102" t="s">
        <v>2456</v>
      </c>
      <c r="G27" s="3102"/>
    </row>
    <row r="28" spans="1:13" ht="19.5" customHeight="1">
      <c r="A28" s="3803"/>
      <c r="B28" s="3800"/>
      <c r="C28" s="3103" t="s">
        <v>2457</v>
      </c>
      <c r="D28" s="3104"/>
      <c r="E28" s="3105">
        <v>1</v>
      </c>
      <c r="F28" s="3102" t="s">
        <v>2458</v>
      </c>
      <c r="G28" s="3102"/>
    </row>
    <row r="29" spans="1:13" ht="19.5" customHeight="1">
      <c r="A29" s="3803"/>
      <c r="B29" s="3800"/>
      <c r="C29" s="3103" t="s">
        <v>2459</v>
      </c>
      <c r="D29" s="3104"/>
      <c r="E29" s="3105">
        <v>0.8</v>
      </c>
      <c r="F29" s="3102" t="s">
        <v>2460</v>
      </c>
      <c r="G29" s="3102"/>
    </row>
    <row r="30" spans="1:13" ht="19.5" customHeight="1">
      <c r="A30" s="3803"/>
      <c r="B30" s="3800"/>
      <c r="C30" s="3103" t="s">
        <v>2461</v>
      </c>
      <c r="D30" s="3104"/>
      <c r="E30" s="3105">
        <v>0.8</v>
      </c>
      <c r="F30" s="3102" t="s">
        <v>2462</v>
      </c>
      <c r="G30" s="3102"/>
    </row>
    <row r="31" spans="1:13" ht="19.5" customHeight="1">
      <c r="A31" s="3803"/>
      <c r="B31" s="3800"/>
      <c r="C31" s="3103" t="s">
        <v>2463</v>
      </c>
      <c r="D31" s="3104"/>
      <c r="E31" s="3105">
        <v>0.8</v>
      </c>
      <c r="F31" s="3102" t="s">
        <v>2464</v>
      </c>
      <c r="G31" s="3102"/>
    </row>
    <row r="32" spans="1:13" ht="19.5" customHeight="1">
      <c r="A32" s="3803"/>
      <c r="B32" s="3800"/>
      <c r="C32" s="3103" t="s">
        <v>2465</v>
      </c>
      <c r="D32" s="3104"/>
      <c r="E32" s="3105">
        <v>0.7</v>
      </c>
      <c r="F32" s="3102" t="s">
        <v>2466</v>
      </c>
      <c r="G32" s="3102"/>
    </row>
    <row r="33" spans="1:7" ht="19.5" customHeight="1">
      <c r="A33" s="3803"/>
      <c r="B33" s="3800"/>
      <c r="C33" s="3103" t="s">
        <v>2467</v>
      </c>
      <c r="D33" s="3104"/>
      <c r="E33" s="3105">
        <v>0.8</v>
      </c>
      <c r="F33" s="3102" t="s">
        <v>2468</v>
      </c>
      <c r="G33" s="3102"/>
    </row>
    <row r="34" spans="1:7" ht="19.5" customHeight="1">
      <c r="A34" s="3803"/>
      <c r="B34" s="3800"/>
      <c r="C34" s="3103" t="s">
        <v>2469</v>
      </c>
      <c r="D34" s="3104"/>
      <c r="E34" s="3105">
        <v>0.6</v>
      </c>
      <c r="F34" s="3102" t="s">
        <v>2470</v>
      </c>
      <c r="G34" s="3102"/>
    </row>
    <row r="35" spans="1:7" ht="19.5" customHeight="1">
      <c r="A35" s="3803"/>
      <c r="B35" s="3800"/>
      <c r="C35" s="3103" t="s">
        <v>2471</v>
      </c>
      <c r="D35" s="3104"/>
      <c r="E35" s="3105">
        <v>0.2</v>
      </c>
      <c r="F35" s="3102" t="s">
        <v>2472</v>
      </c>
      <c r="G35" s="3102"/>
    </row>
    <row r="36" spans="1:7" ht="19.5" customHeight="1">
      <c r="A36" s="3803"/>
      <c r="B36" s="3800"/>
      <c r="C36" s="3103" t="s">
        <v>2473</v>
      </c>
      <c r="D36" s="3104"/>
      <c r="E36" s="3105">
        <v>0.2</v>
      </c>
      <c r="F36" s="3102" t="s">
        <v>2474</v>
      </c>
      <c r="G36" s="3102"/>
    </row>
    <row r="37" spans="1:7" ht="19.5" customHeight="1">
      <c r="A37" s="3803"/>
      <c r="B37" s="3805" t="s">
        <v>2635</v>
      </c>
      <c r="C37" s="3103" t="s">
        <v>2475</v>
      </c>
      <c r="D37" s="3104"/>
      <c r="E37" s="3105">
        <v>0.6</v>
      </c>
      <c r="F37" s="3102" t="s">
        <v>2476</v>
      </c>
      <c r="G37" s="3102"/>
    </row>
    <row r="38" spans="1:7" ht="19.5" customHeight="1">
      <c r="A38" s="3803"/>
      <c r="B38" s="3800"/>
      <c r="C38" s="3103" t="s">
        <v>2477</v>
      </c>
      <c r="D38" s="3104"/>
      <c r="E38" s="3105">
        <v>0.6</v>
      </c>
      <c r="F38" s="3102" t="s">
        <v>2478</v>
      </c>
      <c r="G38" s="3102"/>
    </row>
    <row r="39" spans="1:7" ht="19.5" customHeight="1" thickBot="1">
      <c r="A39" s="3804"/>
      <c r="B39" s="3801"/>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06" t="s">
        <v>2613</v>
      </c>
      <c r="B41" s="3799" t="s">
        <v>2637</v>
      </c>
      <c r="C41" s="3099" t="s">
        <v>2482</v>
      </c>
      <c r="D41" s="3100"/>
      <c r="E41" s="3101">
        <v>1</v>
      </c>
      <c r="F41" s="3102" t="s">
        <v>2483</v>
      </c>
      <c r="G41" s="3102"/>
    </row>
    <row r="42" spans="1:7" ht="19.5" customHeight="1">
      <c r="A42" s="3807"/>
      <c r="B42" s="3800"/>
      <c r="C42" s="3103" t="s">
        <v>2484</v>
      </c>
      <c r="D42" s="3104"/>
      <c r="E42" s="3105">
        <v>1</v>
      </c>
      <c r="F42" s="3102" t="s">
        <v>2485</v>
      </c>
      <c r="G42" s="3102"/>
    </row>
    <row r="43" spans="1:7" ht="19.5" customHeight="1">
      <c r="A43" s="3807"/>
      <c r="B43" s="3809"/>
      <c r="C43" s="3103" t="s">
        <v>2486</v>
      </c>
      <c r="D43" s="3104"/>
      <c r="E43" s="3105">
        <v>1.5</v>
      </c>
      <c r="F43" s="3102" t="s">
        <v>2487</v>
      </c>
      <c r="G43" s="3102"/>
    </row>
    <row r="44" spans="1:7" ht="19.5" customHeight="1">
      <c r="A44" s="3807"/>
      <c r="B44" s="3114" t="s">
        <v>2638</v>
      </c>
      <c r="C44" s="3103" t="s">
        <v>2639</v>
      </c>
      <c r="D44" s="3104"/>
      <c r="E44" s="3105">
        <v>2</v>
      </c>
      <c r="F44" s="3102" t="s">
        <v>2488</v>
      </c>
      <c r="G44" s="3102"/>
    </row>
    <row r="45" spans="1:7" ht="19.5" customHeight="1">
      <c r="A45" s="3807"/>
      <c r="B45" s="3805" t="s">
        <v>2640</v>
      </c>
      <c r="C45" s="3103" t="s">
        <v>2489</v>
      </c>
      <c r="D45" s="3104"/>
      <c r="E45" s="3105">
        <v>1</v>
      </c>
      <c r="F45" s="3102" t="s">
        <v>2490</v>
      </c>
      <c r="G45" s="3102"/>
    </row>
    <row r="46" spans="1:7" ht="19.5" customHeight="1">
      <c r="A46" s="3807"/>
      <c r="B46" s="3800"/>
      <c r="C46" s="3103" t="s">
        <v>2491</v>
      </c>
      <c r="D46" s="3104"/>
      <c r="E46" s="3105">
        <v>1</v>
      </c>
      <c r="F46" s="3102" t="s">
        <v>2492</v>
      </c>
      <c r="G46" s="3102"/>
    </row>
    <row r="47" spans="1:7" ht="19.5" customHeight="1">
      <c r="A47" s="3807"/>
      <c r="B47" s="3800"/>
      <c r="C47" s="3103" t="s">
        <v>2493</v>
      </c>
      <c r="D47" s="3104"/>
      <c r="E47" s="3105">
        <v>1</v>
      </c>
      <c r="F47" s="3102" t="s">
        <v>2494</v>
      </c>
      <c r="G47" s="3102"/>
    </row>
    <row r="48" spans="1:7" ht="19.5" customHeight="1">
      <c r="A48" s="3807"/>
      <c r="B48" s="3800"/>
      <c r="C48" s="3103" t="s">
        <v>2495</v>
      </c>
      <c r="D48" s="3104"/>
      <c r="E48" s="3105">
        <v>1</v>
      </c>
      <c r="F48" s="3102" t="s">
        <v>2496</v>
      </c>
      <c r="G48" s="3102"/>
    </row>
    <row r="49" spans="1:7" ht="19.5" customHeight="1">
      <c r="A49" s="3807"/>
      <c r="B49" s="3800"/>
      <c r="C49" s="3103" t="s">
        <v>2497</v>
      </c>
      <c r="D49" s="3104"/>
      <c r="E49" s="3105">
        <v>1</v>
      </c>
      <c r="F49" s="3102" t="s">
        <v>2498</v>
      </c>
      <c r="G49" s="3102"/>
    </row>
    <row r="50" spans="1:7" ht="19.5" customHeight="1">
      <c r="A50" s="3807"/>
      <c r="B50" s="3800"/>
      <c r="C50" s="3103" t="s">
        <v>2499</v>
      </c>
      <c r="D50" s="3104"/>
      <c r="E50" s="3105">
        <v>1</v>
      </c>
      <c r="F50" s="3102" t="s">
        <v>2500</v>
      </c>
      <c r="G50" s="3102"/>
    </row>
    <row r="51" spans="1:7" ht="19.5" customHeight="1" thickBot="1">
      <c r="A51" s="3808"/>
      <c r="B51" s="3801"/>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05" t="s">
        <v>2654</v>
      </c>
      <c r="C73" s="3088" t="s">
        <v>2655</v>
      </c>
      <c r="D73" s="3088" t="s">
        <v>2656</v>
      </c>
      <c r="E73" s="3114">
        <v>0.2</v>
      </c>
      <c r="F73" s="3114">
        <v>25</v>
      </c>
    </row>
    <row r="74" spans="1:7" ht="24">
      <c r="A74" s="3114">
        <v>2</v>
      </c>
      <c r="B74" s="3800"/>
      <c r="C74" s="3088" t="s">
        <v>2657</v>
      </c>
      <c r="D74" s="3088" t="s">
        <v>2658</v>
      </c>
      <c r="E74" s="3114">
        <v>0.2</v>
      </c>
      <c r="F74" s="3114">
        <v>25</v>
      </c>
    </row>
    <row r="75" spans="1:7" ht="24">
      <c r="A75" s="3114">
        <v>3</v>
      </c>
      <c r="B75" s="3800"/>
      <c r="C75" s="3088" t="s">
        <v>2659</v>
      </c>
      <c r="D75" s="3088" t="s">
        <v>2660</v>
      </c>
      <c r="E75" s="3114">
        <v>0.2</v>
      </c>
      <c r="F75" s="3114">
        <v>25</v>
      </c>
    </row>
    <row r="76" spans="1:7" ht="13.5">
      <c r="A76" s="3114">
        <v>4</v>
      </c>
      <c r="B76" s="3800"/>
      <c r="C76" s="3088" t="s">
        <v>2661</v>
      </c>
      <c r="D76" s="3088" t="s">
        <v>2662</v>
      </c>
      <c r="E76" s="3114">
        <v>0.15</v>
      </c>
      <c r="F76" s="3114">
        <v>20</v>
      </c>
    </row>
    <row r="77" spans="1:7" ht="24">
      <c r="A77" s="3114">
        <v>5</v>
      </c>
      <c r="B77" s="3800"/>
      <c r="C77" s="3088" t="s">
        <v>2663</v>
      </c>
      <c r="D77" s="3088" t="s">
        <v>2664</v>
      </c>
      <c r="E77" s="3114">
        <v>0.15</v>
      </c>
      <c r="F77" s="3114">
        <v>20</v>
      </c>
    </row>
    <row r="78" spans="1:7" ht="24">
      <c r="A78" s="3114">
        <v>6</v>
      </c>
      <c r="B78" s="3800"/>
      <c r="C78" s="3088" t="s">
        <v>2665</v>
      </c>
      <c r="D78" s="3088" t="s">
        <v>2666</v>
      </c>
      <c r="E78" s="3114">
        <v>0.15</v>
      </c>
      <c r="F78" s="3114">
        <v>20</v>
      </c>
    </row>
    <row r="79" spans="1:7" ht="24">
      <c r="A79" s="3114">
        <v>7</v>
      </c>
      <c r="B79" s="3800"/>
      <c r="C79" s="3088" t="s">
        <v>2667</v>
      </c>
      <c r="D79" s="3088" t="s">
        <v>2668</v>
      </c>
      <c r="E79" s="3114">
        <v>0.15</v>
      </c>
      <c r="F79" s="3114">
        <v>20</v>
      </c>
    </row>
    <row r="80" spans="1:7" ht="24">
      <c r="A80" s="3114">
        <v>8</v>
      </c>
      <c r="B80" s="3800"/>
      <c r="C80" s="3088" t="s">
        <v>2669</v>
      </c>
      <c r="D80" s="3088" t="s">
        <v>2670</v>
      </c>
      <c r="E80" s="3114">
        <v>0.1</v>
      </c>
      <c r="F80" s="3114">
        <v>15</v>
      </c>
    </row>
    <row r="81" spans="1:6" ht="24">
      <c r="A81" s="3114">
        <v>9</v>
      </c>
      <c r="B81" s="3800"/>
      <c r="C81" s="3088" t="s">
        <v>2671</v>
      </c>
      <c r="D81" s="3088" t="s">
        <v>2672</v>
      </c>
      <c r="E81" s="3114">
        <v>0.1</v>
      </c>
      <c r="F81" s="3114">
        <v>15</v>
      </c>
    </row>
    <row r="82" spans="1:6" ht="24">
      <c r="A82" s="3114">
        <v>10</v>
      </c>
      <c r="B82" s="3800"/>
      <c r="C82" s="3088" t="s">
        <v>2673</v>
      </c>
      <c r="D82" s="3088" t="s">
        <v>2674</v>
      </c>
      <c r="E82" s="3114">
        <v>0.1</v>
      </c>
      <c r="F82" s="3114">
        <v>15</v>
      </c>
    </row>
    <row r="83" spans="1:6" ht="24">
      <c r="A83" s="3114">
        <v>11</v>
      </c>
      <c r="B83" s="3800"/>
      <c r="C83" s="3088" t="s">
        <v>2675</v>
      </c>
      <c r="D83" s="3088" t="s">
        <v>2676</v>
      </c>
      <c r="E83" s="3114">
        <v>0.1</v>
      </c>
      <c r="F83" s="3114">
        <v>15</v>
      </c>
    </row>
    <row r="84" spans="1:6" ht="24">
      <c r="A84" s="3114">
        <v>12</v>
      </c>
      <c r="B84" s="3800"/>
      <c r="C84" s="3088" t="s">
        <v>2677</v>
      </c>
      <c r="D84" s="3088" t="s">
        <v>2678</v>
      </c>
      <c r="E84" s="3114">
        <v>0.1</v>
      </c>
      <c r="F84" s="3114">
        <v>15</v>
      </c>
    </row>
    <row r="85" spans="1:6" ht="13.5">
      <c r="A85" s="3114">
        <v>13</v>
      </c>
      <c r="B85" s="3800"/>
      <c r="C85" s="3088" t="s">
        <v>2679</v>
      </c>
      <c r="D85" s="3088" t="s">
        <v>2680</v>
      </c>
      <c r="E85" s="3114">
        <v>0.1</v>
      </c>
      <c r="F85" s="3114">
        <v>15</v>
      </c>
    </row>
    <row r="86" spans="1:6" ht="13.5">
      <c r="A86" s="3114">
        <v>14</v>
      </c>
      <c r="B86" s="3800"/>
      <c r="C86" s="3088" t="s">
        <v>2681</v>
      </c>
      <c r="D86" s="3088" t="s">
        <v>2682</v>
      </c>
      <c r="E86" s="3114">
        <v>0.1</v>
      </c>
      <c r="F86" s="3114">
        <v>15</v>
      </c>
    </row>
    <row r="87" spans="1:6" ht="13.5">
      <c r="A87" s="3114">
        <v>15</v>
      </c>
      <c r="B87" s="3800"/>
      <c r="C87" s="3088" t="s">
        <v>2683</v>
      </c>
      <c r="D87" s="3088" t="s">
        <v>2684</v>
      </c>
      <c r="E87" s="3114">
        <v>0.1</v>
      </c>
      <c r="F87" s="3114">
        <v>15</v>
      </c>
    </row>
    <row r="88" spans="1:6" ht="24">
      <c r="A88" s="3114">
        <v>16</v>
      </c>
      <c r="B88" s="3800"/>
      <c r="C88" s="3088" t="s">
        <v>2685</v>
      </c>
      <c r="D88" s="3088" t="s">
        <v>2686</v>
      </c>
      <c r="E88" s="3114">
        <v>0.1</v>
      </c>
      <c r="F88" s="3114">
        <v>15</v>
      </c>
    </row>
    <row r="89" spans="1:6" ht="24">
      <c r="A89" s="3114">
        <v>17</v>
      </c>
      <c r="B89" s="3809"/>
      <c r="C89" s="3088" t="s">
        <v>2687</v>
      </c>
      <c r="D89" s="3088" t="s">
        <v>2688</v>
      </c>
      <c r="E89" s="3114">
        <v>0.1</v>
      </c>
      <c r="F89" s="3114">
        <v>15</v>
      </c>
    </row>
    <row r="90" spans="1:6" ht="13.5">
      <c r="A90" s="3114">
        <v>18</v>
      </c>
      <c r="B90" s="3805" t="s">
        <v>2689</v>
      </c>
      <c r="C90" s="3088" t="s">
        <v>2690</v>
      </c>
      <c r="D90" s="3088" t="s">
        <v>2691</v>
      </c>
      <c r="E90" s="3114">
        <v>0.2</v>
      </c>
      <c r="F90" s="3114">
        <v>25</v>
      </c>
    </row>
    <row r="91" spans="1:6" ht="24">
      <c r="A91" s="3114">
        <v>19</v>
      </c>
      <c r="B91" s="3800"/>
      <c r="C91" s="3088" t="s">
        <v>2692</v>
      </c>
      <c r="D91" s="3088" t="s">
        <v>2693</v>
      </c>
      <c r="E91" s="3114">
        <v>0.2</v>
      </c>
      <c r="F91" s="3114">
        <v>25</v>
      </c>
    </row>
    <row r="92" spans="1:6" ht="13.5">
      <c r="A92" s="3114">
        <v>20</v>
      </c>
      <c r="B92" s="3800"/>
      <c r="C92" s="3088" t="s">
        <v>2694</v>
      </c>
      <c r="D92" s="3088" t="s">
        <v>2695</v>
      </c>
      <c r="E92" s="3114">
        <v>0.15</v>
      </c>
      <c r="F92" s="3114">
        <v>20</v>
      </c>
    </row>
    <row r="93" spans="1:6" ht="13.5">
      <c r="A93" s="3114">
        <v>21</v>
      </c>
      <c r="B93" s="3800"/>
      <c r="C93" s="3088" t="s">
        <v>2696</v>
      </c>
      <c r="D93" s="3088" t="s">
        <v>2697</v>
      </c>
      <c r="E93" s="3114">
        <v>0.15</v>
      </c>
      <c r="F93" s="3114">
        <v>20</v>
      </c>
    </row>
    <row r="94" spans="1:6" ht="13.5">
      <c r="A94" s="3114">
        <v>22</v>
      </c>
      <c r="B94" s="3800"/>
      <c r="C94" s="3088" t="s">
        <v>2698</v>
      </c>
      <c r="D94" s="3088" t="s">
        <v>2699</v>
      </c>
      <c r="E94" s="3114">
        <v>0.15</v>
      </c>
      <c r="F94" s="3114">
        <v>20</v>
      </c>
    </row>
    <row r="95" spans="1:6" ht="36">
      <c r="A95" s="3114">
        <v>23</v>
      </c>
      <c r="B95" s="3800"/>
      <c r="C95" s="3088" t="s">
        <v>2700</v>
      </c>
      <c r="D95" s="3088" t="s">
        <v>2701</v>
      </c>
      <c r="E95" s="3114">
        <v>0.15</v>
      </c>
      <c r="F95" s="3114">
        <v>20</v>
      </c>
    </row>
    <row r="96" spans="1:6" ht="13.5">
      <c r="A96" s="3114">
        <v>24</v>
      </c>
      <c r="B96" s="3800"/>
      <c r="C96" s="3088" t="s">
        <v>2702</v>
      </c>
      <c r="D96" s="3088" t="s">
        <v>2703</v>
      </c>
      <c r="E96" s="3114">
        <v>0.1</v>
      </c>
      <c r="F96" s="3114">
        <v>15</v>
      </c>
    </row>
    <row r="97" spans="1:6" ht="13.5">
      <c r="A97" s="3114">
        <v>25</v>
      </c>
      <c r="B97" s="3800"/>
      <c r="C97" s="3088" t="s">
        <v>2704</v>
      </c>
      <c r="D97" s="3088" t="s">
        <v>2705</v>
      </c>
      <c r="E97" s="3114">
        <v>0.1</v>
      </c>
      <c r="F97" s="3114">
        <v>15</v>
      </c>
    </row>
    <row r="98" spans="1:6" ht="24">
      <c r="A98" s="3114">
        <v>26</v>
      </c>
      <c r="B98" s="3800"/>
      <c r="C98" s="3088" t="s">
        <v>2706</v>
      </c>
      <c r="D98" s="3088" t="s">
        <v>2707</v>
      </c>
      <c r="E98" s="3114">
        <v>0.1</v>
      </c>
      <c r="F98" s="3114">
        <v>15</v>
      </c>
    </row>
    <row r="99" spans="1:6" ht="24">
      <c r="A99" s="3114">
        <v>27</v>
      </c>
      <c r="B99" s="3800"/>
      <c r="C99" s="3088" t="s">
        <v>2708</v>
      </c>
      <c r="D99" s="3088" t="s">
        <v>2709</v>
      </c>
      <c r="E99" s="3114">
        <v>0.1</v>
      </c>
      <c r="F99" s="3114">
        <v>15</v>
      </c>
    </row>
    <row r="100" spans="1:6" ht="13.5">
      <c r="A100" s="3114">
        <v>28</v>
      </c>
      <c r="B100" s="3800"/>
      <c r="C100" s="3088" t="s">
        <v>2710</v>
      </c>
      <c r="D100" s="3088" t="s">
        <v>2711</v>
      </c>
      <c r="E100" s="3114">
        <v>0.1</v>
      </c>
      <c r="F100" s="3114">
        <v>15</v>
      </c>
    </row>
    <row r="101" spans="1:6" ht="13.5">
      <c r="A101" s="3114">
        <v>29</v>
      </c>
      <c r="B101" s="3800"/>
      <c r="C101" s="3088" t="s">
        <v>2712</v>
      </c>
      <c r="D101" s="3088" t="s">
        <v>2713</v>
      </c>
      <c r="E101" s="3114">
        <v>0.1</v>
      </c>
      <c r="F101" s="3114">
        <v>15</v>
      </c>
    </row>
    <row r="102" spans="1:6" ht="13.5">
      <c r="A102" s="3114">
        <v>30</v>
      </c>
      <c r="B102" s="3800"/>
      <c r="C102" s="3088" t="s">
        <v>2714</v>
      </c>
      <c r="D102" s="3088" t="s">
        <v>2715</v>
      </c>
      <c r="E102" s="3114">
        <v>0.1</v>
      </c>
      <c r="F102" s="3114">
        <v>15</v>
      </c>
    </row>
    <row r="103" spans="1:6" ht="24">
      <c r="A103" s="3114">
        <v>31</v>
      </c>
      <c r="B103" s="3800"/>
      <c r="C103" s="3088" t="s">
        <v>2716</v>
      </c>
      <c r="D103" s="3088" t="s">
        <v>2717</v>
      </c>
      <c r="E103" s="3114">
        <v>0.1</v>
      </c>
      <c r="F103" s="3114">
        <v>15</v>
      </c>
    </row>
    <row r="104" spans="1:6" ht="24">
      <c r="A104" s="3114">
        <v>32</v>
      </c>
      <c r="B104" s="3800"/>
      <c r="C104" s="3088" t="s">
        <v>2718</v>
      </c>
      <c r="D104" s="3088" t="s">
        <v>2719</v>
      </c>
      <c r="E104" s="3114">
        <v>0.1</v>
      </c>
      <c r="F104" s="3114">
        <v>15</v>
      </c>
    </row>
    <row r="105" spans="1:6" ht="24">
      <c r="A105" s="3114">
        <v>33</v>
      </c>
      <c r="B105" s="3800"/>
      <c r="C105" s="3088" t="s">
        <v>2720</v>
      </c>
      <c r="D105" s="3088" t="s">
        <v>2721</v>
      </c>
      <c r="E105" s="3114">
        <v>0.1</v>
      </c>
      <c r="F105" s="3114">
        <v>15</v>
      </c>
    </row>
    <row r="106" spans="1:6" ht="24">
      <c r="A106" s="3114">
        <v>34</v>
      </c>
      <c r="B106" s="3809"/>
      <c r="C106" s="3088" t="s">
        <v>2722</v>
      </c>
      <c r="D106" s="3088" t="s">
        <v>2723</v>
      </c>
      <c r="E106" s="3114">
        <v>0.1</v>
      </c>
      <c r="F106" s="3114">
        <v>15</v>
      </c>
    </row>
    <row r="107" spans="1:6" ht="24">
      <c r="A107" s="3114">
        <v>35</v>
      </c>
      <c r="B107" s="3805" t="s">
        <v>2724</v>
      </c>
      <c r="C107" s="3114" t="s">
        <v>2725</v>
      </c>
      <c r="D107" s="3088" t="s">
        <v>2726</v>
      </c>
      <c r="E107" s="3114">
        <v>0.15</v>
      </c>
      <c r="F107" s="3114">
        <v>20</v>
      </c>
    </row>
    <row r="108" spans="1:6" ht="13.5">
      <c r="A108" s="3114">
        <v>36</v>
      </c>
      <c r="B108" s="3800"/>
      <c r="C108" s="3114" t="s">
        <v>2727</v>
      </c>
      <c r="D108" s="3088" t="s">
        <v>2728</v>
      </c>
      <c r="E108" s="3114">
        <v>0.15</v>
      </c>
      <c r="F108" s="3114">
        <v>20</v>
      </c>
    </row>
    <row r="109" spans="1:6" ht="13.5">
      <c r="A109" s="3114">
        <v>37</v>
      </c>
      <c r="B109" s="3800"/>
      <c r="C109" s="3114" t="s">
        <v>2729</v>
      </c>
      <c r="D109" s="3088" t="s">
        <v>2730</v>
      </c>
      <c r="E109" s="3114">
        <v>0.15</v>
      </c>
      <c r="F109" s="3114">
        <v>20</v>
      </c>
    </row>
    <row r="110" spans="1:6" ht="13.5">
      <c r="A110" s="3114">
        <v>38</v>
      </c>
      <c r="B110" s="3800"/>
      <c r="C110" s="3114" t="s">
        <v>2731</v>
      </c>
      <c r="D110" s="3088" t="s">
        <v>2732</v>
      </c>
      <c r="E110" s="3114">
        <v>0.1</v>
      </c>
      <c r="F110" s="3114">
        <v>15</v>
      </c>
    </row>
    <row r="111" spans="1:6" ht="24">
      <c r="A111" s="3114">
        <v>39</v>
      </c>
      <c r="B111" s="3800"/>
      <c r="C111" s="3114" t="s">
        <v>2733</v>
      </c>
      <c r="D111" s="3088" t="s">
        <v>2734</v>
      </c>
      <c r="E111" s="3114">
        <v>0.1</v>
      </c>
      <c r="F111" s="3114">
        <v>15</v>
      </c>
    </row>
    <row r="112" spans="1:6" ht="24">
      <c r="A112" s="3114">
        <v>40</v>
      </c>
      <c r="B112" s="3809"/>
      <c r="C112" s="3114" t="s">
        <v>2735</v>
      </c>
      <c r="D112" s="3088" t="s">
        <v>2736</v>
      </c>
      <c r="E112" s="3114">
        <v>0.1</v>
      </c>
      <c r="F112" s="3114">
        <v>15</v>
      </c>
    </row>
    <row r="113" spans="1:6" ht="13.5">
      <c r="A113" s="3114">
        <v>41</v>
      </c>
      <c r="B113" s="3810" t="s">
        <v>2737</v>
      </c>
      <c r="C113" s="3114" t="s">
        <v>2738</v>
      </c>
      <c r="D113" s="3088" t="s">
        <v>2739</v>
      </c>
      <c r="E113" s="3114">
        <v>0.1</v>
      </c>
      <c r="F113" s="3114">
        <v>15</v>
      </c>
    </row>
    <row r="114" spans="1:6" ht="13.5">
      <c r="A114" s="3114">
        <v>42</v>
      </c>
      <c r="B114" s="3810"/>
      <c r="C114" s="3114" t="s">
        <v>2740</v>
      </c>
      <c r="D114" s="3088" t="s">
        <v>2741</v>
      </c>
      <c r="E114" s="3114">
        <v>0.1</v>
      </c>
      <c r="F114" s="3114">
        <v>15</v>
      </c>
    </row>
    <row r="115" spans="1:6" ht="24">
      <c r="A115" s="3114">
        <v>43</v>
      </c>
      <c r="B115" s="3810"/>
      <c r="C115" s="3114" t="s">
        <v>2742</v>
      </c>
      <c r="D115" s="3088" t="s">
        <v>2743</v>
      </c>
      <c r="E115" s="3114">
        <v>0.1</v>
      </c>
      <c r="F115" s="3114">
        <v>15</v>
      </c>
    </row>
    <row r="116" spans="1:6" ht="13.5">
      <c r="A116" s="3114">
        <v>44</v>
      </c>
      <c r="B116" s="3805" t="s">
        <v>2744</v>
      </c>
      <c r="C116" s="3114" t="s">
        <v>2745</v>
      </c>
      <c r="D116" s="3088" t="s">
        <v>2746</v>
      </c>
      <c r="E116" s="3114">
        <v>0.1</v>
      </c>
      <c r="F116" s="3114">
        <v>15</v>
      </c>
    </row>
    <row r="117" spans="1:6" ht="24">
      <c r="A117" s="3114">
        <v>45</v>
      </c>
      <c r="B117" s="3809"/>
      <c r="C117" s="3088" t="s">
        <v>2747</v>
      </c>
      <c r="D117" s="3088" t="s">
        <v>2748</v>
      </c>
      <c r="E117" s="3114">
        <v>0.1</v>
      </c>
      <c r="F117" s="3114">
        <v>15</v>
      </c>
    </row>
    <row r="118" spans="1:6" ht="24">
      <c r="A118" s="3114">
        <v>46</v>
      </c>
      <c r="B118" s="3805" t="s">
        <v>2749</v>
      </c>
      <c r="C118" s="3114" t="s">
        <v>2750</v>
      </c>
      <c r="D118" s="3088" t="s">
        <v>2751</v>
      </c>
      <c r="E118" s="3114">
        <v>0.1</v>
      </c>
      <c r="F118" s="3114">
        <v>15</v>
      </c>
    </row>
    <row r="119" spans="1:6" ht="24">
      <c r="A119" s="3114">
        <v>47</v>
      </c>
      <c r="B119" s="3809"/>
      <c r="C119" s="3114" t="s">
        <v>2752</v>
      </c>
      <c r="D119" s="3088" t="s">
        <v>2753</v>
      </c>
      <c r="E119" s="3114">
        <v>0.1</v>
      </c>
      <c r="F119" s="3114">
        <v>15</v>
      </c>
    </row>
    <row r="120" spans="1:6" ht="13.5">
      <c r="A120" s="3114">
        <v>48</v>
      </c>
      <c r="B120" s="3805" t="s">
        <v>2754</v>
      </c>
      <c r="C120" s="3114" t="s">
        <v>2755</v>
      </c>
      <c r="D120" s="3088" t="s">
        <v>2756</v>
      </c>
      <c r="E120" s="3114">
        <v>0.1</v>
      </c>
      <c r="F120" s="3114">
        <v>15</v>
      </c>
    </row>
    <row r="121" spans="1:6" ht="13.5">
      <c r="A121" s="3114">
        <v>49</v>
      </c>
      <c r="B121" s="3809"/>
      <c r="C121" s="3114" t="s">
        <v>2757</v>
      </c>
      <c r="D121" s="3088" t="s">
        <v>2758</v>
      </c>
      <c r="E121" s="3114">
        <v>0.1</v>
      </c>
      <c r="F121" s="3114">
        <v>15</v>
      </c>
    </row>
    <row r="122" spans="1:6" ht="24">
      <c r="A122" s="3114">
        <v>50</v>
      </c>
      <c r="B122" s="3810" t="s">
        <v>2759</v>
      </c>
      <c r="C122" s="3114" t="s">
        <v>2760</v>
      </c>
      <c r="D122" s="3088" t="s">
        <v>2761</v>
      </c>
      <c r="E122" s="3114">
        <v>0.1</v>
      </c>
      <c r="F122" s="3114">
        <v>15</v>
      </c>
    </row>
    <row r="123" spans="1:6" ht="24">
      <c r="A123" s="3114">
        <v>51</v>
      </c>
      <c r="B123" s="3810"/>
      <c r="C123" s="3114" t="s">
        <v>2762</v>
      </c>
      <c r="D123" s="3088" t="s">
        <v>2763</v>
      </c>
      <c r="E123" s="3114">
        <v>0.1</v>
      </c>
      <c r="F123" s="3114">
        <v>15</v>
      </c>
    </row>
    <row r="124" spans="1:6" ht="24">
      <c r="A124" s="3114">
        <v>52</v>
      </c>
      <c r="B124" s="3810" t="s">
        <v>2764</v>
      </c>
      <c r="C124" s="3114" t="s">
        <v>2765</v>
      </c>
      <c r="D124" s="3088" t="s">
        <v>2766</v>
      </c>
      <c r="E124" s="3114">
        <v>0.1</v>
      </c>
      <c r="F124" s="3114">
        <v>15</v>
      </c>
    </row>
    <row r="125" spans="1:6" ht="24">
      <c r="A125" s="3114">
        <v>53</v>
      </c>
      <c r="B125" s="3810"/>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10" t="s">
        <v>2772</v>
      </c>
      <c r="C127" s="3114" t="s">
        <v>2773</v>
      </c>
      <c r="D127" s="3088" t="s">
        <v>2774</v>
      </c>
      <c r="E127" s="3114">
        <v>0.1</v>
      </c>
      <c r="F127" s="3114">
        <v>15</v>
      </c>
    </row>
    <row r="128" spans="1:6" ht="13.5">
      <c r="A128" s="3114">
        <v>56</v>
      </c>
      <c r="B128" s="3810"/>
      <c r="C128" s="3114" t="s">
        <v>2775</v>
      </c>
      <c r="D128" s="3088" t="s">
        <v>2776</v>
      </c>
      <c r="E128" s="3114">
        <v>0.1</v>
      </c>
      <c r="F128" s="3114">
        <v>15</v>
      </c>
    </row>
    <row r="129" spans="1:6" ht="24">
      <c r="A129" s="3114">
        <v>57</v>
      </c>
      <c r="B129" s="3810"/>
      <c r="C129" s="3114" t="s">
        <v>2777</v>
      </c>
      <c r="D129" s="3088" t="s">
        <v>2778</v>
      </c>
      <c r="E129" s="3114">
        <v>0.1</v>
      </c>
      <c r="F129" s="3114">
        <v>15</v>
      </c>
    </row>
    <row r="130" spans="1:6" ht="24">
      <c r="A130" s="3114">
        <v>58</v>
      </c>
      <c r="B130" s="3810" t="s">
        <v>2779</v>
      </c>
      <c r="C130" s="3114" t="s">
        <v>2780</v>
      </c>
      <c r="D130" s="3088" t="s">
        <v>2781</v>
      </c>
      <c r="E130" s="3114">
        <v>0.1</v>
      </c>
      <c r="F130" s="3114">
        <v>15</v>
      </c>
    </row>
    <row r="131" spans="1:6" ht="13.5">
      <c r="A131" s="3114">
        <v>59</v>
      </c>
      <c r="B131" s="3810"/>
      <c r="C131" s="3114" t="s">
        <v>2782</v>
      </c>
      <c r="D131" s="3088" t="s">
        <v>2783</v>
      </c>
      <c r="E131" s="3114">
        <v>0.1</v>
      </c>
      <c r="F131" s="3114">
        <v>15</v>
      </c>
    </row>
    <row r="132" spans="1:6" ht="13.5">
      <c r="A132" s="3114">
        <v>60</v>
      </c>
      <c r="B132" s="3805" t="s">
        <v>2784</v>
      </c>
      <c r="C132" s="3114" t="s">
        <v>2785</v>
      </c>
      <c r="D132" s="3088" t="s">
        <v>2786</v>
      </c>
      <c r="E132" s="3114">
        <v>0.1</v>
      </c>
      <c r="F132" s="3114">
        <v>15</v>
      </c>
    </row>
    <row r="133" spans="1:6" ht="13.5">
      <c r="A133" s="3114">
        <v>61</v>
      </c>
      <c r="B133" s="3809"/>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10" t="s">
        <v>2792</v>
      </c>
      <c r="C135" s="3114" t="s">
        <v>2793</v>
      </c>
      <c r="D135" s="3088" t="s">
        <v>2794</v>
      </c>
      <c r="E135" s="3114">
        <v>0.1</v>
      </c>
      <c r="F135" s="3114">
        <v>15</v>
      </c>
    </row>
    <row r="136" spans="1:6" ht="13.5">
      <c r="A136" s="3114">
        <v>64</v>
      </c>
      <c r="B136" s="3810"/>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89"/>
      <c r="B4" s="3496" t="s">
        <v>917</v>
      </c>
      <c r="C4" s="3496"/>
      <c r="D4" s="3496"/>
      <c r="E4" s="1489"/>
    </row>
    <row r="5" spans="1:5" ht="16.5" thickTop="1">
      <c r="A5" s="1487"/>
      <c r="B5" s="3494" t="s">
        <v>909</v>
      </c>
      <c r="C5" s="1490" t="s">
        <v>910</v>
      </c>
      <c r="D5" s="846">
        <f ca="1">结果表!H101</f>
        <v>202949</v>
      </c>
      <c r="E5" s="1487"/>
    </row>
    <row r="6" spans="1:5" ht="15.75">
      <c r="A6" s="1487"/>
      <c r="B6" s="3494"/>
      <c r="C6" s="1490" t="s">
        <v>911</v>
      </c>
      <c r="D6" s="846" t="str">
        <f ca="1">NUMBERSTRING(INT(D5*10000),2)&amp;"元整"</f>
        <v>贰拾亿贰仟玖佰肆拾玖万元整</v>
      </c>
      <c r="E6" s="1487"/>
    </row>
    <row r="7" spans="1:5" ht="15.75">
      <c r="A7" s="1487"/>
      <c r="B7" s="3499"/>
      <c r="C7" s="1491" t="s">
        <v>912</v>
      </c>
      <c r="D7" s="847">
        <f ca="1">结果表!H102</f>
        <v>15405</v>
      </c>
      <c r="E7" s="1487"/>
    </row>
    <row r="8" spans="1:5" ht="15.75">
      <c r="A8" s="1487"/>
      <c r="B8" s="3500" t="str">
        <f>结果表!E103</f>
        <v>2.估价师知悉的法定优先受偿款</v>
      </c>
      <c r="C8" s="1492" t="s">
        <v>913</v>
      </c>
      <c r="D8" s="847">
        <f>结果表!H103</f>
        <v>0</v>
      </c>
      <c r="E8" s="1487"/>
    </row>
    <row r="9" spans="1:5" ht="15.75">
      <c r="A9" s="1487"/>
      <c r="B9" s="3502"/>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93" t="str">
        <f>结果表!E107</f>
        <v>3.房地产抵押价值</v>
      </c>
      <c r="C13" s="1495" t="s">
        <v>910</v>
      </c>
      <c r="D13" s="849">
        <f ca="1">结果表!H107</f>
        <v>202949</v>
      </c>
      <c r="E13" s="1487"/>
    </row>
    <row r="14" spans="1:5" ht="15.75">
      <c r="A14" s="1487"/>
      <c r="B14" s="3494"/>
      <c r="C14" s="1490" t="s">
        <v>911</v>
      </c>
      <c r="D14" s="846" t="str">
        <f ca="1">NUMBERSTRING(INT(D13*10000),2)&amp;"元整"</f>
        <v>贰拾亿贰仟玖佰肆拾玖万元整</v>
      </c>
      <c r="E14" s="1487"/>
    </row>
    <row r="15" spans="1:5" ht="15">
      <c r="A15" s="1487"/>
      <c r="B15" s="3499"/>
      <c r="C15" s="1491" t="s">
        <v>921</v>
      </c>
      <c r="D15" s="855">
        <f ca="1">结果表!H108</f>
        <v>15405</v>
      </c>
      <c r="E15" s="1487"/>
    </row>
    <row r="16" spans="1:5" ht="15">
      <c r="A16" s="1487"/>
      <c r="B16" s="3500" t="str">
        <f>结果表!E109</f>
        <v>——</v>
      </c>
      <c r="C16" s="1495" t="s">
        <v>922</v>
      </c>
      <c r="D16" s="1496" t="str">
        <f>结果表!H109</f>
        <v>——</v>
      </c>
      <c r="E16" s="1487"/>
    </row>
    <row r="17" spans="1:5" ht="15.75">
      <c r="A17" s="1487"/>
      <c r="B17" s="3501"/>
      <c r="C17" s="1490" t="s">
        <v>923</v>
      </c>
      <c r="D17" s="846" t="e">
        <f>NUMBERSTRING(INT(D16*10000),2)&amp;"元整"</f>
        <v>#VALUE!</v>
      </c>
      <c r="E17" s="1487"/>
    </row>
    <row r="18" spans="1:5" ht="15">
      <c r="A18" s="1487"/>
      <c r="B18" s="3502"/>
      <c r="C18" s="1491" t="s">
        <v>912</v>
      </c>
      <c r="D18" s="855" t="str">
        <f>结果表!H110</f>
        <v>——</v>
      </c>
      <c r="E18" s="1487"/>
    </row>
    <row r="19" spans="1:5" ht="15.75">
      <c r="A19" s="1487"/>
      <c r="B19" s="3493" t="str">
        <f>结果表!E111</f>
        <v>——</v>
      </c>
      <c r="C19" s="1495" t="s">
        <v>910</v>
      </c>
      <c r="D19" s="847" t="str">
        <f>结果表!H111</f>
        <v>——</v>
      </c>
      <c r="E19" s="1487"/>
    </row>
    <row r="20" spans="1:5" ht="15.75">
      <c r="A20" s="1487"/>
      <c r="B20" s="3494"/>
      <c r="C20" s="1490" t="s">
        <v>923</v>
      </c>
      <c r="D20" s="846" t="e">
        <f>NUMBERSTRING(INT(D19*10000),2)&amp;"元整"</f>
        <v>#VALUE!</v>
      </c>
      <c r="E20" s="1487"/>
    </row>
    <row r="21" spans="1:5" ht="15.75" thickBot="1">
      <c r="A21" s="1487"/>
      <c r="B21" s="3495"/>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2801</v>
      </c>
      <c r="B1" s="3123"/>
      <c r="C1" s="3123"/>
      <c r="D1" s="3123"/>
      <c r="E1" s="3123"/>
      <c r="F1" s="3123"/>
      <c r="G1" s="3123"/>
      <c r="H1" s="3123"/>
      <c r="I1" s="3123"/>
      <c r="J1" s="3123"/>
      <c r="K1" s="3123"/>
      <c r="L1" s="3123"/>
      <c r="M1" s="3123"/>
      <c r="N1" s="745"/>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6">
        <f>SUMPRODUCT((A95:A184=ROUNDDOWN(基准地价修正!G3,1))*(B94:M94=基准地价修正!G2)*(B95:M184))</f>
        <v>1.0512999999999999</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6">
        <f>SUMPRODUCT((A371:A460=ROUNDDOWN(基准地价修正!G3,1))*(B370:M370=基准地价修正!G2)*(B371:M460))</f>
        <v>1</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147714</v>
      </c>
      <c r="C2" s="2" t="s">
        <v>106</v>
      </c>
      <c r="D2" s="199"/>
      <c r="E2" s="199"/>
      <c r="F2" s="199"/>
      <c r="G2" s="199"/>
    </row>
    <row r="3" spans="1:7" s="200" customFormat="1" ht="18" customHeight="1" thickBot="1">
      <c r="A3" s="203" t="s">
        <v>58</v>
      </c>
      <c r="B3" s="204">
        <f ca="1">ROUND(B2*10000/'数据-汇总表'!E3,0)</f>
        <v>11212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0</v>
      </c>
      <c r="F9" s="221"/>
      <c r="G9" s="226"/>
    </row>
    <row r="10" spans="1:7" s="214" customFormat="1" ht="13.5" customHeight="1">
      <c r="A10" s="775" t="s">
        <v>356</v>
      </c>
      <c r="B10" s="224" t="s">
        <v>67</v>
      </c>
      <c r="C10" s="225">
        <f>ROUND(D10*E10/10000,0)</f>
        <v>2635</v>
      </c>
      <c r="D10" s="841">
        <f>'数据-汇总表'!E6</f>
        <v>131745.91</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2635</v>
      </c>
      <c r="D19" s="845">
        <f>'数据-汇总表'!E3</f>
        <v>131745.91</v>
      </c>
      <c r="E19" s="211">
        <f>'数据-取费表'!B31</f>
        <v>200</v>
      </c>
      <c r="F19" s="231"/>
      <c r="G19" s="1" t="s">
        <v>436</v>
      </c>
    </row>
    <row r="20" spans="1:7" s="214" customFormat="1" ht="13.5" customHeight="1">
      <c r="A20" s="773" t="s">
        <v>419</v>
      </c>
      <c r="B20" s="210" t="s">
        <v>77</v>
      </c>
      <c r="C20" s="232">
        <f>ROUND((C5+C19)*F20,0)</f>
        <v>465</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1961</v>
      </c>
      <c r="D22" s="235">
        <f ca="1">C26</f>
        <v>8.0000000000000004E-4</v>
      </c>
      <c r="E22" s="236" t="s">
        <v>99</v>
      </c>
      <c r="F22" s="237">
        <f ca="1">'数据-取费表'!B40</f>
        <v>3.5499999999999997E-2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1722</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220</v>
      </c>
      <c r="D24" s="238"/>
      <c r="E24" s="238"/>
      <c r="F24" s="239"/>
      <c r="G24" s="240" t="s">
        <v>82</v>
      </c>
    </row>
    <row r="25" spans="1:7" s="214" customFormat="1" ht="24">
      <c r="A25" s="776" t="s">
        <v>348</v>
      </c>
      <c r="B25" s="215" t="s">
        <v>420</v>
      </c>
      <c r="C25" s="1101">
        <f ca="1">ROUND(IF('数据-取费表'!B22&lt;=1,C20*F22*'数据-取费表'!B23/2,C20*(POWER((1+F22),'数据-取费表'!B23/2)-1)),0)</f>
        <v>19</v>
      </c>
      <c r="D25" s="238"/>
      <c r="E25" s="241"/>
      <c r="F25" s="239"/>
      <c r="G25" s="242" t="s">
        <v>83</v>
      </c>
    </row>
    <row r="26" spans="1:7" s="214" customFormat="1">
      <c r="A26" s="776" t="s">
        <v>350</v>
      </c>
      <c r="B26" s="215" t="s">
        <v>422</v>
      </c>
      <c r="C26" s="238">
        <f ca="1">ROUND(IF('数据-取费表'!B22&lt;=1,F21*F22*'数据-取费表'!B23/2,F21*(POWER((1+F22),'数据-取费表'!B23/2)-1)),4)</f>
        <v>8.0000000000000004E-4</v>
      </c>
      <c r="D26" s="238"/>
      <c r="E26" s="241"/>
      <c r="F26" s="239"/>
      <c r="G26" s="243"/>
    </row>
    <row r="27" spans="1:7" s="214" customFormat="1" ht="24.75">
      <c r="A27" s="773" t="s">
        <v>342</v>
      </c>
      <c r="B27" s="244" t="s">
        <v>85</v>
      </c>
      <c r="C27" s="245">
        <f>C28</f>
        <v>2618</v>
      </c>
      <c r="D27" s="235">
        <f>C29</f>
        <v>2.2000000000000001E-3</v>
      </c>
      <c r="E27" s="236" t="s">
        <v>99</v>
      </c>
      <c r="F27" s="246">
        <f>'数据-取费表'!Q16</f>
        <v>0.12</v>
      </c>
      <c r="G27" s="247" t="s">
        <v>431</v>
      </c>
    </row>
    <row r="28" spans="1:7" s="214" customFormat="1" ht="13.5" customHeight="1">
      <c r="A28" s="776" t="s">
        <v>349</v>
      </c>
      <c r="B28" s="248" t="s">
        <v>424</v>
      </c>
      <c r="C28" s="249">
        <f>ROUND((C5+C19+C20)*F27*'数据-取费表'!B21/'数据-取费表'!B20,0)</f>
        <v>2618</v>
      </c>
      <c r="D28" s="235"/>
      <c r="E28" s="236"/>
      <c r="F28" s="246"/>
      <c r="G28" s="247"/>
    </row>
    <row r="29" spans="1:7" s="214" customFormat="1" ht="13.5" customHeight="1">
      <c r="A29" s="776" t="s">
        <v>347</v>
      </c>
      <c r="B29" s="248" t="s">
        <v>425</v>
      </c>
      <c r="C29" s="238">
        <f>ROUND(C21*F27*'数据-取费表'!B21/'数据-取费表'!B20,4)</f>
        <v>2.2000000000000001E-3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30627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91311</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83388</v>
      </c>
      <c r="D34" s="217"/>
      <c r="E34" s="220"/>
      <c r="F34" s="257">
        <f>IF('数据-取费表'!B24=0,1,'数据-取费表'!N16)</f>
        <v>0.95</v>
      </c>
      <c r="G34" s="219" t="s">
        <v>89</v>
      </c>
    </row>
    <row r="35" spans="1:7" ht="13.5" customHeight="1">
      <c r="A35" s="776" t="s">
        <v>351</v>
      </c>
      <c r="B35" s="215" t="s">
        <v>33</v>
      </c>
      <c r="C35" s="220">
        <f>ROUND(C34*F35,0)</f>
        <v>4169</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2503</v>
      </c>
      <c r="D37" s="217">
        <f>'数据-汇总表'!E3</f>
        <v>131745.91</v>
      </c>
      <c r="E37" s="249">
        <f>'数据-取费表'!B35</f>
        <v>200</v>
      </c>
      <c r="F37" s="259"/>
      <c r="G37" s="261" t="s">
        <v>92</v>
      </c>
    </row>
    <row r="38" spans="1:7" ht="13.5" customHeight="1">
      <c r="A38" s="776" t="s">
        <v>354</v>
      </c>
      <c r="B38" s="215" t="s">
        <v>36</v>
      </c>
      <c r="C38" s="220">
        <f>ROUND(C34*F38,0)</f>
        <v>1251</v>
      </c>
      <c r="D38" s="220"/>
      <c r="E38" s="220"/>
      <c r="F38" s="259">
        <f>'数据-取费表'!B36</f>
        <v>1.4999999999999999E-2</v>
      </c>
      <c r="G38" s="219" t="s">
        <v>90</v>
      </c>
    </row>
    <row r="39" spans="1:7" s="214" customFormat="1" ht="13.5" customHeight="1">
      <c r="A39" s="773" t="s">
        <v>338</v>
      </c>
      <c r="B39" s="210" t="s">
        <v>77</v>
      </c>
      <c r="C39" s="232">
        <f>ROUND(C33*F20,0)</f>
        <v>1826</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3813</v>
      </c>
      <c r="D41" s="235">
        <f ca="1">C44</f>
        <v>8.0000000000000004E-4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3738</v>
      </c>
      <c r="D42" s="238"/>
      <c r="E42" s="238"/>
      <c r="F42" s="239"/>
      <c r="G42" s="3675" t="s">
        <v>94</v>
      </c>
    </row>
    <row r="43" spans="1:7" ht="13.5" customHeight="1">
      <c r="A43" s="776" t="s">
        <v>347</v>
      </c>
      <c r="B43" s="215" t="s">
        <v>426</v>
      </c>
      <c r="C43" s="238">
        <f ca="1">ROUND(IF('数据-取费表'!B22&lt;=1,C39*F22*'数据-取费表'!B21/2,C39*(POWER((1+F22),'数据-取费表'!B21/2)-1)),0)</f>
        <v>75</v>
      </c>
      <c r="D43" s="238"/>
      <c r="E43" s="238"/>
      <c r="F43" s="239"/>
      <c r="G43" s="3676"/>
    </row>
    <row r="44" spans="1:7" ht="13.5" customHeight="1">
      <c r="A44" s="776" t="s">
        <v>348</v>
      </c>
      <c r="B44" s="215" t="s">
        <v>428</v>
      </c>
      <c r="C44" s="238">
        <f ca="1">ROUND(IF('数据-取费表'!B22&lt;=1,C40*F22*'数据-取费表'!B21/2,C40*(POWER((1+F22),'数据-取费表'!B21/2)-1)),4)</f>
        <v>8.0000000000000004E-4</v>
      </c>
      <c r="D44" s="238"/>
      <c r="E44" s="238"/>
      <c r="F44" s="239"/>
      <c r="G44" s="3677"/>
    </row>
    <row r="45" spans="1:7" s="214" customFormat="1" ht="13.5" customHeight="1">
      <c r="A45" s="773" t="s">
        <v>341</v>
      </c>
      <c r="B45" s="244" t="s">
        <v>85</v>
      </c>
      <c r="C45" s="245">
        <f>C46</f>
        <v>11176</v>
      </c>
      <c r="D45" s="235">
        <f>C47</f>
        <v>2.3999999999999998E-3</v>
      </c>
      <c r="E45" s="236" t="s">
        <v>102</v>
      </c>
      <c r="F45" s="246"/>
      <c r="G45" s="247" t="s">
        <v>434</v>
      </c>
    </row>
    <row r="46" spans="1:7" s="214" customFormat="1" ht="13.5" customHeight="1">
      <c r="A46" s="776" t="s">
        <v>349</v>
      </c>
      <c r="B46" s="248" t="s">
        <v>427</v>
      </c>
      <c r="C46" s="249">
        <f>ROUND((C33+C39)*F27,0)</f>
        <v>11176</v>
      </c>
      <c r="D46" s="263"/>
      <c r="E46" s="236"/>
      <c r="F46" s="246"/>
      <c r="G46" s="247"/>
    </row>
    <row r="47" spans="1:7" s="214" customFormat="1" ht="13.5" customHeight="1">
      <c r="A47" s="776" t="s">
        <v>347</v>
      </c>
      <c r="B47" s="248" t="s">
        <v>429</v>
      </c>
      <c r="C47" s="238">
        <f>ROUND(C40*F27,4)</f>
        <v>2.3999999999999998E-3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117087</v>
      </c>
      <c r="D49" s="232"/>
      <c r="E49" s="232"/>
      <c r="F49" s="264"/>
      <c r="G49" s="234" t="s">
        <v>435</v>
      </c>
    </row>
    <row r="50" spans="1:7" s="258" customFormat="1" ht="24">
      <c r="A50" s="773" t="s">
        <v>344</v>
      </c>
      <c r="B50" s="210" t="s">
        <v>97</v>
      </c>
      <c r="C50" s="232"/>
      <c r="D50" s="232"/>
      <c r="E50" s="232"/>
      <c r="F50" s="264">
        <f>IF('数据-取费表'!B24=0,'数据-取费表'!N16,1)</f>
        <v>1</v>
      </c>
      <c r="G50" s="247" t="s">
        <v>98</v>
      </c>
    </row>
    <row r="51" spans="1:7" ht="16.5" customHeight="1">
      <c r="A51" s="773" t="s">
        <v>345</v>
      </c>
      <c r="B51" s="210" t="s">
        <v>105</v>
      </c>
      <c r="C51" s="232">
        <f ca="1">ROUND(C49*F50,0)</f>
        <v>117087</v>
      </c>
      <c r="D51" s="232"/>
      <c r="E51" s="232"/>
      <c r="F51" s="264"/>
      <c r="G51" s="234" t="s">
        <v>37</v>
      </c>
    </row>
    <row r="52" spans="1:7" s="208" customFormat="1" ht="16.5" thickBot="1">
      <c r="A52" s="265" t="s">
        <v>38</v>
      </c>
      <c r="B52" s="266"/>
      <c r="C52" s="267">
        <f ca="1">C31+C51</f>
        <v>147714</v>
      </c>
      <c r="D52" s="266"/>
      <c r="E52" s="266"/>
      <c r="F52" s="266"/>
      <c r="G52" s="268"/>
    </row>
    <row r="55" spans="1:7" ht="15">
      <c r="B55" s="270" t="s">
        <v>39</v>
      </c>
      <c r="C55" s="271"/>
    </row>
    <row r="56" spans="1:7">
      <c r="B56" s="273" t="s">
        <v>40</v>
      </c>
      <c r="C56" s="274">
        <f ca="1">ROUND(C51/C52,3)</f>
        <v>0.79300000000000004</v>
      </c>
    </row>
    <row r="57" spans="1:7">
      <c r="B57" s="273" t="s">
        <v>41</v>
      </c>
      <c r="C57" s="275">
        <f ca="1">1-C56</f>
        <v>0.20699999999999996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3" t="s">
        <v>2844</v>
      </c>
      <c r="B1" s="3813"/>
      <c r="C1" s="3813"/>
      <c r="D1" s="3813"/>
      <c r="E1" s="3813"/>
      <c r="F1" s="3813"/>
      <c r="G1" s="3814"/>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11"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12"/>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5" t="s">
        <v>3186</v>
      </c>
      <c r="B1" s="3815"/>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16" t="s">
        <v>3237</v>
      </c>
      <c r="B1" s="3816"/>
      <c r="C1" s="3816"/>
      <c r="D1" s="3816"/>
      <c r="E1" s="3816"/>
      <c r="F1" s="3817"/>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45147</v>
      </c>
      <c r="B1" s="3206" t="s">
        <v>2843</v>
      </c>
      <c r="C1" s="3207"/>
      <c r="D1" s="3207"/>
      <c r="E1" s="3207"/>
      <c r="F1" s="3207"/>
      <c r="G1" s="3207"/>
      <c r="H1" s="3207"/>
      <c r="I1" s="3207"/>
      <c r="J1" s="3161"/>
      <c r="K1" s="3207" t="s">
        <v>454</v>
      </c>
      <c r="L1" s="3207"/>
      <c r="M1" s="3207"/>
      <c r="N1" s="3207"/>
      <c r="O1" s="3207"/>
      <c r="P1" s="3207"/>
      <c r="Q1" s="3161"/>
      <c r="R1" s="3818" t="s">
        <v>456</v>
      </c>
      <c r="S1" s="3819"/>
      <c r="T1" s="3819"/>
      <c r="U1" s="3819"/>
      <c r="V1" s="3819"/>
      <c r="W1" s="3819"/>
      <c r="X1" s="3161"/>
      <c r="Y1" s="3818" t="s">
        <v>457</v>
      </c>
      <c r="Z1" s="3819"/>
      <c r="AA1" s="3819"/>
      <c r="AB1" s="3819"/>
      <c r="AC1" s="3819"/>
      <c r="AD1" s="3819"/>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3378</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3377</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3375</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18" t="s">
        <v>2831</v>
      </c>
      <c r="S21" s="3819"/>
      <c r="T21" s="3819"/>
      <c r="U21" s="3819"/>
      <c r="V21" s="3819"/>
      <c r="W21" s="3819"/>
      <c r="X21" s="3161"/>
      <c r="Y21" s="3818" t="s">
        <v>2832</v>
      </c>
      <c r="Z21" s="3819"/>
      <c r="AA21" s="3819"/>
      <c r="AB21" s="3819"/>
      <c r="AC21" s="3819"/>
      <c r="AD21" s="3819"/>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3376</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3377</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3375</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5" t="s">
        <v>452</v>
      </c>
      <c r="C1" s="3825"/>
      <c r="D1" s="3825"/>
      <c r="E1" s="3825"/>
      <c r="F1" s="3825"/>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2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45147</v>
      </c>
      <c r="D1" s="1298" t="s">
        <v>603</v>
      </c>
      <c r="E1" s="1293">
        <f>'数据-取费表'!B22</f>
        <v>2.5</v>
      </c>
      <c r="F1" s="1298" t="s">
        <v>604</v>
      </c>
      <c r="G1" s="1294">
        <f ca="1">INDIRECT("d"&amp;$K$1)/100</f>
        <v>3.5499999999999997E-2</v>
      </c>
      <c r="H1" s="1298" t="s">
        <v>634</v>
      </c>
      <c r="I1" s="1294">
        <f ca="1">F4/100</f>
        <v>1.4999999999999999E-2</v>
      </c>
      <c r="J1" s="1299">
        <f>IF(C1&gt;C13,0,MATCH(C1,C$13:C$110,-1))+IF(SUMIF(C13:C110,C1,D13:D110)=0,13,12)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3.55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3.55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3.55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3.55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45097</v>
      </c>
      <c r="D13" s="2818">
        <v>3.55</v>
      </c>
      <c r="E13" s="2818">
        <f>D13</f>
        <v>3.55</v>
      </c>
      <c r="F13" s="2818">
        <f>D13</f>
        <v>3.55</v>
      </c>
      <c r="G13" s="2818">
        <f>D13</f>
        <v>3.55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44795</v>
      </c>
      <c r="D14" s="2813">
        <v>3.65</v>
      </c>
      <c r="E14" s="2813">
        <v>3.65</v>
      </c>
      <c r="F14" s="2813">
        <v>3.65</v>
      </c>
      <c r="G14" s="2813">
        <v>3.65</v>
      </c>
      <c r="H14" s="2813">
        <v>4.3</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44701</v>
      </c>
      <c r="D15" s="2813">
        <v>3.7</v>
      </c>
      <c r="E15" s="2813">
        <f>D15</f>
        <v>3.7</v>
      </c>
      <c r="F15" s="2813">
        <f>D15</f>
        <v>3.7</v>
      </c>
      <c r="G15" s="2813">
        <f>D15</f>
        <v>3.7</v>
      </c>
      <c r="H15" s="2813">
        <v>4.45</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44581</v>
      </c>
      <c r="D16" s="2813">
        <v>3.7</v>
      </c>
      <c r="E16" s="2813">
        <f>D16</f>
        <v>3.7</v>
      </c>
      <c r="F16" s="2813">
        <f>D16</f>
        <v>3.7</v>
      </c>
      <c r="G16" s="2813">
        <f>D16</f>
        <v>3.7</v>
      </c>
      <c r="H16" s="2813">
        <v>4.5999999999999996</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44550</v>
      </c>
      <c r="D17" s="2813">
        <v>3.8</v>
      </c>
      <c r="E17" s="2813">
        <f>D17</f>
        <v>3.8</v>
      </c>
      <c r="F17" s="2813">
        <f>D17</f>
        <v>3.8</v>
      </c>
      <c r="G17" s="2813">
        <f>D17</f>
        <v>3.8</v>
      </c>
      <c r="H17" s="2813">
        <v>4.6500000000000004</v>
      </c>
      <c r="I17" s="2813"/>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43881</v>
      </c>
      <c r="D19" s="2813">
        <v>4.05</v>
      </c>
      <c r="E19" s="2813">
        <v>4.05</v>
      </c>
      <c r="F19" s="2813">
        <v>4.05</v>
      </c>
      <c r="G19" s="2813">
        <v>4.05</v>
      </c>
      <c r="H19" s="2813">
        <v>4.75</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43789</v>
      </c>
      <c r="D20" s="2813">
        <v>4.1500000000000004</v>
      </c>
      <c r="E20" s="2813">
        <v>4.1500000000000004</v>
      </c>
      <c r="F20" s="2813">
        <v>4.1500000000000004</v>
      </c>
      <c r="G20" s="2813">
        <v>4.1500000000000004</v>
      </c>
      <c r="H20" s="2813">
        <v>4.8</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43728</v>
      </c>
      <c r="D21" s="2813">
        <v>4.2</v>
      </c>
      <c r="E21" s="2813">
        <v>4.2</v>
      </c>
      <c r="F21" s="2813">
        <v>4.2</v>
      </c>
      <c r="G21" s="2813">
        <v>4.2</v>
      </c>
      <c r="H21" s="2813">
        <v>4.8499999999999996</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2" t="s">
        <v>2312</v>
      </c>
      <c r="C22" s="2815">
        <v>43697</v>
      </c>
      <c r="D22" s="2816">
        <v>4.25</v>
      </c>
      <c r="E22" s="2816">
        <v>4.25</v>
      </c>
      <c r="F22" s="2816">
        <v>4.25</v>
      </c>
      <c r="G22" s="2816">
        <v>4.25</v>
      </c>
      <c r="H22" s="2816">
        <v>4.8499999999999996</v>
      </c>
      <c r="I22" s="2816"/>
      <c r="J22" s="2816"/>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20"/>
      <c r="C23" s="2821">
        <v>42301</v>
      </c>
      <c r="D23" s="2822">
        <v>4.3499999999999996</v>
      </c>
      <c r="E23" s="2822">
        <v>4.3499999999999996</v>
      </c>
      <c r="F23" s="2822">
        <v>4.75</v>
      </c>
      <c r="G23" s="2822">
        <v>4.75</v>
      </c>
      <c r="H23" s="2822">
        <v>4.9000000000000004</v>
      </c>
      <c r="I23" s="2822"/>
      <c r="J23" s="2822"/>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42242</v>
      </c>
      <c r="D24" s="1286">
        <v>4.5999999999999996</v>
      </c>
      <c r="E24" s="1286">
        <v>4.5999999999999996</v>
      </c>
      <c r="F24" s="1286">
        <v>5</v>
      </c>
      <c r="G24" s="1286">
        <v>5</v>
      </c>
      <c r="H24" s="1286">
        <v>5.15</v>
      </c>
      <c r="I24" s="1286">
        <v>2.75</v>
      </c>
      <c r="J24" s="1286">
        <v>3.25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42183</v>
      </c>
      <c r="D25" s="1286">
        <v>4.8499999999999996</v>
      </c>
      <c r="E25" s="1286">
        <v>4.8499999999999996</v>
      </c>
      <c r="F25" s="1286">
        <v>5.25</v>
      </c>
      <c r="G25" s="1286">
        <v>5.25</v>
      </c>
      <c r="H25" s="1286">
        <v>5.4</v>
      </c>
      <c r="I25" s="1286">
        <v>3</v>
      </c>
      <c r="J25" s="1286">
        <v>3.5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42135</v>
      </c>
      <c r="D26" s="1286">
        <v>5.0999999999999996</v>
      </c>
      <c r="E26" s="1286">
        <v>5.0999999999999996</v>
      </c>
      <c r="F26" s="1286">
        <v>5.5</v>
      </c>
      <c r="G26" s="1286">
        <v>5.5</v>
      </c>
      <c r="H26" s="1286">
        <v>5.65</v>
      </c>
      <c r="I26" s="1286">
        <v>3.25</v>
      </c>
      <c r="J26" s="1286">
        <v>3.75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42064</v>
      </c>
      <c r="D27" s="1286">
        <v>5.35</v>
      </c>
      <c r="E27" s="1286">
        <v>5.35</v>
      </c>
      <c r="F27" s="1286">
        <v>5.75</v>
      </c>
      <c r="G27" s="1286">
        <v>5.75</v>
      </c>
      <c r="H27" s="1286">
        <v>5.9</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41965</v>
      </c>
      <c r="D28" s="1286">
        <v>5.6</v>
      </c>
      <c r="E28" s="1286">
        <v>5.6</v>
      </c>
      <c r="F28" s="1286">
        <v>6</v>
      </c>
      <c r="G28" s="1286">
        <v>6</v>
      </c>
      <c r="H28" s="1286">
        <v>6.15</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41096</v>
      </c>
      <c r="D29" s="1286">
        <v>5.6</v>
      </c>
      <c r="E29" s="1286">
        <v>6</v>
      </c>
      <c r="F29" s="1286">
        <v>6.15</v>
      </c>
      <c r="G29" s="1286">
        <v>6.4</v>
      </c>
      <c r="H29" s="1286">
        <v>6.55</v>
      </c>
      <c r="I29" s="1286">
        <v>4</v>
      </c>
      <c r="J29" s="1286">
        <v>4.5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41068</v>
      </c>
      <c r="D30" s="1286">
        <v>5.85</v>
      </c>
      <c r="E30" s="1286">
        <v>6.31</v>
      </c>
      <c r="F30" s="1286">
        <v>6.4</v>
      </c>
      <c r="G30" s="1286">
        <v>6.65</v>
      </c>
      <c r="H30" s="1286">
        <v>6.8</v>
      </c>
      <c r="I30" s="1286">
        <v>4.2</v>
      </c>
      <c r="J30" s="1286">
        <v>4.7</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40731</v>
      </c>
      <c r="D31" s="1286">
        <v>6.1</v>
      </c>
      <c r="E31" s="1286">
        <v>6.56</v>
      </c>
      <c r="F31" s="1286">
        <v>6.65</v>
      </c>
      <c r="G31" s="1286">
        <v>6.9</v>
      </c>
      <c r="H31" s="1286">
        <v>7.05</v>
      </c>
      <c r="I31" s="1286">
        <v>4.45</v>
      </c>
      <c r="J31" s="1286">
        <v>4.9000000000000004</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40639</v>
      </c>
      <c r="D32" s="1286">
        <v>5.85</v>
      </c>
      <c r="E32" s="1286">
        <v>6.31</v>
      </c>
      <c r="F32" s="1286">
        <v>6.4</v>
      </c>
      <c r="G32" s="1286">
        <v>6.65</v>
      </c>
      <c r="H32" s="1286">
        <v>6.8</v>
      </c>
      <c r="I32" s="1286">
        <v>4.2</v>
      </c>
      <c r="J32" s="1286">
        <v>4.7</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40583</v>
      </c>
      <c r="D33" s="1286">
        <v>5.6</v>
      </c>
      <c r="E33" s="1286">
        <v>6.06</v>
      </c>
      <c r="F33" s="1286">
        <v>6.1</v>
      </c>
      <c r="G33" s="1286">
        <v>6.45</v>
      </c>
      <c r="H33" s="1286">
        <v>6.6</v>
      </c>
      <c r="I33" s="1286">
        <v>4</v>
      </c>
      <c r="J33" s="1286">
        <v>4.5</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40538</v>
      </c>
      <c r="D34" s="1286">
        <v>5.35</v>
      </c>
      <c r="E34" s="1286">
        <v>5.81</v>
      </c>
      <c r="F34" s="1286">
        <v>5.85</v>
      </c>
      <c r="G34" s="1286">
        <v>6.22</v>
      </c>
      <c r="H34" s="1286">
        <v>6.4</v>
      </c>
      <c r="I34" s="1286">
        <v>3.75</v>
      </c>
      <c r="J34" s="1286">
        <v>4.3</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40471</v>
      </c>
      <c r="D35" s="1286">
        <v>5.0999999999999996</v>
      </c>
      <c r="E35" s="1286">
        <v>5.56</v>
      </c>
      <c r="F35" s="1286">
        <v>5.6</v>
      </c>
      <c r="G35" s="1286">
        <v>5.96</v>
      </c>
      <c r="H35" s="1286">
        <v>6.14</v>
      </c>
      <c r="I35" s="1286">
        <v>3.5</v>
      </c>
      <c r="J35" s="1286">
        <v>4.05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39805</v>
      </c>
      <c r="D36" s="1286">
        <v>4.8600000000000003</v>
      </c>
      <c r="E36" s="1286">
        <v>5.31</v>
      </c>
      <c r="F36" s="1286">
        <v>5.4</v>
      </c>
      <c r="G36" s="1286">
        <v>5.76</v>
      </c>
      <c r="H36" s="1286">
        <v>5.94</v>
      </c>
      <c r="I36" s="1286">
        <v>3.33</v>
      </c>
      <c r="J36" s="1286">
        <v>3.87</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39779</v>
      </c>
      <c r="D37" s="1286">
        <v>5.04</v>
      </c>
      <c r="E37" s="1286">
        <v>5.58</v>
      </c>
      <c r="F37" s="1286">
        <v>5.67</v>
      </c>
      <c r="G37" s="1286">
        <v>5.94</v>
      </c>
      <c r="H37" s="1286">
        <v>6.12</v>
      </c>
      <c r="I37" s="1286">
        <v>3.51</v>
      </c>
      <c r="J37" s="1286">
        <v>4.05</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39751</v>
      </c>
      <c r="D38" s="1286">
        <v>6.03</v>
      </c>
      <c r="E38" s="1286">
        <v>6.66</v>
      </c>
      <c r="F38" s="1286">
        <v>6.75</v>
      </c>
      <c r="G38" s="1286">
        <v>7.02</v>
      </c>
      <c r="H38" s="1286">
        <v>7.2</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8">
        <v>39748</v>
      </c>
      <c r="D39" s="1286">
        <v>6.12</v>
      </c>
      <c r="E39" s="1286">
        <v>6.93</v>
      </c>
      <c r="F39" s="1286">
        <v>7.02</v>
      </c>
      <c r="G39" s="1286">
        <v>7.29</v>
      </c>
      <c r="H39" s="1286">
        <v>7.47</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39730</v>
      </c>
      <c r="D40" s="1286">
        <v>6.12</v>
      </c>
      <c r="E40" s="1286">
        <v>6.93</v>
      </c>
      <c r="F40" s="1286">
        <v>7.02</v>
      </c>
      <c r="G40" s="1286">
        <v>7.29</v>
      </c>
      <c r="H40" s="1286">
        <v>7.47</v>
      </c>
      <c r="I40" s="1286">
        <v>4.32</v>
      </c>
      <c r="J40" s="1286">
        <v>4.8600000000000003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39707</v>
      </c>
      <c r="D41" s="1286">
        <v>6.21</v>
      </c>
      <c r="E41" s="1286">
        <v>7.2</v>
      </c>
      <c r="F41" s="1286">
        <v>7.29</v>
      </c>
      <c r="G41" s="1286">
        <v>7.56</v>
      </c>
      <c r="H41" s="1286">
        <v>7.74</v>
      </c>
      <c r="I41" s="1286">
        <v>4.59</v>
      </c>
      <c r="J41" s="1286">
        <v>5.13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39437</v>
      </c>
      <c r="D42" s="1286">
        <v>6.57</v>
      </c>
      <c r="E42" s="1286">
        <v>7.47</v>
      </c>
      <c r="F42" s="1286">
        <v>7.56</v>
      </c>
      <c r="G42" s="1286">
        <v>7.74</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39340</v>
      </c>
      <c r="D43" s="1286">
        <v>6.48</v>
      </c>
      <c r="E43" s="1286">
        <v>7.29</v>
      </c>
      <c r="F43" s="1286">
        <v>7.47</v>
      </c>
      <c r="G43" s="1286">
        <v>7.65</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39316</v>
      </c>
      <c r="D44" s="1286">
        <v>6.21</v>
      </c>
      <c r="E44" s="1286">
        <v>7.02</v>
      </c>
      <c r="F44" s="1286">
        <v>7.2</v>
      </c>
      <c r="G44" s="1286">
        <v>7.38</v>
      </c>
      <c r="H44" s="1286">
        <v>7.56</v>
      </c>
      <c r="I44" s="1286">
        <v>4.59</v>
      </c>
      <c r="J44" s="1286">
        <v>5.04</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39284</v>
      </c>
      <c r="D45" s="1286">
        <v>6.03</v>
      </c>
      <c r="E45" s="1286">
        <v>6.84</v>
      </c>
      <c r="F45" s="1286">
        <v>7.02</v>
      </c>
      <c r="G45" s="1286">
        <v>7.2</v>
      </c>
      <c r="H45" s="1286">
        <v>7.38</v>
      </c>
      <c r="I45" s="1286">
        <v>4.5</v>
      </c>
      <c r="J45" s="1286">
        <v>4.95</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39221</v>
      </c>
      <c r="D46" s="1286">
        <v>5.85</v>
      </c>
      <c r="E46" s="1286">
        <v>6.57</v>
      </c>
      <c r="F46" s="1286">
        <v>6.75</v>
      </c>
      <c r="G46" s="1286">
        <v>6.93</v>
      </c>
      <c r="H46" s="1286">
        <v>7.2</v>
      </c>
      <c r="I46" s="1286">
        <v>4.41</v>
      </c>
      <c r="J46" s="1286">
        <v>4.8600000000000003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39159</v>
      </c>
      <c r="D47" s="1286">
        <v>5.67</v>
      </c>
      <c r="E47" s="1286">
        <v>6.39</v>
      </c>
      <c r="F47" s="1286">
        <v>6.57</v>
      </c>
      <c r="G47" s="1286">
        <v>6.75</v>
      </c>
      <c r="H47" s="1286">
        <v>7.11</v>
      </c>
      <c r="I47" s="1286">
        <v>4.32</v>
      </c>
      <c r="J47" s="1286">
        <v>4.7699999999999996</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38948</v>
      </c>
      <c r="D48" s="1286">
        <v>5.58</v>
      </c>
      <c r="E48" s="1286">
        <v>6.12</v>
      </c>
      <c r="F48" s="1286">
        <v>6.3</v>
      </c>
      <c r="G48" s="1286">
        <v>6.48</v>
      </c>
      <c r="H48" s="1286">
        <v>6.84</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38835</v>
      </c>
      <c r="D49" s="1286">
        <v>5.4</v>
      </c>
      <c r="E49" s="1286">
        <v>5.85</v>
      </c>
      <c r="F49" s="1286">
        <v>6.03</v>
      </c>
      <c r="G49" s="1286">
        <v>6.12</v>
      </c>
      <c r="H49" s="1286">
        <v>6.39</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38428</v>
      </c>
      <c r="D50" s="1286">
        <v>5.22</v>
      </c>
      <c r="E50" s="1286">
        <v>5.58</v>
      </c>
      <c r="F50" s="1286">
        <v>5.76</v>
      </c>
      <c r="G50" s="1286">
        <v>5.85</v>
      </c>
      <c r="H50" s="1286">
        <v>6.12</v>
      </c>
      <c r="I50" s="1286">
        <v>3.96</v>
      </c>
      <c r="J50" s="1286">
        <v>4.41</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38289</v>
      </c>
      <c r="D51" s="1286">
        <v>5.22</v>
      </c>
      <c r="E51" s="1286">
        <v>5.58</v>
      </c>
      <c r="F51" s="1286">
        <v>5.76</v>
      </c>
      <c r="G51" s="1286">
        <v>5.85</v>
      </c>
      <c r="H51" s="1286">
        <v>6.12</v>
      </c>
      <c r="I51" s="1286">
        <v>3.78</v>
      </c>
      <c r="J51" s="1286">
        <v>4.2300000000000004</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37308</v>
      </c>
      <c r="D52" s="1286">
        <v>5.04</v>
      </c>
      <c r="E52" s="1286">
        <v>5.31</v>
      </c>
      <c r="F52" s="1286">
        <v>5.49</v>
      </c>
      <c r="G52" s="1286">
        <v>5.58</v>
      </c>
      <c r="H52" s="1286">
        <v>5.76</v>
      </c>
      <c r="I52" s="1286">
        <v>3.6</v>
      </c>
      <c r="J52" s="1286">
        <v>4.05</v>
      </c>
      <c r="L52" s="1286"/>
      <c r="M52" s="1287"/>
      <c r="N52" s="1286"/>
      <c r="O52" s="1286"/>
      <c r="P52" s="1286"/>
      <c r="Q52" s="1286"/>
      <c r="R52" s="1286"/>
      <c r="S52" s="1286"/>
      <c r="T52" s="1286"/>
      <c r="U52" s="1286"/>
      <c r="V52" s="1286"/>
      <c r="W52" s="1286"/>
      <c r="X52" s="1286"/>
      <c r="Y52" s="1286"/>
      <c r="Z52" s="1286"/>
    </row>
    <row r="53" spans="2:26">
      <c r="B53" s="1286"/>
      <c r="C53" s="1287">
        <v>36321</v>
      </c>
      <c r="D53" s="1286">
        <v>5.58</v>
      </c>
      <c r="E53" s="1286">
        <v>5.85</v>
      </c>
      <c r="F53" s="1286">
        <v>5.94</v>
      </c>
      <c r="G53" s="1286">
        <v>6.03</v>
      </c>
      <c r="H53" s="1286">
        <v>6.21</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36136</v>
      </c>
      <c r="D54" s="1286">
        <v>6.12</v>
      </c>
      <c r="E54" s="1286">
        <v>6.39</v>
      </c>
      <c r="F54" s="1286">
        <v>6.66</v>
      </c>
      <c r="G54" s="1286">
        <v>7.2</v>
      </c>
      <c r="H54" s="1286">
        <v>7.56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35977</v>
      </c>
      <c r="D55" s="1286">
        <v>6.57</v>
      </c>
      <c r="E55" s="1286">
        <v>6.93</v>
      </c>
      <c r="F55" s="1286">
        <v>7.11</v>
      </c>
      <c r="G55" s="1286">
        <v>7.65</v>
      </c>
      <c r="H55" s="1286">
        <v>8.01</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35879</v>
      </c>
      <c r="D56" s="1286">
        <v>7.02</v>
      </c>
      <c r="E56" s="1286">
        <v>7.92</v>
      </c>
      <c r="F56" s="1286">
        <v>9</v>
      </c>
      <c r="G56" s="1286">
        <v>9.7200000000000006</v>
      </c>
      <c r="H56" s="1286">
        <v>10.35</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35726</v>
      </c>
      <c r="D57" s="1286">
        <v>7.65</v>
      </c>
      <c r="E57" s="1286">
        <v>8.64</v>
      </c>
      <c r="F57" s="1286">
        <v>9.36</v>
      </c>
      <c r="G57" s="1286">
        <v>9.9</v>
      </c>
      <c r="H57" s="1286">
        <v>10.53</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35300</v>
      </c>
      <c r="D58" s="1286">
        <v>9.18</v>
      </c>
      <c r="E58" s="1286">
        <v>10.08</v>
      </c>
      <c r="F58" s="1286">
        <v>10.98</v>
      </c>
      <c r="G58" s="1286">
        <v>11.7</v>
      </c>
      <c r="H58" s="1286">
        <v>12.42</v>
      </c>
      <c r="I58" s="1286">
        <v>0</v>
      </c>
      <c r="J58" s="1286">
        <v>0</v>
      </c>
    </row>
    <row r="59" spans="2:26">
      <c r="B59" s="1286"/>
      <c r="C59" s="1287">
        <v>35186</v>
      </c>
      <c r="D59" s="1286">
        <v>9.7200000000000006</v>
      </c>
      <c r="E59" s="1286">
        <v>10.98</v>
      </c>
      <c r="F59" s="1286">
        <v>13.14</v>
      </c>
      <c r="G59" s="1286">
        <v>14.94</v>
      </c>
      <c r="H59" s="1286">
        <v>15.12</v>
      </c>
      <c r="I59" s="1286">
        <v>0</v>
      </c>
      <c r="J59" s="1286">
        <v>0</v>
      </c>
    </row>
    <row r="60" spans="2:26">
      <c r="B60" s="1286"/>
      <c r="C60" s="1287">
        <v>34881</v>
      </c>
      <c r="D60" s="1286">
        <v>10.08</v>
      </c>
      <c r="E60" s="1286">
        <v>12.06</v>
      </c>
      <c r="F60" s="1286">
        <v>13.5</v>
      </c>
      <c r="G60" s="1286">
        <v>15.12</v>
      </c>
      <c r="H60" s="1286">
        <v>15.3</v>
      </c>
      <c r="I60" s="1286">
        <v>0</v>
      </c>
      <c r="J60" s="1286">
        <v>0</v>
      </c>
    </row>
    <row r="61" spans="2:26">
      <c r="B61" s="1286"/>
      <c r="C61" s="1287">
        <v>34700</v>
      </c>
      <c r="D61" s="1286">
        <v>9</v>
      </c>
      <c r="E61" s="1286">
        <v>10.98</v>
      </c>
      <c r="F61" s="1286">
        <v>12.96</v>
      </c>
      <c r="G61" s="1286">
        <v>14.58</v>
      </c>
      <c r="H61" s="1286">
        <v>14.76</v>
      </c>
      <c r="I61" s="1286">
        <v>0</v>
      </c>
      <c r="J61" s="1286">
        <v>0</v>
      </c>
    </row>
    <row r="62" spans="2:26">
      <c r="B62" s="1286"/>
      <c r="C62" s="1287">
        <v>34161</v>
      </c>
      <c r="D62" s="1286">
        <v>9</v>
      </c>
      <c r="E62" s="1286">
        <v>10.98</v>
      </c>
      <c r="F62" s="1286">
        <v>12.24</v>
      </c>
      <c r="G62" s="1286">
        <v>13.86</v>
      </c>
      <c r="H62" s="1286">
        <v>14.04</v>
      </c>
      <c r="I62" s="1286">
        <v>0</v>
      </c>
      <c r="J62" s="1286">
        <v>0</v>
      </c>
    </row>
    <row r="63" spans="2:26">
      <c r="B63" s="1286"/>
      <c r="C63" s="1287">
        <v>34104</v>
      </c>
      <c r="D63" s="1286">
        <v>8.82</v>
      </c>
      <c r="E63" s="1286">
        <v>9.36</v>
      </c>
      <c r="F63" s="1286">
        <v>10.8</v>
      </c>
      <c r="G63" s="1286">
        <v>12.06</v>
      </c>
      <c r="H63" s="1286">
        <v>12.24</v>
      </c>
      <c r="I63" s="1286">
        <v>0</v>
      </c>
      <c r="J63" s="1286">
        <v>0</v>
      </c>
    </row>
    <row r="64" spans="2:26">
      <c r="B64" s="1286"/>
      <c r="C64" s="1287">
        <v>33349</v>
      </c>
      <c r="D64" s="1286">
        <v>8.1</v>
      </c>
      <c r="E64" s="1286">
        <v>8.64</v>
      </c>
      <c r="F64" s="1286">
        <v>9</v>
      </c>
      <c r="G64" s="1286">
        <v>9.5399999999999991</v>
      </c>
      <c r="H64" s="1286">
        <v>9.7200000000000006</v>
      </c>
      <c r="I64" s="1286">
        <v>0</v>
      </c>
      <c r="J64" s="1286">
        <v>0</v>
      </c>
    </row>
    <row r="65" spans="2:10">
      <c r="B65" s="1286"/>
      <c r="C65" s="1287">
        <v>33318</v>
      </c>
      <c r="D65" s="1286">
        <v>9</v>
      </c>
      <c r="E65" s="1286">
        <v>10.08</v>
      </c>
      <c r="F65" s="1286">
        <v>10.8</v>
      </c>
      <c r="G65" s="1286">
        <v>11.52</v>
      </c>
      <c r="H65" s="1286">
        <v>11.88</v>
      </c>
      <c r="I65" s="1286" t="s">
        <v>633</v>
      </c>
      <c r="J65" s="1286" t="s">
        <v>633</v>
      </c>
    </row>
    <row r="66" spans="2:10">
      <c r="B66" s="1286"/>
      <c r="C66" s="1287">
        <v>33106</v>
      </c>
      <c r="D66" s="1286">
        <v>8.64</v>
      </c>
      <c r="E66" s="1286">
        <v>9.36</v>
      </c>
      <c r="F66" s="1286">
        <v>10.08</v>
      </c>
      <c r="G66" s="1286">
        <v>10.8</v>
      </c>
      <c r="H66" s="1286">
        <v>11.16</v>
      </c>
      <c r="I66" s="1286">
        <v>0</v>
      </c>
      <c r="J66" s="1286">
        <v>0</v>
      </c>
    </row>
    <row r="67" spans="2:10">
      <c r="B67" s="1286"/>
      <c r="C67" s="1287">
        <v>32540</v>
      </c>
      <c r="D67" s="1286">
        <v>11.34</v>
      </c>
      <c r="E67" s="1286">
        <v>11.34</v>
      </c>
      <c r="F67" s="1286">
        <v>12.78</v>
      </c>
      <c r="G67" s="1286">
        <v>14.4</v>
      </c>
      <c r="H67" s="1286">
        <v>19.260000000000002</v>
      </c>
      <c r="I67" s="1286">
        <v>0</v>
      </c>
      <c r="J67" s="1286">
        <v>0</v>
      </c>
    </row>
    <row r="68" spans="2:10">
      <c r="B68" s="1286"/>
      <c r="C68" s="1287"/>
      <c r="D68" s="1286"/>
      <c r="E68" s="1286"/>
      <c r="F68" s="1286"/>
      <c r="G68" s="1286"/>
      <c r="H68" s="1286"/>
      <c r="I68" s="1286"/>
      <c r="J68" s="1286"/>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38"/>
      <c r="C72" s="1238"/>
      <c r="D72" s="1238"/>
      <c r="E72" s="1238"/>
      <c r="F72" s="1238"/>
      <c r="G72" s="1238"/>
      <c r="H72" s="1238"/>
      <c r="I72" s="1238"/>
      <c r="J72" s="1238"/>
    </row>
    <row r="73" spans="2:10">
      <c r="B73" s="1238"/>
      <c r="C73" s="1238"/>
      <c r="D73" s="1238"/>
      <c r="E73" s="1238"/>
      <c r="F73" s="1238"/>
      <c r="G73" s="1238"/>
      <c r="H73" s="1238"/>
      <c r="I73" s="1238"/>
      <c r="J73" s="1238"/>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26"/>
  <sheetViews>
    <sheetView topLeftCell="A19" workbookViewId="0">
      <selection activeCell="D27" sqref="D27"/>
    </sheetView>
  </sheetViews>
  <sheetFormatPr defaultRowHeight="15.75"/>
  <cols>
    <col min="1" max="1" width="9" style="3457"/>
    <col min="2" max="2" width="21.625" style="3457" customWidth="1"/>
    <col min="3" max="3" width="10.5" style="3457" bestFit="1" customWidth="1"/>
    <col min="4" max="16384" width="9" style="3457"/>
  </cols>
  <sheetData>
    <row r="4" spans="1:5" s="3459" customFormat="1">
      <c r="B4" s="3459" t="s">
        <v>3406</v>
      </c>
    </row>
    <row r="5" spans="1:5">
      <c r="C5" s="3457" t="s">
        <v>3390</v>
      </c>
      <c r="D5" s="3457" t="s">
        <v>3391</v>
      </c>
      <c r="E5" s="3457" t="s">
        <v>3392</v>
      </c>
    </row>
    <row r="6" spans="1:5">
      <c r="B6" s="3457" t="s">
        <v>3402</v>
      </c>
      <c r="C6" s="3457">
        <f>SUM(D6:E6)</f>
        <v>12089.66</v>
      </c>
      <c r="D6" s="3457">
        <v>12089.66</v>
      </c>
    </row>
    <row r="7" spans="1:5">
      <c r="B7" s="3457" t="s">
        <v>3383</v>
      </c>
      <c r="C7" s="3457">
        <f t="shared" ref="C7:C18" si="0">SUM(D7:E7)</f>
        <v>13298.63</v>
      </c>
      <c r="D7" s="3457">
        <v>13298.63</v>
      </c>
    </row>
    <row r="8" spans="1:5">
      <c r="B8" s="3457" t="s">
        <v>3384</v>
      </c>
      <c r="C8" s="3457">
        <f t="shared" si="0"/>
        <v>13141.25</v>
      </c>
      <c r="D8" s="3457">
        <v>13141.25</v>
      </c>
    </row>
    <row r="9" spans="1:5">
      <c r="B9" s="3457" t="s">
        <v>3385</v>
      </c>
      <c r="C9" s="3457">
        <f t="shared" si="0"/>
        <v>11973.57</v>
      </c>
      <c r="D9" s="3457">
        <v>11973.57</v>
      </c>
    </row>
    <row r="10" spans="1:5">
      <c r="B10" s="3457" t="s">
        <v>3386</v>
      </c>
      <c r="C10" s="3457">
        <f t="shared" si="0"/>
        <v>15699.28</v>
      </c>
      <c r="D10" s="3457">
        <v>15699.28</v>
      </c>
    </row>
    <row r="11" spans="1:5">
      <c r="B11" s="3457" t="s">
        <v>3387</v>
      </c>
      <c r="C11" s="3457">
        <f t="shared" si="0"/>
        <v>9021.4500000000007</v>
      </c>
      <c r="D11" s="3457">
        <v>9021.4500000000007</v>
      </c>
    </row>
    <row r="12" spans="1:5">
      <c r="A12" s="3457" t="s">
        <v>3394</v>
      </c>
      <c r="B12" s="3457" t="s">
        <v>3395</v>
      </c>
      <c r="C12" s="3457">
        <f t="shared" si="0"/>
        <v>12065.93</v>
      </c>
      <c r="E12" s="3457">
        <v>12065.93</v>
      </c>
    </row>
    <row r="13" spans="1:5">
      <c r="B13" s="3457" t="s">
        <v>3389</v>
      </c>
      <c r="C13" s="3457">
        <f t="shared" si="0"/>
        <v>48968.28</v>
      </c>
      <c r="E13" s="3487">
        <v>48968.28</v>
      </c>
    </row>
    <row r="14" spans="1:5">
      <c r="B14" s="3457" t="s">
        <v>3396</v>
      </c>
      <c r="C14" s="3457">
        <f t="shared" si="0"/>
        <v>1977</v>
      </c>
      <c r="E14" s="3457">
        <v>1977</v>
      </c>
    </row>
    <row r="15" spans="1:5">
      <c r="B15" s="3457" t="s">
        <v>3397</v>
      </c>
      <c r="C15" s="3457">
        <f t="shared" si="0"/>
        <v>46.49</v>
      </c>
      <c r="D15" s="3457">
        <v>46.49</v>
      </c>
    </row>
    <row r="16" spans="1:5">
      <c r="B16" s="3457" t="s">
        <v>3398</v>
      </c>
      <c r="C16" s="3457">
        <f t="shared" si="0"/>
        <v>64.23</v>
      </c>
      <c r="D16" s="3457">
        <v>64.23</v>
      </c>
    </row>
    <row r="17" spans="2:5">
      <c r="B17" s="3457" t="s">
        <v>3399</v>
      </c>
      <c r="C17" s="3457">
        <f t="shared" si="0"/>
        <v>157.13999999999999</v>
      </c>
      <c r="D17" s="3457">
        <v>157.13999999999999</v>
      </c>
    </row>
    <row r="18" spans="2:5">
      <c r="B18" s="3457" t="s">
        <v>3400</v>
      </c>
      <c r="C18" s="3457">
        <f t="shared" si="0"/>
        <v>132.13999999999999</v>
      </c>
      <c r="D18" s="3457">
        <v>132.13999999999999</v>
      </c>
    </row>
    <row r="19" spans="2:5">
      <c r="B19" s="3457" t="s">
        <v>2595</v>
      </c>
      <c r="C19" s="3458">
        <f>SUM(C6:C18)</f>
        <v>138635.05000000002</v>
      </c>
      <c r="D19" s="3457">
        <f>SUM(D6:D18)</f>
        <v>75623.839999999997</v>
      </c>
      <c r="E19" s="3457">
        <f>SUM(E6:E18)</f>
        <v>63011.21</v>
      </c>
    </row>
    <row r="21" spans="2:5">
      <c r="B21" s="3457" t="s">
        <v>3403</v>
      </c>
      <c r="C21" s="3457">
        <v>6414.74</v>
      </c>
    </row>
    <row r="22" spans="2:5">
      <c r="B22" s="3457" t="s">
        <v>3404</v>
      </c>
      <c r="C22" s="3457">
        <v>474.4</v>
      </c>
      <c r="D22" s="3457">
        <v>110.72</v>
      </c>
      <c r="E22" s="3457">
        <f>C22-D22</f>
        <v>363.67999999999995</v>
      </c>
    </row>
    <row r="25" spans="2:5">
      <c r="B25" s="3457" t="s">
        <v>3561</v>
      </c>
      <c r="C25" s="3457">
        <f>37340.16</f>
        <v>37340.160000000003</v>
      </c>
      <c r="D25" s="3457">
        <f>'数据-汇总表'!G21</f>
        <v>30561.740000000005</v>
      </c>
    </row>
    <row r="26" spans="2:5">
      <c r="C26" s="3457">
        <v>800</v>
      </c>
      <c r="D26" s="3457">
        <f>ROUNDDOWN(D25/C25*C26,0)</f>
        <v>654</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zoomScale="115" zoomScaleNormal="115" workbookViewId="0">
      <selection activeCell="J12" sqref="J12"/>
    </sheetView>
  </sheetViews>
  <sheetFormatPr defaultRowHeight="13.5"/>
  <sheetData>
    <row r="1" spans="1:6" ht="43.5" thickBot="1">
      <c r="A1" s="3462" t="s">
        <v>3414</v>
      </c>
      <c r="B1" s="3463" t="s">
        <v>3415</v>
      </c>
      <c r="C1" s="3463" t="s">
        <v>3416</v>
      </c>
      <c r="D1" s="3463" t="s">
        <v>3417</v>
      </c>
      <c r="E1" s="3463" t="s">
        <v>3418</v>
      </c>
      <c r="F1" s="3463" t="s">
        <v>3419</v>
      </c>
    </row>
    <row r="2" spans="1:6" ht="29.25" thickBot="1">
      <c r="A2" s="3464" t="s">
        <v>3420</v>
      </c>
      <c r="B2" s="3465" t="s">
        <v>3421</v>
      </c>
      <c r="C2" s="3465"/>
      <c r="D2" s="3466"/>
      <c r="E2" s="3465">
        <v>113923</v>
      </c>
      <c r="F2" s="3465"/>
    </row>
    <row r="3" spans="1:6" ht="29.25" thickBot="1">
      <c r="A3" s="3467">
        <v>1</v>
      </c>
      <c r="B3" s="3468" t="s">
        <v>3422</v>
      </c>
      <c r="C3" s="3468"/>
      <c r="D3" s="3469"/>
      <c r="E3" s="3468">
        <v>110551</v>
      </c>
      <c r="F3" s="3468"/>
    </row>
    <row r="4" spans="1:6" ht="15" thickBot="1">
      <c r="A4" s="3467">
        <v>2</v>
      </c>
      <c r="B4" s="3468" t="s">
        <v>3423</v>
      </c>
      <c r="C4" s="3468"/>
      <c r="D4" s="3469"/>
      <c r="E4" s="3468">
        <v>3317</v>
      </c>
      <c r="F4" s="3468"/>
    </row>
    <row r="5" spans="1:6" ht="15" thickBot="1">
      <c r="A5" s="3467">
        <v>3</v>
      </c>
      <c r="B5" s="3468" t="s">
        <v>3424</v>
      </c>
      <c r="C5" s="3468"/>
      <c r="D5" s="3469"/>
      <c r="E5" s="3468">
        <v>55</v>
      </c>
      <c r="F5" s="3468"/>
    </row>
    <row r="6" spans="1:6" ht="43.5" thickBot="1">
      <c r="A6" s="3470" t="s">
        <v>3425</v>
      </c>
      <c r="B6" s="3466" t="s">
        <v>3426</v>
      </c>
      <c r="C6" s="3465" t="s">
        <v>3427</v>
      </c>
      <c r="D6" s="3466" t="s">
        <v>3428</v>
      </c>
      <c r="E6" s="3466">
        <v>136152</v>
      </c>
      <c r="F6" s="3466"/>
    </row>
    <row r="7" spans="1:6" ht="43.5" thickBot="1">
      <c r="A7" s="3471">
        <v>1</v>
      </c>
      <c r="B7" s="3469" t="s">
        <v>3411</v>
      </c>
      <c r="C7" s="3468" t="s">
        <v>3429</v>
      </c>
      <c r="D7" s="3469" t="s">
        <v>3430</v>
      </c>
      <c r="E7" s="3469">
        <v>85054</v>
      </c>
      <c r="F7" s="3469"/>
    </row>
    <row r="8" spans="1:6" ht="29.25" thickBot="1">
      <c r="A8" s="3467">
        <v>1.1000000000000001</v>
      </c>
      <c r="B8" s="3469" t="s">
        <v>3431</v>
      </c>
      <c r="C8" s="3468" t="s">
        <v>3429</v>
      </c>
      <c r="D8" s="3469" t="s">
        <v>3432</v>
      </c>
      <c r="E8" s="3469">
        <v>37812</v>
      </c>
      <c r="F8" s="3469"/>
    </row>
    <row r="9" spans="1:6" ht="15" thickBot="1">
      <c r="A9" s="3467">
        <v>1.2</v>
      </c>
      <c r="B9" s="3469" t="s">
        <v>3433</v>
      </c>
      <c r="C9" s="3468"/>
      <c r="D9" s="3469"/>
      <c r="E9" s="3469">
        <v>42349</v>
      </c>
      <c r="F9" s="3469"/>
    </row>
    <row r="10" spans="1:6" ht="29.25" thickBot="1">
      <c r="A10" s="3467" t="s">
        <v>3434</v>
      </c>
      <c r="B10" s="3469" t="s">
        <v>3435</v>
      </c>
      <c r="C10" s="3468" t="s">
        <v>3429</v>
      </c>
      <c r="D10" s="3469" t="s">
        <v>3436</v>
      </c>
      <c r="E10" s="3469">
        <v>22687</v>
      </c>
      <c r="F10" s="3469"/>
    </row>
    <row r="11" spans="1:6" ht="29.25" thickBot="1">
      <c r="A11" s="3467" t="s">
        <v>3437</v>
      </c>
      <c r="B11" s="3469" t="s">
        <v>3438</v>
      </c>
      <c r="C11" s="3468" t="s">
        <v>3429</v>
      </c>
      <c r="D11" s="3469" t="s">
        <v>3439</v>
      </c>
      <c r="E11" s="3469">
        <v>19662</v>
      </c>
      <c r="F11" s="3469"/>
    </row>
    <row r="12" spans="1:6" ht="29.25" thickBot="1">
      <c r="A12" s="3467">
        <v>1.3</v>
      </c>
      <c r="B12" s="3468" t="s">
        <v>3440</v>
      </c>
      <c r="C12" s="3468" t="s">
        <v>3429</v>
      </c>
      <c r="D12" s="3469" t="s">
        <v>3441</v>
      </c>
      <c r="E12" s="3469">
        <v>907</v>
      </c>
      <c r="F12" s="3469"/>
    </row>
    <row r="13" spans="1:6" ht="29.25" thickBot="1">
      <c r="A13" s="3467">
        <v>1.4</v>
      </c>
      <c r="B13" s="3468" t="s">
        <v>3442</v>
      </c>
      <c r="C13" s="3468" t="s">
        <v>3429</v>
      </c>
      <c r="D13" s="3469" t="s">
        <v>3443</v>
      </c>
      <c r="E13" s="3469">
        <v>756</v>
      </c>
      <c r="F13" s="3469"/>
    </row>
    <row r="14" spans="1:6" ht="29.25" thickBot="1">
      <c r="A14" s="3467">
        <v>1.5</v>
      </c>
      <c r="B14" s="3468" t="s">
        <v>3444</v>
      </c>
      <c r="C14" s="3468" t="s">
        <v>3429</v>
      </c>
      <c r="D14" s="3469" t="s">
        <v>3445</v>
      </c>
      <c r="E14" s="3469">
        <v>681</v>
      </c>
      <c r="F14" s="3469"/>
    </row>
    <row r="15" spans="1:6" ht="29.25" thickBot="1">
      <c r="A15" s="3467">
        <v>1.6</v>
      </c>
      <c r="B15" s="3468" t="s">
        <v>3446</v>
      </c>
      <c r="C15" s="3468" t="s">
        <v>3429</v>
      </c>
      <c r="D15" s="3469" t="s">
        <v>3443</v>
      </c>
      <c r="E15" s="3469">
        <v>756</v>
      </c>
      <c r="F15" s="3469"/>
    </row>
    <row r="16" spans="1:6" ht="29.25" thickBot="1">
      <c r="A16" s="3467">
        <v>1.7</v>
      </c>
      <c r="B16" s="3468" t="s">
        <v>3447</v>
      </c>
      <c r="C16" s="3468" t="s">
        <v>3429</v>
      </c>
      <c r="D16" s="3469" t="s">
        <v>3448</v>
      </c>
      <c r="E16" s="3469">
        <v>454</v>
      </c>
      <c r="F16" s="3469"/>
    </row>
    <row r="17" spans="1:6" ht="29.25" thickBot="1">
      <c r="A17" s="3467">
        <v>1.8</v>
      </c>
      <c r="B17" s="3468" t="s">
        <v>3449</v>
      </c>
      <c r="C17" s="3469" t="s">
        <v>3450</v>
      </c>
      <c r="D17" s="3468" t="s">
        <v>3451</v>
      </c>
      <c r="E17" s="3469">
        <v>280</v>
      </c>
      <c r="F17" s="3469"/>
    </row>
    <row r="18" spans="1:6" ht="29.25" thickBot="1">
      <c r="A18" s="3467">
        <v>1.9</v>
      </c>
      <c r="B18" s="3468" t="s">
        <v>3452</v>
      </c>
      <c r="C18" s="3468" t="s">
        <v>3429</v>
      </c>
      <c r="D18" s="3469" t="s">
        <v>3453</v>
      </c>
      <c r="E18" s="3469">
        <v>378</v>
      </c>
      <c r="F18" s="3469"/>
    </row>
    <row r="19" spans="1:6" ht="29.25" thickBot="1">
      <c r="A19" s="3467">
        <v>1.1000000000000001</v>
      </c>
      <c r="B19" s="3468" t="s">
        <v>3454</v>
      </c>
      <c r="C19" s="3468" t="s">
        <v>3429</v>
      </c>
      <c r="D19" s="3469" t="s">
        <v>3445</v>
      </c>
      <c r="E19" s="3469">
        <v>681</v>
      </c>
      <c r="F19" s="3469"/>
    </row>
    <row r="20" spans="1:6" ht="29.25" thickBot="1">
      <c r="A20" s="3471">
        <v>2</v>
      </c>
      <c r="B20" s="3469" t="s">
        <v>3393</v>
      </c>
      <c r="C20" s="3468" t="s">
        <v>3455</v>
      </c>
      <c r="D20" s="3469" t="s">
        <v>3456</v>
      </c>
      <c r="E20" s="3469">
        <v>49212</v>
      </c>
      <c r="F20" s="3469"/>
    </row>
    <row r="21" spans="1:6" ht="29.25" thickBot="1">
      <c r="A21" s="3467">
        <v>2.1</v>
      </c>
      <c r="B21" s="3469" t="s">
        <v>3431</v>
      </c>
      <c r="C21" s="3468" t="s">
        <v>3455</v>
      </c>
      <c r="D21" s="3469" t="s">
        <v>3457</v>
      </c>
      <c r="E21" s="3469">
        <v>32766</v>
      </c>
      <c r="F21" s="3469"/>
    </row>
    <row r="22" spans="1:6" ht="29.25" thickBot="1">
      <c r="A22" s="3467">
        <v>2.2000000000000002</v>
      </c>
      <c r="B22" s="3469" t="s">
        <v>3433</v>
      </c>
      <c r="C22" s="3468" t="s">
        <v>3455</v>
      </c>
      <c r="D22" s="3469" t="s">
        <v>3458</v>
      </c>
      <c r="E22" s="3469">
        <v>12602</v>
      </c>
      <c r="F22" s="3469"/>
    </row>
    <row r="23" spans="1:6" ht="29.25" thickBot="1">
      <c r="A23" s="3467">
        <v>1.3</v>
      </c>
      <c r="B23" s="3468" t="s">
        <v>3440</v>
      </c>
      <c r="C23" s="3468" t="s">
        <v>3455</v>
      </c>
      <c r="D23" s="3469" t="s">
        <v>3441</v>
      </c>
      <c r="E23" s="3469">
        <v>756</v>
      </c>
      <c r="F23" s="3469"/>
    </row>
    <row r="24" spans="1:6" ht="29.25" thickBot="1">
      <c r="A24" s="3467">
        <v>1.4</v>
      </c>
      <c r="B24" s="3468" t="s">
        <v>3442</v>
      </c>
      <c r="C24" s="3468" t="s">
        <v>3455</v>
      </c>
      <c r="D24" s="3469" t="s">
        <v>3443</v>
      </c>
      <c r="E24" s="3469">
        <v>630</v>
      </c>
      <c r="F24" s="3469"/>
    </row>
    <row r="25" spans="1:6" ht="29.25" thickBot="1">
      <c r="A25" s="3467">
        <v>1.5</v>
      </c>
      <c r="B25" s="3468" t="s">
        <v>3444</v>
      </c>
      <c r="C25" s="3468" t="s">
        <v>3455</v>
      </c>
      <c r="D25" s="3469" t="s">
        <v>3445</v>
      </c>
      <c r="E25" s="3469">
        <v>567</v>
      </c>
      <c r="F25" s="3469"/>
    </row>
    <row r="26" spans="1:6" ht="29.25" thickBot="1">
      <c r="A26" s="3467">
        <v>1.6</v>
      </c>
      <c r="B26" s="3468" t="s">
        <v>3446</v>
      </c>
      <c r="C26" s="3468" t="s">
        <v>3455</v>
      </c>
      <c r="D26" s="3469" t="s">
        <v>3443</v>
      </c>
      <c r="E26" s="3469">
        <v>630</v>
      </c>
      <c r="F26" s="3469"/>
    </row>
    <row r="27" spans="1:6" ht="29.25" thickBot="1">
      <c r="A27" s="3467">
        <v>1.7</v>
      </c>
      <c r="B27" s="3468" t="s">
        <v>3447</v>
      </c>
      <c r="C27" s="3468" t="s">
        <v>3455</v>
      </c>
      <c r="D27" s="3469" t="s">
        <v>3448</v>
      </c>
      <c r="E27" s="3469">
        <v>378</v>
      </c>
      <c r="F27" s="3469"/>
    </row>
    <row r="28" spans="1:6" ht="29.25" thickBot="1">
      <c r="A28" s="3467">
        <v>1.8</v>
      </c>
      <c r="B28" s="3468" t="s">
        <v>3452</v>
      </c>
      <c r="C28" s="3468" t="s">
        <v>3455</v>
      </c>
      <c r="D28" s="3469" t="s">
        <v>3453</v>
      </c>
      <c r="E28" s="3469">
        <v>315</v>
      </c>
      <c r="F28" s="3469"/>
    </row>
    <row r="29" spans="1:6" ht="29.25" thickBot="1">
      <c r="A29" s="3467">
        <v>1.9</v>
      </c>
      <c r="B29" s="3468" t="s">
        <v>3454</v>
      </c>
      <c r="C29" s="3468" t="s">
        <v>3455</v>
      </c>
      <c r="D29" s="3469" t="s">
        <v>3445</v>
      </c>
      <c r="E29" s="3469">
        <v>567</v>
      </c>
      <c r="F29" s="3469"/>
    </row>
    <row r="30" spans="1:6" ht="29.25" thickBot="1">
      <c r="A30" s="3471">
        <v>3</v>
      </c>
      <c r="B30" s="3469" t="s">
        <v>3459</v>
      </c>
      <c r="C30" s="3468" t="s">
        <v>3429</v>
      </c>
      <c r="D30" s="3469" t="s">
        <v>3460</v>
      </c>
      <c r="E30" s="3469">
        <v>1885</v>
      </c>
      <c r="F30" s="3469"/>
    </row>
    <row r="31" spans="1:6" ht="29.25" thickBot="1">
      <c r="A31" s="3467">
        <v>3.1</v>
      </c>
      <c r="B31" s="3468" t="s">
        <v>3461</v>
      </c>
      <c r="C31" s="3468" t="s">
        <v>3462</v>
      </c>
      <c r="D31" s="3469" t="s">
        <v>3463</v>
      </c>
      <c r="E31" s="3469">
        <v>35</v>
      </c>
      <c r="F31" s="3469"/>
    </row>
    <row r="32" spans="1:6" ht="29.25" thickBot="1">
      <c r="A32" s="3467">
        <v>3.2</v>
      </c>
      <c r="B32" s="3468" t="s">
        <v>3464</v>
      </c>
      <c r="C32" s="3468" t="s">
        <v>3465</v>
      </c>
      <c r="D32" s="3469" t="s">
        <v>3466</v>
      </c>
      <c r="E32" s="3469">
        <v>225</v>
      </c>
      <c r="F32" s="3469"/>
    </row>
    <row r="33" spans="1:6" ht="29.25" thickBot="1">
      <c r="A33" s="3467">
        <v>3.3</v>
      </c>
      <c r="B33" s="3468" t="s">
        <v>3467</v>
      </c>
      <c r="C33" s="3469" t="s">
        <v>3468</v>
      </c>
      <c r="D33" s="3469" t="s">
        <v>3469</v>
      </c>
      <c r="E33" s="3469">
        <v>492</v>
      </c>
      <c r="F33" s="3469"/>
    </row>
    <row r="34" spans="1:6" ht="29.25" thickBot="1">
      <c r="A34" s="3467">
        <v>3.4</v>
      </c>
      <c r="B34" s="3468" t="s">
        <v>3470</v>
      </c>
      <c r="C34" s="3469" t="s">
        <v>3468</v>
      </c>
      <c r="D34" s="3469" t="s">
        <v>3471</v>
      </c>
      <c r="E34" s="3469">
        <v>529</v>
      </c>
      <c r="F34" s="3469"/>
    </row>
    <row r="35" spans="1:6" ht="29.25" thickBot="1">
      <c r="A35" s="3467">
        <v>3.5</v>
      </c>
      <c r="B35" s="3468" t="s">
        <v>3472</v>
      </c>
      <c r="C35" s="3468" t="s">
        <v>3468</v>
      </c>
      <c r="D35" s="3469" t="s">
        <v>3473</v>
      </c>
      <c r="E35" s="3469">
        <v>605</v>
      </c>
      <c r="F35" s="3469"/>
    </row>
    <row r="36" spans="1:6" ht="43.5" thickBot="1">
      <c r="A36" s="3470" t="s">
        <v>3474</v>
      </c>
      <c r="B36" s="3466" t="s">
        <v>3475</v>
      </c>
      <c r="C36" s="3465" t="s">
        <v>3429</v>
      </c>
      <c r="D36" s="3466" t="s">
        <v>3476</v>
      </c>
      <c r="E36" s="3466">
        <v>10601</v>
      </c>
      <c r="F36" s="3466"/>
    </row>
    <row r="37" spans="1:6" ht="57.75" thickBot="1">
      <c r="A37" s="3471">
        <v>1</v>
      </c>
      <c r="B37" s="3469" t="s">
        <v>3477</v>
      </c>
      <c r="C37" s="3468" t="s">
        <v>3427</v>
      </c>
      <c r="D37" s="3469" t="s">
        <v>3478</v>
      </c>
      <c r="E37" s="3469">
        <v>2773</v>
      </c>
      <c r="F37" s="3472" t="s">
        <v>3479</v>
      </c>
    </row>
    <row r="38" spans="1:6" ht="43.5" thickBot="1">
      <c r="A38" s="3471">
        <v>2</v>
      </c>
      <c r="B38" s="3469" t="s">
        <v>3480</v>
      </c>
      <c r="C38" s="3468" t="s">
        <v>3481</v>
      </c>
      <c r="D38" s="3468" t="s">
        <v>3482</v>
      </c>
      <c r="E38" s="3468">
        <v>1402</v>
      </c>
      <c r="F38" s="3473" t="s">
        <v>3483</v>
      </c>
    </row>
    <row r="39" spans="1:6" ht="43.5" thickBot="1">
      <c r="A39" s="3471">
        <v>3</v>
      </c>
      <c r="B39" s="3469" t="s">
        <v>3484</v>
      </c>
      <c r="C39" s="3468" t="s">
        <v>3481</v>
      </c>
      <c r="D39" s="3468"/>
      <c r="E39" s="3468">
        <v>15</v>
      </c>
      <c r="F39" s="3469" t="s">
        <v>3485</v>
      </c>
    </row>
    <row r="40" spans="1:6" ht="43.5" thickBot="1">
      <c r="A40" s="3471">
        <v>4</v>
      </c>
      <c r="B40" s="3469" t="s">
        <v>3486</v>
      </c>
      <c r="C40" s="3468" t="s">
        <v>3481</v>
      </c>
      <c r="D40" s="3468"/>
      <c r="E40" s="3468">
        <v>15</v>
      </c>
      <c r="F40" s="3469" t="s">
        <v>3485</v>
      </c>
    </row>
    <row r="41" spans="1:6" ht="43.5" thickBot="1">
      <c r="A41" s="3471">
        <v>5</v>
      </c>
      <c r="B41" s="3469" t="s">
        <v>3487</v>
      </c>
      <c r="C41" s="3468" t="s">
        <v>3481</v>
      </c>
      <c r="D41" s="3468"/>
      <c r="E41" s="3468">
        <v>10</v>
      </c>
      <c r="F41" s="3469" t="s">
        <v>3488</v>
      </c>
    </row>
    <row r="42" spans="1:6" ht="43.5" thickBot="1">
      <c r="A42" s="3471">
        <v>6</v>
      </c>
      <c r="B42" s="3469" t="s">
        <v>3489</v>
      </c>
      <c r="C42" s="3468" t="s">
        <v>3429</v>
      </c>
      <c r="D42" s="3469" t="s">
        <v>3490</v>
      </c>
      <c r="E42" s="3468">
        <v>10</v>
      </c>
      <c r="F42" s="3469" t="s">
        <v>3491</v>
      </c>
    </row>
    <row r="43" spans="1:6" ht="43.5" thickBot="1">
      <c r="A43" s="3471">
        <v>7</v>
      </c>
      <c r="B43" s="3469" t="s">
        <v>3492</v>
      </c>
      <c r="C43" s="3468"/>
      <c r="D43" s="3469"/>
      <c r="E43" s="3468">
        <v>30</v>
      </c>
      <c r="F43" s="3469" t="s">
        <v>3493</v>
      </c>
    </row>
    <row r="44" spans="1:6" ht="43.5" thickBot="1">
      <c r="A44" s="3471">
        <v>8</v>
      </c>
      <c r="B44" s="3469" t="s">
        <v>3494</v>
      </c>
      <c r="C44" s="3468" t="s">
        <v>3495</v>
      </c>
      <c r="D44" s="3474">
        <v>0.2</v>
      </c>
      <c r="E44" s="3468">
        <v>642</v>
      </c>
      <c r="F44" s="3469" t="s">
        <v>3496</v>
      </c>
    </row>
    <row r="45" spans="1:6" ht="43.5" thickBot="1">
      <c r="A45" s="3471">
        <v>9</v>
      </c>
      <c r="B45" s="3469" t="s">
        <v>3497</v>
      </c>
      <c r="C45" s="3468" t="s">
        <v>3481</v>
      </c>
      <c r="D45" s="3468" t="s">
        <v>3482</v>
      </c>
      <c r="E45" s="3468">
        <v>3209</v>
      </c>
      <c r="F45" s="3469" t="s">
        <v>3496</v>
      </c>
    </row>
    <row r="46" spans="1:6" ht="43.5" thickBot="1">
      <c r="A46" s="3471">
        <v>10</v>
      </c>
      <c r="B46" s="3469" t="s">
        <v>3498</v>
      </c>
      <c r="C46" s="3468" t="s">
        <v>3481</v>
      </c>
      <c r="D46" s="3468" t="s">
        <v>3482</v>
      </c>
      <c r="E46" s="3468">
        <v>1998</v>
      </c>
      <c r="F46" s="3469" t="s">
        <v>3499</v>
      </c>
    </row>
    <row r="47" spans="1:6" ht="43.5" thickBot="1">
      <c r="A47" s="3471">
        <v>11</v>
      </c>
      <c r="B47" s="3469" t="s">
        <v>3500</v>
      </c>
      <c r="C47" s="3468" t="s">
        <v>3501</v>
      </c>
      <c r="D47" s="3468"/>
      <c r="E47" s="3469">
        <v>133</v>
      </c>
      <c r="F47" s="3469" t="s">
        <v>3502</v>
      </c>
    </row>
    <row r="48" spans="1:6" ht="143.25" thickBot="1">
      <c r="A48" s="3471">
        <v>12</v>
      </c>
      <c r="B48" s="3469" t="s">
        <v>3503</v>
      </c>
      <c r="C48" s="3468"/>
      <c r="D48" s="3469"/>
      <c r="E48" s="3469">
        <v>93</v>
      </c>
      <c r="F48" s="3475" t="s">
        <v>3504</v>
      </c>
    </row>
    <row r="49" spans="1:6" ht="43.5" thickBot="1">
      <c r="A49" s="3471">
        <v>13</v>
      </c>
      <c r="B49" s="3469" t="s">
        <v>3505</v>
      </c>
      <c r="C49" s="3468" t="s">
        <v>3429</v>
      </c>
      <c r="D49" s="3469" t="s">
        <v>3506</v>
      </c>
      <c r="E49" s="3469">
        <v>15</v>
      </c>
      <c r="F49" s="3469" t="s">
        <v>3507</v>
      </c>
    </row>
    <row r="50" spans="1:6" ht="43.5" thickBot="1">
      <c r="A50" s="3471">
        <v>14</v>
      </c>
      <c r="B50" s="3469" t="s">
        <v>3508</v>
      </c>
      <c r="C50" s="3468" t="s">
        <v>3495</v>
      </c>
      <c r="D50" s="3476">
        <v>0.08</v>
      </c>
      <c r="E50" s="3468">
        <v>257</v>
      </c>
      <c r="F50" s="3469" t="s">
        <v>3496</v>
      </c>
    </row>
    <row r="51" spans="1:6" ht="29.25" thickBot="1">
      <c r="A51" s="3464" t="s">
        <v>3509</v>
      </c>
      <c r="B51" s="3466" t="s">
        <v>3510</v>
      </c>
      <c r="C51" s="3465" t="s">
        <v>3511</v>
      </c>
      <c r="D51" s="3477">
        <v>4.7500000000000001E-2</v>
      </c>
      <c r="E51" s="3466">
        <v>7210</v>
      </c>
      <c r="F51" s="3466" t="s">
        <v>3512</v>
      </c>
    </row>
    <row r="52" spans="1:6" ht="29.25" thickBot="1">
      <c r="A52" s="3464" t="s">
        <v>3513</v>
      </c>
      <c r="B52" s="3466" t="s">
        <v>3514</v>
      </c>
      <c r="C52" s="3465" t="s">
        <v>3515</v>
      </c>
      <c r="D52" s="3478">
        <v>0.05</v>
      </c>
      <c r="E52" s="3465">
        <v>7338</v>
      </c>
      <c r="F52" s="3466" t="s">
        <v>3516</v>
      </c>
    </row>
    <row r="53" spans="1:6" ht="43.5" thickBot="1">
      <c r="A53" s="3464" t="s">
        <v>3517</v>
      </c>
      <c r="B53" s="3466" t="s">
        <v>3518</v>
      </c>
      <c r="C53" s="3465" t="s">
        <v>3429</v>
      </c>
      <c r="D53" s="3466" t="s">
        <v>3519</v>
      </c>
      <c r="E53" s="3466">
        <v>275223</v>
      </c>
      <c r="F53" s="3466"/>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505"/>
      <c r="B3" s="3505"/>
      <c r="C3" s="3505"/>
      <c r="D3" s="850" t="s">
        <v>925</v>
      </c>
      <c r="E3" s="850" t="s">
        <v>931</v>
      </c>
      <c r="F3" s="850" t="s">
        <v>925</v>
      </c>
      <c r="G3" s="850" t="s">
        <v>926</v>
      </c>
      <c r="H3" s="850" t="s">
        <v>925</v>
      </c>
      <c r="I3" s="850" t="s">
        <v>926</v>
      </c>
    </row>
    <row r="4" spans="1:9" ht="30">
      <c r="A4" s="1501" t="str">
        <f>项目基本情况!S2</f>
        <v>北京市出让国有建设用地使用权及在建建筑物房地产</v>
      </c>
      <c r="B4" s="850">
        <f>项目基本情况!C17</f>
        <v>131745.91</v>
      </c>
      <c r="C4" s="850">
        <f>项目基本情况!C18</f>
        <v>35932.949999999997</v>
      </c>
      <c r="D4" s="850" t="e">
        <f ca="1">结果表!D118</f>
        <v>#REF!</v>
      </c>
      <c r="E4" s="850" t="e">
        <f ca="1">结果表!E118</f>
        <v>#REF!</v>
      </c>
      <c r="F4" s="850" t="e">
        <f ca="1">结果表!F118</f>
        <v>#REF!</v>
      </c>
      <c r="G4" s="850" t="e">
        <f ca="1">结果表!G118</f>
        <v>#REF!</v>
      </c>
      <c r="H4" s="850">
        <f ca="1">结果表!H118</f>
        <v>202949</v>
      </c>
      <c r="I4" s="850">
        <f ca="1">结果表!I118</f>
        <v>15405</v>
      </c>
    </row>
    <row r="5" spans="1:9" ht="30" customHeight="1">
      <c r="A5" s="3505" t="s">
        <v>927</v>
      </c>
      <c r="B5" s="3505"/>
      <c r="C5" s="3505"/>
      <c r="D5" s="3505" t="e">
        <f ca="1">结果表!D119</f>
        <v>#REF!</v>
      </c>
      <c r="E5" s="3505"/>
      <c r="F5" s="3505" t="e">
        <f ca="1">结果表!F119</f>
        <v>#REF!</v>
      </c>
      <c r="G5" s="3505"/>
      <c r="H5" s="3505" t="str">
        <f ca="1">结果表!H119</f>
        <v>贰拾亿贰仟玖佰肆拾玖万元整</v>
      </c>
      <c r="I5" s="3505"/>
    </row>
    <row r="6" spans="1:9" ht="15.75">
      <c r="A6" s="3506" t="str">
        <f>结果表!A120</f>
        <v>估价师知悉的法定优先受偿款</v>
      </c>
      <c r="B6" s="3506"/>
      <c r="C6" s="3506"/>
      <c r="D6" s="3506">
        <f>结果表!D120</f>
        <v>0</v>
      </c>
      <c r="E6" s="3506"/>
      <c r="F6" s="3506"/>
      <c r="G6" s="3506"/>
      <c r="H6" s="3506"/>
      <c r="I6" s="3506"/>
    </row>
    <row r="7" spans="1:9" ht="15">
      <c r="A7" s="3505" t="s">
        <v>927</v>
      </c>
      <c r="B7" s="3505"/>
      <c r="C7" s="3505"/>
      <c r="D7" s="3507" t="str">
        <f>结果表!D121</f>
        <v>零元整</v>
      </c>
      <c r="E7" s="3508"/>
      <c r="F7" s="3508"/>
      <c r="G7" s="3508"/>
      <c r="H7" s="3508"/>
      <c r="I7" s="3509"/>
    </row>
    <row r="8" spans="1:9" ht="15.75">
      <c r="A8" s="3506" t="str">
        <f>结果表!A122</f>
        <v>房地产抵押价值</v>
      </c>
      <c r="B8" s="3506"/>
      <c r="C8" s="3506"/>
      <c r="D8" s="3506">
        <f ca="1">结果表!D122</f>
        <v>202949</v>
      </c>
      <c r="E8" s="3506"/>
      <c r="F8" s="3506"/>
      <c r="G8" s="3506"/>
      <c r="H8" s="3506"/>
      <c r="I8" s="3506"/>
    </row>
    <row r="9" spans="1:9" ht="15">
      <c r="A9" s="3505" t="s">
        <v>927</v>
      </c>
      <c r="B9" s="3505"/>
      <c r="C9" s="3505"/>
      <c r="D9" s="3505" t="str">
        <f ca="1">结果表!D123</f>
        <v>贰拾亿贰仟玖佰肆拾玖万元整</v>
      </c>
      <c r="E9" s="3505"/>
      <c r="F9" s="3505"/>
      <c r="G9" s="3505"/>
      <c r="H9" s="3505"/>
      <c r="I9" s="3505"/>
    </row>
    <row r="10" spans="1:9" ht="15.75">
      <c r="A10" s="3506" t="str">
        <f>结果表!A124</f>
        <v/>
      </c>
      <c r="B10" s="3506"/>
      <c r="C10" s="3506"/>
      <c r="D10" s="3506" t="str">
        <f>结果表!D124</f>
        <v>——</v>
      </c>
      <c r="E10" s="3506"/>
      <c r="F10" s="3506"/>
      <c r="G10" s="3506"/>
      <c r="H10" s="3506"/>
      <c r="I10" s="3506"/>
    </row>
    <row r="11" spans="1:9" ht="15">
      <c r="A11" s="3505" t="s">
        <v>927</v>
      </c>
      <c r="B11" s="3505"/>
      <c r="C11" s="3505"/>
      <c r="D11" s="3505" t="e">
        <f>结果表!D125</f>
        <v>#VALUE!</v>
      </c>
      <c r="E11" s="3505"/>
      <c r="F11" s="3505"/>
      <c r="G11" s="3505"/>
      <c r="H11" s="3505"/>
      <c r="I11" s="3505"/>
    </row>
    <row r="12" spans="1:9" ht="15.75">
      <c r="A12" s="3506" t="str">
        <f>结果表!A126</f>
        <v/>
      </c>
      <c r="B12" s="3506"/>
      <c r="C12" s="3506"/>
      <c r="D12" s="3506" t="str">
        <f>结果表!D126</f>
        <v>——</v>
      </c>
      <c r="E12" s="3506"/>
      <c r="F12" s="3506"/>
      <c r="G12" s="3506"/>
      <c r="H12" s="3506"/>
      <c r="I12" s="3506"/>
    </row>
    <row r="13" spans="1:9" ht="15.75" thickBot="1">
      <c r="A13" s="3510" t="s">
        <v>927</v>
      </c>
      <c r="B13" s="3510"/>
      <c r="C13" s="3510"/>
      <c r="D13" s="3510" t="e">
        <f>结果表!D127</f>
        <v>#VALUE!</v>
      </c>
      <c r="E13" s="3510"/>
      <c r="F13" s="3510"/>
      <c r="G13" s="3510"/>
      <c r="H13" s="3510"/>
      <c r="I13" s="3510"/>
    </row>
    <row r="14" spans="1:9" ht="15" thickTop="1">
      <c r="A14" s="3511" t="s">
        <v>932</v>
      </c>
      <c r="B14" s="3511"/>
      <c r="C14" s="3511"/>
      <c r="D14" s="3511"/>
      <c r="E14" s="3511"/>
      <c r="F14" s="3511"/>
      <c r="G14" s="3511"/>
      <c r="H14" s="3511"/>
      <c r="I14" s="351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election activeCell="K29" sqref="K29"/>
    </sheetView>
  </sheetViews>
  <sheetFormatPr defaultRowHeight="13.5"/>
  <sheetData>
    <row r="1" spans="1:11" ht="19.5" thickBot="1">
      <c r="A1" s="3479" t="s">
        <v>3545</v>
      </c>
    </row>
    <row r="2" spans="1:11" ht="14.25" thickBot="1">
      <c r="A2" s="3831" t="s">
        <v>3414</v>
      </c>
      <c r="B2" s="3831" t="s">
        <v>3546</v>
      </c>
      <c r="C2" s="3831" t="s">
        <v>3547</v>
      </c>
      <c r="D2" s="3836" t="s">
        <v>3548</v>
      </c>
      <c r="E2" s="3837"/>
      <c r="F2" s="3837"/>
      <c r="G2" s="3837"/>
      <c r="H2" s="3837"/>
      <c r="I2" s="3837"/>
      <c r="J2" s="3840"/>
      <c r="K2" s="3831" t="s">
        <v>3401</v>
      </c>
    </row>
    <row r="3" spans="1:11" ht="14.25" thickBot="1">
      <c r="A3" s="3839"/>
      <c r="B3" s="3839"/>
      <c r="C3" s="3839"/>
      <c r="D3" s="3480" t="s">
        <v>3549</v>
      </c>
      <c r="E3" s="3480" t="s">
        <v>3550</v>
      </c>
      <c r="F3" s="3480" t="s">
        <v>3551</v>
      </c>
      <c r="G3" s="3480" t="s">
        <v>3552</v>
      </c>
      <c r="H3" s="3480" t="s">
        <v>3553</v>
      </c>
      <c r="I3" s="3480" t="s">
        <v>3554</v>
      </c>
      <c r="J3" s="3480" t="s">
        <v>3555</v>
      </c>
      <c r="K3" s="3832"/>
    </row>
    <row r="4" spans="1:11" ht="14.25" thickBot="1">
      <c r="A4" s="3833">
        <v>1</v>
      </c>
      <c r="B4" s="3833" t="s">
        <v>3556</v>
      </c>
      <c r="C4" s="3481" t="s">
        <v>3557</v>
      </c>
      <c r="D4" s="3482">
        <v>0.95</v>
      </c>
      <c r="E4" s="3482">
        <v>0.95</v>
      </c>
      <c r="F4" s="3482">
        <v>0.95</v>
      </c>
      <c r="G4" s="3482">
        <v>0.95</v>
      </c>
      <c r="H4" s="3482">
        <v>0.95</v>
      </c>
      <c r="I4" s="3482">
        <v>0.95</v>
      </c>
      <c r="J4" s="3482">
        <v>0.95</v>
      </c>
      <c r="K4" s="3481"/>
    </row>
    <row r="5" spans="1:11" ht="15.75" thickBot="1">
      <c r="A5" s="3834"/>
      <c r="B5" s="3834"/>
      <c r="C5" s="3481" t="s">
        <v>3558</v>
      </c>
      <c r="D5" s="3481">
        <v>138635</v>
      </c>
      <c r="E5" s="3481">
        <v>138635</v>
      </c>
      <c r="F5" s="3481">
        <v>138635</v>
      </c>
      <c r="G5" s="3481">
        <v>138635</v>
      </c>
      <c r="H5" s="3481">
        <v>138635</v>
      </c>
      <c r="I5" s="3481">
        <v>138635</v>
      </c>
      <c r="J5" s="3481">
        <v>138635</v>
      </c>
      <c r="K5" s="3481"/>
    </row>
    <row r="6" spans="1:11" ht="15.75" thickBot="1">
      <c r="A6" s="3834"/>
      <c r="B6" s="3834"/>
      <c r="C6" s="3481" t="s">
        <v>3559</v>
      </c>
      <c r="D6" s="3481">
        <v>4</v>
      </c>
      <c r="E6" s="3481">
        <v>4.0999999999999996</v>
      </c>
      <c r="F6" s="3481">
        <v>4.2</v>
      </c>
      <c r="G6" s="3481">
        <v>4.4000000000000004</v>
      </c>
      <c r="H6" s="3481">
        <v>14.7</v>
      </c>
      <c r="I6" s="3481">
        <v>15.1</v>
      </c>
      <c r="J6" s="3481">
        <v>15.6</v>
      </c>
      <c r="K6" s="3481"/>
    </row>
    <row r="7" spans="1:11" ht="14.25" thickBot="1">
      <c r="A7" s="3835"/>
      <c r="B7" s="3835"/>
      <c r="C7" s="3481" t="s">
        <v>3560</v>
      </c>
      <c r="D7" s="3481">
        <v>19229</v>
      </c>
      <c r="E7" s="3481">
        <v>19806</v>
      </c>
      <c r="F7" s="3481">
        <v>20400</v>
      </c>
      <c r="G7" s="3481">
        <v>21012</v>
      </c>
      <c r="H7" s="3481">
        <v>70597</v>
      </c>
      <c r="I7" s="3481">
        <v>72715</v>
      </c>
      <c r="J7" s="3481">
        <v>74897</v>
      </c>
      <c r="K7" s="3481">
        <v>1930492</v>
      </c>
    </row>
    <row r="8" spans="1:11" ht="14.25" thickBot="1">
      <c r="A8" s="3836" t="s">
        <v>3401</v>
      </c>
      <c r="B8" s="3837"/>
      <c r="C8" s="3838"/>
      <c r="D8" s="3480">
        <v>19229</v>
      </c>
      <c r="E8" s="3480">
        <v>19806</v>
      </c>
      <c r="F8" s="3480">
        <v>20400</v>
      </c>
      <c r="G8" s="3480">
        <v>21012</v>
      </c>
      <c r="H8" s="3480">
        <v>70597</v>
      </c>
      <c r="I8" s="3480">
        <v>72715</v>
      </c>
      <c r="J8" s="3480">
        <v>74897</v>
      </c>
      <c r="K8" s="3480">
        <v>1930492</v>
      </c>
    </row>
  </sheetData>
  <mergeCells count="8">
    <mergeCell ref="K2:K3"/>
    <mergeCell ref="A4:A7"/>
    <mergeCell ref="B4:B7"/>
    <mergeCell ref="A8:C8"/>
    <mergeCell ref="A2:A3"/>
    <mergeCell ref="B2:B3"/>
    <mergeCell ref="C2:C3"/>
    <mergeCell ref="D2:J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32" sqref="W32"/>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2" t="s">
        <v>949</v>
      </c>
      <c r="B1" s="3512"/>
      <c r="C1" s="3512"/>
      <c r="D1" s="3512"/>
    </row>
    <row r="2" spans="1:4" ht="18">
      <c r="A2" s="3513" t="s">
        <v>933</v>
      </c>
      <c r="B2" s="3513"/>
      <c r="C2" s="3513"/>
      <c r="D2" s="3513"/>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3" t="s">
        <v>939</v>
      </c>
      <c r="B6" s="3513"/>
      <c r="C6" s="3513"/>
      <c r="D6" s="3513"/>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4"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943</v>
      </c>
      <c r="B16" s="3518"/>
      <c r="C16" s="3518"/>
      <c r="D16" s="3518"/>
    </row>
    <row r="17" spans="1:4" ht="144" customHeight="1">
      <c r="A17" s="3518" t="s">
        <v>944</v>
      </c>
      <c r="B17" s="3518"/>
      <c r="C17" s="3518"/>
      <c r="D17" s="3518"/>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6" t="s">
        <v>956</v>
      </c>
      <c r="B15" s="3521" t="s">
        <v>109</v>
      </c>
      <c r="C15" s="3522"/>
    </row>
    <row r="16" spans="1:7" ht="13.5">
      <c r="A16" s="3527"/>
      <c r="B16" s="3521" t="s">
        <v>42</v>
      </c>
      <c r="C16" s="3522"/>
    </row>
    <row r="17" spans="1:3" ht="13.5">
      <c r="A17" s="3527"/>
      <c r="B17" s="3524" t="s">
        <v>957</v>
      </c>
      <c r="C17" s="1528" t="s">
        <v>956</v>
      </c>
    </row>
    <row r="18" spans="1:3" ht="13.5">
      <c r="A18" s="3527"/>
      <c r="B18" s="3524"/>
      <c r="C18" s="1528" t="s">
        <v>958</v>
      </c>
    </row>
    <row r="19" spans="1:3" ht="13.5">
      <c r="A19" s="3527"/>
      <c r="B19" s="3524"/>
      <c r="C19" s="1528" t="s">
        <v>959</v>
      </c>
    </row>
    <row r="20" spans="1:3" ht="13.5">
      <c r="A20" s="3528"/>
      <c r="B20" s="3523" t="s">
        <v>960</v>
      </c>
      <c r="C20" s="3522"/>
    </row>
    <row r="21" spans="1:3" ht="13.5">
      <c r="A21" s="1529" t="s">
        <v>961</v>
      </c>
      <c r="B21" s="1530"/>
      <c r="C21" s="1531"/>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28" t="s">
        <v>967</v>
      </c>
    </row>
    <row r="26" spans="1:3" ht="13.5">
      <c r="A26" s="3525"/>
      <c r="B26" s="3524"/>
      <c r="C26" s="1528" t="s">
        <v>968</v>
      </c>
    </row>
    <row r="27" spans="1:3" ht="13.5">
      <c r="A27" s="3525"/>
      <c r="B27" s="3524"/>
      <c r="C27" s="1528" t="s">
        <v>969</v>
      </c>
    </row>
    <row r="28" spans="1:3" ht="13.5">
      <c r="A28" s="3525"/>
      <c r="B28" s="3524"/>
      <c r="C28" s="1528" t="s">
        <v>970</v>
      </c>
    </row>
    <row r="29" spans="1:3" ht="13.5">
      <c r="A29" s="3525"/>
      <c r="B29" s="3524"/>
      <c r="C29" s="1528" t="s">
        <v>971</v>
      </c>
    </row>
    <row r="30" spans="1:3" ht="13.5">
      <c r="A30" s="3525"/>
      <c r="B30" s="3524"/>
      <c r="C30" s="1528" t="s">
        <v>972</v>
      </c>
    </row>
    <row r="31" spans="1:3" ht="13.5">
      <c r="A31" s="3525"/>
      <c r="B31" s="3524"/>
      <c r="C31" s="1528" t="s">
        <v>973</v>
      </c>
    </row>
    <row r="32" spans="1:3" ht="13.5">
      <c r="A32" s="3525"/>
      <c r="B32" s="3524"/>
      <c r="C32" s="1528" t="s">
        <v>974</v>
      </c>
    </row>
    <row r="33" spans="1:3" ht="13.5">
      <c r="A33" s="3525"/>
      <c r="B33" s="3524"/>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45175</v>
      </c>
      <c r="C2" s="2336" t="s">
        <v>2139</v>
      </c>
      <c r="D2" s="2336"/>
      <c r="E2" s="2336"/>
      <c r="F2" s="2332"/>
      <c r="G2" s="2332"/>
      <c r="H2" s="2332"/>
    </row>
    <row r="3" spans="1:8" ht="24" customHeight="1">
      <c r="A3" s="2337" t="s">
        <v>2140</v>
      </c>
      <c r="B3" s="2338" t="s">
        <v>2141</v>
      </c>
      <c r="C3" s="2338" t="s">
        <v>2142</v>
      </c>
      <c r="D3" s="2339" t="s">
        <v>2143</v>
      </c>
      <c r="E3" s="2340" t="s">
        <v>2144</v>
      </c>
      <c r="F3" s="1300" t="s">
        <v>2145</v>
      </c>
      <c r="G3" s="2338" t="s">
        <v>2142</v>
      </c>
      <c r="H3" s="2339" t="s">
        <v>2146</v>
      </c>
    </row>
    <row r="4" spans="1:8" ht="24" customHeight="1">
      <c r="A4" s="1300" t="s">
        <v>2147</v>
      </c>
      <c r="B4" s="1300">
        <f ca="1">IF(C4&lt;B2,"已过期",1119970066)</f>
        <v>1119970066</v>
      </c>
      <c r="C4" s="2341">
        <v>45937</v>
      </c>
      <c r="D4" s="2342" t="str">
        <f ca="1">A4&amp;"（注册号："&amp;B4&amp;"）"</f>
        <v>梁津（注册号：1119970066）</v>
      </c>
      <c r="E4" s="2343" t="s">
        <v>2147</v>
      </c>
      <c r="F4" s="1300">
        <f ca="1">IF(G4&lt;B2,"已过期",96010014)</f>
        <v>96010014</v>
      </c>
      <c r="G4" s="2344">
        <v>47118</v>
      </c>
      <c r="H4" s="2345" t="str">
        <f ca="1">E4&amp;"（注册号："&amp;F4&amp;"）"</f>
        <v>梁津（注册号：96010014）</v>
      </c>
    </row>
    <row r="5" spans="1:8" ht="24" customHeight="1">
      <c r="A5" s="1300" t="s">
        <v>2148</v>
      </c>
      <c r="B5" s="1300">
        <f ca="1">IF(C5&lt;B2,"已过期",1119970111)</f>
        <v>1119970111</v>
      </c>
      <c r="C5" s="2341">
        <v>45937</v>
      </c>
      <c r="D5" s="2342" t="str">
        <f t="shared" ref="D5:D15" ca="1" si="0">A5&amp;"（注册号："&amp;B5&amp;"）"</f>
        <v>叶凌（注册号：1119970111）</v>
      </c>
      <c r="E5" s="2343" t="s">
        <v>2148</v>
      </c>
      <c r="F5" s="1300">
        <f ca="1">IF(G5&lt;B2,"已过期",94010078)</f>
        <v>94010078</v>
      </c>
      <c r="G5" s="2344">
        <v>46387</v>
      </c>
      <c r="H5" s="2345" t="str">
        <f t="shared" ref="H5:H16" ca="1" si="1">E5&amp;"（注册号："&amp;F5&amp;"）"</f>
        <v>叶凌（注册号：94010078）</v>
      </c>
    </row>
    <row r="6" spans="1:8" ht="24" customHeight="1">
      <c r="A6" s="1300" t="s">
        <v>2149</v>
      </c>
      <c r="B6" s="1300">
        <f ca="1">IF(C6&lt;B2,"已过期",1120050019)</f>
        <v>1120050019</v>
      </c>
      <c r="C6" s="2341">
        <v>45410</v>
      </c>
      <c r="D6" s="2342" t="str">
        <f t="shared" ca="1" si="0"/>
        <v>王鹏（注册号：1120050019）</v>
      </c>
      <c r="E6" s="2343" t="s">
        <v>2149</v>
      </c>
      <c r="F6" s="1300">
        <f ca="1">IF(G6&lt;B2,"已过期",2002110030)</f>
        <v>2002110030</v>
      </c>
      <c r="G6" s="2344">
        <v>46387</v>
      </c>
      <c r="H6" s="2345" t="str">
        <f t="shared" ca="1" si="1"/>
        <v>王鹏（注册号：2002110030）</v>
      </c>
    </row>
    <row r="7" spans="1:8" ht="24" customHeight="1">
      <c r="A7" s="1300" t="s">
        <v>2150</v>
      </c>
      <c r="B7" s="1300">
        <f ca="1">IF(C7&lt;B2,"已过期",1120000080)</f>
        <v>1120000080</v>
      </c>
      <c r="C7" s="2341">
        <v>45937</v>
      </c>
      <c r="D7" s="2342" t="str">
        <f t="shared" ca="1" si="0"/>
        <v>欧红伟（注册号：1120000080）</v>
      </c>
      <c r="E7" s="2343" t="s">
        <v>2150</v>
      </c>
      <c r="F7" s="1300">
        <f ca="1">IF(G7&lt;B2,"已过期",2000110082)</f>
        <v>2000110082</v>
      </c>
      <c r="G7" s="2344">
        <v>46387</v>
      </c>
      <c r="H7" s="2345" t="str">
        <f t="shared" ca="1" si="1"/>
        <v>欧红伟（注册号：2000110082）</v>
      </c>
    </row>
    <row r="8" spans="1:8" ht="24" customHeight="1">
      <c r="A8" s="1300" t="s">
        <v>2151</v>
      </c>
      <c r="B8" s="1300">
        <f ca="1">IF(C8&lt;B2,"已过期",1419970001)</f>
        <v>1419970001</v>
      </c>
      <c r="C8" s="2341">
        <v>45937</v>
      </c>
      <c r="D8" s="2342" t="str">
        <f t="shared" ca="1" si="0"/>
        <v>吴薇（注册号：1419970001）</v>
      </c>
      <c r="E8" s="2343" t="s">
        <v>2151</v>
      </c>
      <c r="F8" s="1300">
        <f ca="1">IF(G8&lt;B2,"已过期",2002110125)</f>
        <v>2002110125</v>
      </c>
      <c r="G8" s="2344">
        <v>47118</v>
      </c>
      <c r="H8" s="2345" t="str">
        <f t="shared" ca="1" si="1"/>
        <v>吴薇（注册号：2002110125）</v>
      </c>
    </row>
    <row r="9" spans="1:8" ht="24" customHeight="1">
      <c r="A9" s="1300" t="s">
        <v>2152</v>
      </c>
      <c r="B9" s="1300">
        <f ca="1">IF(C9&lt;B2,"已过期",1120060040)</f>
        <v>1120060040</v>
      </c>
      <c r="C9" s="2346">
        <v>45592</v>
      </c>
      <c r="D9" s="2342" t="str">
        <f t="shared" ca="1" si="0"/>
        <v>陈颖（注册号：1120060040）</v>
      </c>
      <c r="E9" s="2343" t="s">
        <v>2152</v>
      </c>
      <c r="F9" s="1300">
        <f ca="1">IF(G9&lt;B2,"已过期",2004110096)</f>
        <v>2004110096</v>
      </c>
      <c r="G9" s="2344">
        <v>47118</v>
      </c>
      <c r="H9" s="2345" t="str">
        <f t="shared" ca="1" si="1"/>
        <v>陈颖（注册号：2004110096）</v>
      </c>
    </row>
    <row r="10" spans="1:8" ht="24" customHeight="1">
      <c r="A10" s="1300" t="s">
        <v>2153</v>
      </c>
      <c r="B10" s="1300">
        <f ca="1">IF(C10&lt;B2,"已过期",1120100036)</f>
        <v>1120100036</v>
      </c>
      <c r="C10" s="2346">
        <v>45752</v>
      </c>
      <c r="D10" s="2342" t="str">
        <f t="shared" ca="1" si="0"/>
        <v>崔锴（注册号：1120100036）</v>
      </c>
      <c r="E10" s="2343" t="s">
        <v>2153</v>
      </c>
      <c r="F10" s="1300">
        <f ca="1">IF(G10&lt;B2,"已过期",2010110070)</f>
        <v>2010110070</v>
      </c>
      <c r="G10" s="2344">
        <v>47907</v>
      </c>
      <c r="H10" s="2345" t="str">
        <f t="shared" ca="1" si="1"/>
        <v>崔锴（注册号：2010110070）</v>
      </c>
    </row>
    <row r="11" spans="1:8" ht="24" customHeight="1">
      <c r="A11" s="1300" t="s">
        <v>2154</v>
      </c>
      <c r="B11" s="1300">
        <f ca="1">IF(C11&lt;B2,"已过期",1120070131)</f>
        <v>1120070131</v>
      </c>
      <c r="C11" s="2341">
        <v>45937</v>
      </c>
      <c r="D11" s="2342" t="str">
        <f t="shared" ca="1" si="0"/>
        <v>郑燚（注册号：1120070131）</v>
      </c>
      <c r="E11" s="2343" t="s">
        <v>2154</v>
      </c>
      <c r="F11" s="1300">
        <f ca="1">IF(G11&lt;B2,"已过期",2014110011)</f>
        <v>2014110011</v>
      </c>
      <c r="G11" s="2344">
        <v>49302</v>
      </c>
      <c r="H11" s="2345" t="str">
        <f t="shared" ca="1" si="1"/>
        <v>郑燚（注册号：2014110011）</v>
      </c>
    </row>
    <row r="12" spans="1:8" ht="24" customHeight="1">
      <c r="A12" s="1300" t="s">
        <v>2155</v>
      </c>
      <c r="B12" s="1300">
        <f ca="1">IF(C12&lt;B2,"已过期",1120040230)</f>
        <v>1120040230</v>
      </c>
      <c r="C12" s="2346">
        <v>45937</v>
      </c>
      <c r="D12" s="2342" t="str">
        <f t="shared" ca="1" si="0"/>
        <v>苏海（注册号：1120040230）</v>
      </c>
      <c r="E12" s="2343" t="s">
        <v>2155</v>
      </c>
      <c r="F12" s="1300">
        <f ca="1">IF(G12&lt;B2,"已过期",98030020)</f>
        <v>98030020</v>
      </c>
      <c r="G12" s="2344">
        <v>47118</v>
      </c>
      <c r="H12" s="2345" t="str">
        <f t="shared" ca="1" si="1"/>
        <v>苏海（注册号：98030020）</v>
      </c>
    </row>
    <row r="13" spans="1:8" ht="24" customHeight="1">
      <c r="A13" s="1300" t="s">
        <v>2156</v>
      </c>
      <c r="B13" s="1300">
        <f ca="1">IF(C13&lt;B2,"已过期",1120020033)</f>
        <v>1120020033</v>
      </c>
      <c r="C13" s="2341">
        <v>45375</v>
      </c>
      <c r="D13" s="2342" t="str">
        <f t="shared" ca="1" si="0"/>
        <v>刘敬东（注册号：1120020033）</v>
      </c>
      <c r="E13" s="2343" t="s">
        <v>2156</v>
      </c>
      <c r="F13" s="1300">
        <f ca="1">IF(G13&lt;B2,"已过期",2000110137)</f>
        <v>2000110137</v>
      </c>
      <c r="G13" s="2344">
        <v>46387</v>
      </c>
      <c r="H13" s="2345" t="str">
        <f t="shared" ca="1" si="1"/>
        <v>刘敬东（注册号：2000110137）</v>
      </c>
    </row>
    <row r="14" spans="1:8" ht="24" customHeight="1">
      <c r="A14" s="1300" t="s">
        <v>2157</v>
      </c>
      <c r="B14" s="1300" t="str">
        <f ca="1">IF(C14&lt;B2,"已过期",1119980106)</f>
        <v>已过期</v>
      </c>
      <c r="C14" s="2346">
        <v>44969</v>
      </c>
      <c r="D14" s="2342" t="str">
        <f t="shared" ca="1" si="0"/>
        <v>刘俊财（注册号：已过期）</v>
      </c>
      <c r="E14" s="2343" t="s">
        <v>2157</v>
      </c>
      <c r="F14" s="1300">
        <f ca="1">IF(G14&lt;B2,"已过期",96010063)</f>
        <v>96010063</v>
      </c>
      <c r="G14" s="2344">
        <v>47483</v>
      </c>
      <c r="H14" s="2345" t="str">
        <f t="shared" ca="1" si="1"/>
        <v>刘俊财（注册号：96010063）</v>
      </c>
    </row>
    <row r="15" spans="1:8" ht="24" customHeight="1">
      <c r="A15" s="1300" t="s">
        <v>2440</v>
      </c>
      <c r="B15" s="1300">
        <v>1120210056</v>
      </c>
      <c r="C15" s="2346">
        <v>45410</v>
      </c>
      <c r="D15" s="2342" t="str">
        <f t="shared" si="0"/>
        <v>宁小鳗（注册号：1120210056）</v>
      </c>
      <c r="E15" s="2343" t="s">
        <v>2158</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9" t="s">
        <v>2159</v>
      </c>
      <c r="B17" s="3529"/>
      <c r="C17" s="3529"/>
      <c r="D17" s="3529"/>
      <c r="E17" s="3529"/>
      <c r="F17" s="3529"/>
      <c r="G17" s="3529"/>
      <c r="H17" s="3529"/>
    </row>
    <row r="18" spans="1:8" ht="24" customHeight="1">
      <c r="A18" s="3530" t="s">
        <v>2160</v>
      </c>
      <c r="B18" s="3530"/>
      <c r="C18" s="3530"/>
      <c r="D18" s="2339"/>
      <c r="E18" s="3531" t="s">
        <v>2161</v>
      </c>
      <c r="F18" s="3530"/>
      <c r="G18" s="3530"/>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收益法-地下车库</vt:lpstr>
      <vt:lpstr>收益法-商业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vt:lpstr>
      <vt:lpstr>建安</vt:lpstr>
      <vt:lpstr>收入</vt:lpstr>
      <vt:lpstr>案例</vt:lpstr>
      <vt:lpstr>收入!_Toc255208377</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'收益法-地下车库'!Print_Area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2023-09-06T07:17:09Z</dcterms:modified>
</cp:coreProperties>
</file>