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租金核算" sheetId="69"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state="hidden" r:id="rId30"/>
    <sheet name="剩余法-待开发" sheetId="12" r:id="rId31"/>
    <sheet name="不动产比较法-办公" sheetId="34" r:id="rId32"/>
    <sheet name="不动产收益法（商业）" sheetId="71" r:id="rId33"/>
    <sheet name="不动产收益法（车库）" sheetId="15"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8" r:id="rId44"/>
  </sheets>
  <definedNames>
    <definedName name="_xlnm._FilterDatabase" localSheetId="20" hidden="1">'比较法-工业'!$A$1:$L$45</definedName>
    <definedName name="_xlnm._FilterDatabase" localSheetId="19" hidden="1">'比较法-住宅、综合'!$A$1:$L$50</definedName>
    <definedName name="_xlnm._FilterDatabase" localSheetId="31"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5" i="34" l="1"/>
  <c r="C34" i="39"/>
  <c r="G31" i="39"/>
  <c r="I31" i="39" s="1"/>
  <c r="E31" i="39"/>
  <c r="E29" i="39"/>
  <c r="G29" i="39" s="1"/>
  <c r="I29" i="39" s="1"/>
  <c r="G27" i="39"/>
  <c r="I27" i="39" s="1"/>
  <c r="E27" i="39"/>
  <c r="E25" i="39"/>
  <c r="G25" i="39" s="1"/>
  <c r="I25" i="39" s="1"/>
  <c r="G23" i="39"/>
  <c r="I23" i="39" s="1"/>
  <c r="E23" i="39"/>
  <c r="E21" i="39"/>
  <c r="G21" i="39" s="1"/>
  <c r="I21" i="39" s="1"/>
  <c r="G19" i="39"/>
  <c r="I19" i="39" s="1"/>
  <c r="G8" i="69" l="1"/>
  <c r="G7" i="69"/>
  <c r="C4" i="69"/>
  <c r="C5" i="69"/>
  <c r="C6" i="69"/>
  <c r="C7" i="69"/>
  <c r="C8" i="69"/>
  <c r="C3" i="69"/>
  <c r="H7" i="1" l="1"/>
  <c r="H8" i="1"/>
  <c r="H6" i="1"/>
  <c r="I48" i="34" l="1"/>
  <c r="G48" i="34"/>
  <c r="E48" i="34"/>
  <c r="D14" i="9" l="1"/>
  <c r="K11" i="34" l="1"/>
  <c r="K23" i="34"/>
  <c r="K19" i="34"/>
  <c r="K17" i="34"/>
  <c r="K15" i="34"/>
  <c r="C34" i="34"/>
  <c r="K25" i="34"/>
  <c r="D87" i="34"/>
  <c r="E87" i="34"/>
  <c r="F87" i="34"/>
  <c r="G87" i="34"/>
  <c r="C87" i="34"/>
  <c r="C11" i="34"/>
  <c r="Q73" i="71" l="1"/>
  <c r="Q60" i="71"/>
  <c r="D60" i="71"/>
  <c r="Q59" i="71"/>
  <c r="K59" i="71"/>
  <c r="F58" i="71"/>
  <c r="Q52" i="71"/>
  <c r="J50" i="71"/>
  <c r="M47" i="71"/>
  <c r="F33" i="71"/>
  <c r="F60" i="71" s="1"/>
  <c r="F31" i="71"/>
  <c r="F23" i="71"/>
  <c r="F21" i="71"/>
  <c r="F20" i="71"/>
  <c r="M19" i="71"/>
  <c r="F18" i="71"/>
  <c r="M17" i="71"/>
  <c r="F17" i="71"/>
  <c r="F15" i="71"/>
  <c r="Q73" i="70"/>
  <c r="Q60" i="70"/>
  <c r="D60" i="70"/>
  <c r="Q59" i="70"/>
  <c r="K59" i="70"/>
  <c r="P75" i="70" s="1"/>
  <c r="F58" i="70"/>
  <c r="Q52" i="70"/>
  <c r="J50" i="70"/>
  <c r="M47" i="70"/>
  <c r="F33" i="70"/>
  <c r="F60" i="70" s="1"/>
  <c r="F31" i="70"/>
  <c r="F23" i="70"/>
  <c r="D24" i="70" s="1"/>
  <c r="D23" i="70"/>
  <c r="D22" i="70"/>
  <c r="F21" i="70"/>
  <c r="F20" i="70"/>
  <c r="M19" i="70"/>
  <c r="F18" i="70"/>
  <c r="M17" i="70"/>
  <c r="F17" i="70"/>
  <c r="F15" i="70"/>
  <c r="I40" i="39"/>
  <c r="G40" i="39"/>
  <c r="E40" i="39"/>
  <c r="I48" i="39"/>
  <c r="G48" i="39"/>
  <c r="E48" i="39"/>
  <c r="I13" i="39"/>
  <c r="G13" i="39"/>
  <c r="E13" i="39"/>
  <c r="I9" i="39"/>
  <c r="G9" i="39"/>
  <c r="E9" i="39"/>
  <c r="I7" i="39"/>
  <c r="G7" i="39"/>
  <c r="E7" i="39"/>
  <c r="P62" i="70" l="1"/>
  <c r="D23" i="71"/>
  <c r="D22" i="71"/>
  <c r="D24" i="71"/>
  <c r="P75" i="71"/>
  <c r="P62" i="71"/>
  <c r="J51" i="71"/>
  <c r="J51" i="70"/>
  <c r="AT13" i="3" l="1"/>
  <c r="O13" i="3"/>
  <c r="G21" i="6" s="1"/>
  <c r="G20" i="6"/>
  <c r="F20" i="6"/>
  <c r="B2" i="69" s="1"/>
  <c r="D2" i="69" s="1"/>
  <c r="F19" i="6"/>
  <c r="AN13" i="3"/>
  <c r="AL13" i="3"/>
  <c r="G17" i="4"/>
  <c r="E59" i="39" l="1"/>
  <c r="B8" i="69"/>
  <c r="D8" i="69" s="1"/>
  <c r="B3" i="69"/>
  <c r="B4" i="69" s="1"/>
  <c r="D3" i="69"/>
  <c r="D3" i="4"/>
  <c r="B5" i="69" l="1"/>
  <c r="D4" i="69"/>
  <c r="D5" i="69" l="1"/>
  <c r="B6" i="69"/>
  <c r="B7" i="69" l="1"/>
  <c r="D7" i="69" s="1"/>
  <c r="D6" i="69"/>
  <c r="B9" i="69"/>
  <c r="I5" i="59"/>
  <c r="I4" i="59" s="1"/>
  <c r="N4" i="59" s="1"/>
  <c r="L5" i="59"/>
  <c r="L4" i="59" s="1"/>
  <c r="Q4" i="59" s="1"/>
  <c r="K5" i="59"/>
  <c r="K4" i="59" s="1"/>
  <c r="P4" i="59" s="1"/>
  <c r="J5" i="59"/>
  <c r="J4" i="59" s="1"/>
  <c r="O4" i="59" s="1"/>
  <c r="D9" i="69" l="1"/>
  <c r="C10" i="69" s="1"/>
  <c r="U7" i="1" s="1"/>
  <c r="N5" i="59"/>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12" i="67"/>
  <c r="E9" i="67"/>
  <c r="E11" i="67"/>
  <c r="B10" i="67"/>
  <c r="B13" i="67"/>
  <c r="B11" i="67"/>
  <c r="E14" i="67"/>
  <c r="F13" i="67"/>
  <c r="F8" i="67"/>
  <c r="F11" i="67"/>
  <c r="B9" i="67"/>
  <c r="E8" i="67"/>
  <c r="F9" i="67"/>
  <c r="F12" i="67"/>
  <c r="B14" i="67"/>
  <c r="F10" i="67"/>
  <c r="E12" i="67"/>
  <c r="B8" i="67"/>
  <c r="F14" i="67"/>
  <c r="E13" i="67"/>
  <c r="E10"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I7" i="65"/>
  <c r="N3" i="65"/>
  <c r="J3" i="65"/>
  <c r="J7" i="65"/>
  <c r="J6" i="65"/>
  <c r="I3" i="65"/>
  <c r="I6" i="65"/>
  <c r="J5" i="65"/>
  <c r="N4" i="65"/>
  <c r="N5" i="65"/>
  <c r="J4" i="65"/>
  <c r="I4" i="65"/>
  <c r="N6" i="65"/>
  <c r="I5" i="65"/>
  <c r="E20" i="46" l="1"/>
  <c r="J1" i="65"/>
  <c r="C4" i="65"/>
  <c r="B39" i="1" s="1"/>
  <c r="E3" i="65"/>
  <c r="F11" i="71" l="1"/>
  <c r="M11" i="71"/>
  <c r="J10" i="71" s="1"/>
  <c r="M11" i="70"/>
  <c r="J10" i="70" s="1"/>
  <c r="F11" i="70"/>
  <c r="F17" i="11"/>
  <c r="M5" i="54"/>
  <c r="A23" i="51"/>
  <c r="C52" i="71" l="1"/>
  <c r="C52" i="70"/>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B63" i="59" s="1"/>
  <c r="B62" i="59" s="1"/>
  <c r="F63" i="59"/>
  <c r="F62" i="59" s="1"/>
  <c r="D61" i="59"/>
  <c r="Q60" i="59"/>
  <c r="P60" i="59"/>
  <c r="O60" i="59"/>
  <c r="N60" i="59"/>
  <c r="F60" i="59"/>
  <c r="V60" i="59" s="1"/>
  <c r="E60" i="59"/>
  <c r="U60" i="59" s="1"/>
  <c r="C60" i="59"/>
  <c r="T60" i="59" s="1"/>
  <c r="B60" i="59"/>
  <c r="S60" i="59" s="1"/>
  <c r="Q59" i="59"/>
  <c r="P59" i="59"/>
  <c r="O59" i="59"/>
  <c r="N59" i="59"/>
  <c r="F59" i="59"/>
  <c r="F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Q15" i="59"/>
  <c r="AB15" i="59" s="1"/>
  <c r="P15" i="59"/>
  <c r="AA15" i="59" s="1"/>
  <c r="O15" i="59"/>
  <c r="Y15" i="59" s="1"/>
  <c r="Z15" i="59" s="1"/>
  <c r="N15" i="59"/>
  <c r="Q14" i="59"/>
  <c r="AB14" i="59" s="1"/>
  <c r="P14" i="59"/>
  <c r="AA14" i="59" s="1"/>
  <c r="O14" i="59"/>
  <c r="Y14" i="59" s="1"/>
  <c r="Z14" i="59" s="1"/>
  <c r="N14" i="59"/>
  <c r="Q13" i="59"/>
  <c r="P13" i="59"/>
  <c r="O13" i="59"/>
  <c r="N13" i="59"/>
  <c r="D13" i="59"/>
  <c r="Q12" i="59"/>
  <c r="AB12" i="59" s="1"/>
  <c r="P12" i="59"/>
  <c r="AA12" i="59" s="1"/>
  <c r="O12" i="59"/>
  <c r="N12" i="59"/>
  <c r="Q11" i="59"/>
  <c r="AB11" i="59" s="1"/>
  <c r="P11" i="59"/>
  <c r="AA11" i="59" s="1"/>
  <c r="O11" i="59"/>
  <c r="N11" i="59"/>
  <c r="Q10" i="59"/>
  <c r="AB10" i="59" s="1"/>
  <c r="P10" i="59"/>
  <c r="AA10" i="59" s="1"/>
  <c r="O10" i="59"/>
  <c r="N10" i="59"/>
  <c r="Q9" i="59"/>
  <c r="P9" i="59"/>
  <c r="AA9" i="59" s="1"/>
  <c r="O9" i="59"/>
  <c r="N9" i="59"/>
  <c r="D9" i="59"/>
  <c r="B18" i="59" l="1"/>
  <c r="B19" i="59" s="1"/>
  <c r="B20" i="59" s="1"/>
  <c r="S20" i="59" s="1"/>
  <c r="X17" i="59"/>
  <c r="E14" i="59"/>
  <c r="E15" i="59" s="1"/>
  <c r="E16" i="59" s="1"/>
  <c r="U16" i="59" s="1"/>
  <c r="AA13" i="59"/>
  <c r="D8" i="59"/>
  <c r="T8" i="59"/>
  <c r="C7" i="59"/>
  <c r="B10" i="59"/>
  <c r="B11" i="59" s="1"/>
  <c r="B12" i="59" s="1"/>
  <c r="S12" i="59" s="1"/>
  <c r="X9" i="59"/>
  <c r="X11" i="59"/>
  <c r="F14" i="59"/>
  <c r="AB13" i="59"/>
  <c r="E18" i="59"/>
  <c r="E19" i="59" s="1"/>
  <c r="E20" i="59" s="1"/>
  <c r="U20" i="59" s="1"/>
  <c r="AA17" i="59"/>
  <c r="B47" i="59"/>
  <c r="N47" i="59" s="1"/>
  <c r="U8" i="59"/>
  <c r="E7" i="59"/>
  <c r="E6" i="59" s="1"/>
  <c r="E5" i="59" s="1"/>
  <c r="E4" i="59" s="1"/>
  <c r="C14" i="59"/>
  <c r="Y13" i="59"/>
  <c r="Z13" i="59" s="1"/>
  <c r="S8" i="59"/>
  <c r="B7" i="59"/>
  <c r="B6" i="59" s="1"/>
  <c r="B5" i="59" s="1"/>
  <c r="B4" i="59" s="1"/>
  <c r="F10" i="59"/>
  <c r="AB9" i="59"/>
  <c r="C18" i="59"/>
  <c r="D18" i="59" s="1"/>
  <c r="Y17" i="59"/>
  <c r="Z17" i="59" s="1"/>
  <c r="X10" i="59"/>
  <c r="X12" i="59"/>
  <c r="C10" i="59"/>
  <c r="C11" i="59" s="1"/>
  <c r="Y9" i="59"/>
  <c r="Z9" i="59" s="1"/>
  <c r="Y10" i="59"/>
  <c r="Z10" i="59" s="1"/>
  <c r="Y11" i="59"/>
  <c r="Z11" i="59" s="1"/>
  <c r="Y12" i="59"/>
  <c r="Z12" i="59" s="1"/>
  <c r="B14" i="59"/>
  <c r="B15" i="59" s="1"/>
  <c r="B16" i="59" s="1"/>
  <c r="S16" i="59" s="1"/>
  <c r="X13" i="59"/>
  <c r="X14" i="59"/>
  <c r="X15" i="59"/>
  <c r="X16" i="59"/>
  <c r="F18" i="59"/>
  <c r="AB17" i="59"/>
  <c r="B59" i="59"/>
  <c r="B58" i="59" s="1"/>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9" i="59"/>
  <c r="C23" i="59"/>
  <c r="D22" i="59"/>
  <c r="C27" i="59"/>
  <c r="D27" i="59" s="1"/>
  <c r="D26" i="59"/>
  <c r="C31" i="59"/>
  <c r="D30" i="59"/>
  <c r="C35" i="59"/>
  <c r="D34" i="59"/>
  <c r="C39" i="59"/>
  <c r="D38" i="59"/>
  <c r="C43" i="59"/>
  <c r="D42" i="59"/>
  <c r="C15" i="59"/>
  <c r="D14" i="59"/>
  <c r="E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D10" i="59"/>
  <c r="B46" i="59"/>
  <c r="N46" i="59" s="1"/>
  <c r="P45" i="59"/>
  <c r="P46" i="59"/>
  <c r="D67" i="59"/>
  <c r="C66" i="59"/>
  <c r="D66" i="59" s="1"/>
  <c r="D59" i="59"/>
  <c r="C58" i="59"/>
  <c r="D58" i="59" s="1"/>
  <c r="D51" i="59"/>
  <c r="C50" i="59"/>
  <c r="D50" i="59" s="1"/>
  <c r="C46" i="59"/>
  <c r="O47" i="59"/>
  <c r="D47" i="59"/>
  <c r="D63" i="59"/>
  <c r="C62" i="59"/>
  <c r="D62" i="59" s="1"/>
  <c r="D55" i="59"/>
  <c r="C54" i="59"/>
  <c r="D54" i="59" s="1"/>
  <c r="N45"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M11" i="15"/>
  <c r="J10" i="15" s="1"/>
  <c r="D1" i="57"/>
  <c r="E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N73"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L37" i="3" s="1"/>
  <c r="BN37" i="3"/>
  <c r="BM37" i="3"/>
  <c r="BK37" i="3"/>
  <c r="BJ37" i="3"/>
  <c r="BI37" i="3"/>
  <c r="BH37" i="3"/>
  <c r="BG37" i="3"/>
  <c r="BF37" i="3"/>
  <c r="BE37" i="3"/>
  <c r="BD37" i="3"/>
  <c r="BC37" i="3"/>
  <c r="BA37" i="3" s="1"/>
  <c r="BB37" i="3"/>
  <c r="AZ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AZ28" i="3" s="1"/>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A26" i="3" s="1"/>
  <c r="AZ26" i="3" s="1"/>
  <c r="BC26" i="3"/>
  <c r="BB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L199" i="3" s="1"/>
  <c r="BN199" i="3"/>
  <c r="BM199" i="3"/>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A193" i="3" s="1"/>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A185" i="3" s="1"/>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BC175" i="3"/>
  <c r="BB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L168" i="3" s="1"/>
  <c r="BN168" i="3"/>
  <c r="BM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A131" i="3" s="1"/>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A296" i="3" s="1"/>
  <c r="BC296" i="3"/>
  <c r="BB296" i="3"/>
  <c r="AZ296" i="3"/>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Z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A269" i="3" s="1"/>
  <c r="AZ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A266" i="3" s="1"/>
  <c r="AZ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AZ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H54" i="33" s="1"/>
  <c r="E54" i="33"/>
  <c r="F54" i="33" s="1"/>
  <c r="H14" i="3"/>
  <c r="AC14" i="3"/>
  <c r="G14" i="3" s="1"/>
  <c r="H15" i="3"/>
  <c r="AC15" i="3"/>
  <c r="G15" i="3" s="1"/>
  <c r="H16" i="3"/>
  <c r="AC16" i="3"/>
  <c r="H17" i="3"/>
  <c r="AC17" i="3"/>
  <c r="G17" i="3" s="1"/>
  <c r="H18" i="3"/>
  <c r="AC18" i="3"/>
  <c r="BB18" i="3"/>
  <c r="BC18" i="3"/>
  <c r="BA18" i="3" s="1"/>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A498" i="3" s="1"/>
  <c r="AZ498" i="3" s="1"/>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A501" i="3" s="1"/>
  <c r="AZ501" i="3" s="1"/>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A503" i="3" s="1"/>
  <c r="AZ503" i="3" s="1"/>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H5" i="3" s="1"/>
  <c r="BI504" i="3"/>
  <c r="BJ504" i="3"/>
  <c r="BK504" i="3"/>
  <c r="BM504" i="3"/>
  <c r="BL504" i="3" s="1"/>
  <c r="BN504" i="3"/>
  <c r="BO504" i="3"/>
  <c r="BP504" i="3"/>
  <c r="BR504" i="3"/>
  <c r="BS504" i="3"/>
  <c r="BT504" i="3"/>
  <c r="H505" i="3"/>
  <c r="AC505" i="3"/>
  <c r="BB505" i="3"/>
  <c r="BC505" i="3"/>
  <c r="BD505" i="3"/>
  <c r="BA505" i="3" s="1"/>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L510" i="3" s="1"/>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A512" i="3" s="1"/>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G531" i="3" s="1"/>
  <c r="AC531" i="3"/>
  <c r="BB531" i="3"/>
  <c r="BC531" i="3"/>
  <c r="BD531" i="3"/>
  <c r="BE531" i="3"/>
  <c r="BF531" i="3"/>
  <c r="BG531" i="3"/>
  <c r="BH531" i="3"/>
  <c r="BI531" i="3"/>
  <c r="BJ531" i="3"/>
  <c r="BK531" i="3"/>
  <c r="BM531" i="3"/>
  <c r="BN531" i="3"/>
  <c r="BO531" i="3"/>
  <c r="BP531" i="3"/>
  <c r="BL531" i="3" s="1"/>
  <c r="BQ531" i="3"/>
  <c r="BR531" i="3"/>
  <c r="BS531" i="3"/>
  <c r="BT531" i="3"/>
  <c r="BT5" i="3" s="1"/>
  <c r="H532" i="3"/>
  <c r="AC532" i="3"/>
  <c r="G532" i="3"/>
  <c r="BB532" i="3"/>
  <c r="BA532" i="3" s="1"/>
  <c r="BC532" i="3"/>
  <c r="BD532" i="3"/>
  <c r="BE532" i="3"/>
  <c r="BF532" i="3"/>
  <c r="BF5" i="3" s="1"/>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A534" i="3" s="1"/>
  <c r="BC534" i="3"/>
  <c r="BD534" i="3"/>
  <c r="BE534" i="3"/>
  <c r="BF534" i="3"/>
  <c r="BG534" i="3"/>
  <c r="BH534" i="3"/>
  <c r="BI534" i="3"/>
  <c r="BJ534" i="3"/>
  <c r="BK534" i="3"/>
  <c r="BM534" i="3"/>
  <c r="BN534" i="3"/>
  <c r="BO534" i="3"/>
  <c r="BL534" i="3" s="1"/>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L540" i="3" s="1"/>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AC549" i="3"/>
  <c r="BB549" i="3"/>
  <c r="BA549" i="3" s="1"/>
  <c r="BC549" i="3"/>
  <c r="BD549" i="3"/>
  <c r="BE549" i="3"/>
  <c r="BF549" i="3"/>
  <c r="BG549" i="3"/>
  <c r="BH549" i="3"/>
  <c r="BI549" i="3"/>
  <c r="BJ549" i="3"/>
  <c r="BK549" i="3"/>
  <c r="BM549" i="3"/>
  <c r="BN549" i="3"/>
  <c r="BO549" i="3"/>
  <c r="BL549" i="3" s="1"/>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L551" i="3" s="1"/>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A553" i="3" s="1"/>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L554" i="3" s="1"/>
  <c r="BR554" i="3"/>
  <c r="BS554" i="3"/>
  <c r="BT554" i="3"/>
  <c r="H555" i="3"/>
  <c r="G555" i="3" s="1"/>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L556" i="3" s="1"/>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c r="AA38" i="39" s="1"/>
  <c r="J30" i="36"/>
  <c r="W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H42" i="34"/>
  <c r="J42" i="34"/>
  <c r="F42" i="34"/>
  <c r="J38" i="34"/>
  <c r="D114" i="34"/>
  <c r="F38" i="34"/>
  <c r="D112" i="34"/>
  <c r="E112" i="34"/>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c r="AA16" i="40" s="1"/>
  <c r="B81" i="40"/>
  <c r="F15" i="40" s="1"/>
  <c r="AA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J45" i="39" s="1"/>
  <c r="AC45" i="39" s="1"/>
  <c r="D128" i="39"/>
  <c r="D124" i="39"/>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F39" i="37" s="1"/>
  <c r="S39" i="37" s="1"/>
  <c r="J39" i="37"/>
  <c r="B108" i="37"/>
  <c r="C23" i="37"/>
  <c r="C19" i="37"/>
  <c r="C17" i="37"/>
  <c r="C15" i="37"/>
  <c r="B112" i="37"/>
  <c r="D107" i="37"/>
  <c r="E107" i="37"/>
  <c r="F107" i="37" s="1"/>
  <c r="G107" i="37" s="1"/>
  <c r="H107" i="37" s="1"/>
  <c r="I107" i="37" s="1"/>
  <c r="J107" i="37" s="1"/>
  <c r="K107" i="37" s="1"/>
  <c r="L107" i="37" s="1"/>
  <c r="M107" i="37" s="1"/>
  <c r="D105" i="37"/>
  <c r="E105" i="37"/>
  <c r="H36" i="37"/>
  <c r="AB36" i="37" s="1"/>
  <c r="D103" i="37"/>
  <c r="J35" i="37"/>
  <c r="AC35" i="37" s="1"/>
  <c r="F97" i="37"/>
  <c r="E97" i="37"/>
  <c r="D97" i="37"/>
  <c r="C97" i="37"/>
  <c r="D96" i="37"/>
  <c r="E96" i="37"/>
  <c r="F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J13" i="37" s="1"/>
  <c r="AC13" i="37" s="1"/>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s="1"/>
  <c r="J31" i="37"/>
  <c r="Q30" i="37"/>
  <c r="Z30" i="37"/>
  <c r="J30" i="37"/>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E78" i="36" s="1"/>
  <c r="J26" i="36"/>
  <c r="W26" i="36" s="1"/>
  <c r="B75" i="36"/>
  <c r="B73" i="36"/>
  <c r="J24" i="36"/>
  <c r="B71" i="36"/>
  <c r="D70" i="36"/>
  <c r="H22" i="36"/>
  <c r="AB22" i="36" s="1"/>
  <c r="D68" i="36"/>
  <c r="E68" i="36" s="1"/>
  <c r="D64" i="36"/>
  <c r="E64" i="36" s="1"/>
  <c r="F64" i="36" s="1"/>
  <c r="G64" i="36" s="1"/>
  <c r="J16" i="36"/>
  <c r="D62" i="36"/>
  <c r="E62" i="36" s="1"/>
  <c r="B59" i="36"/>
  <c r="H13" i="36" s="1"/>
  <c r="AB13" i="36" s="1"/>
  <c r="B57" i="36"/>
  <c r="J12"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J25" i="35" s="1"/>
  <c r="B75" i="35"/>
  <c r="J24" i="35" s="1"/>
  <c r="AC24" i="35" s="1"/>
  <c r="B73" i="35"/>
  <c r="B57" i="35"/>
  <c r="F11" i="35" s="1"/>
  <c r="S11" i="35" s="1"/>
  <c r="B61" i="35"/>
  <c r="B59" i="35"/>
  <c r="H12" i="35" s="1"/>
  <c r="B131" i="34"/>
  <c r="F47" i="34" s="1"/>
  <c r="AA47" i="34" s="1"/>
  <c r="B129" i="34"/>
  <c r="B127" i="34"/>
  <c r="B99" i="34"/>
  <c r="B97" i="34"/>
  <c r="J31" i="34" s="1"/>
  <c r="B95" i="34"/>
  <c r="H30" i="34" s="1"/>
  <c r="AB30" i="34" s="1"/>
  <c r="B93" i="34"/>
  <c r="B75" i="34"/>
  <c r="B73" i="34"/>
  <c r="J13" i="34" s="1"/>
  <c r="W13" i="34" s="1"/>
  <c r="B71" i="34"/>
  <c r="B130" i="33"/>
  <c r="B128" i="33"/>
  <c r="H45" i="33"/>
  <c r="U45" i="33" s="1"/>
  <c r="B126" i="33"/>
  <c r="H44" i="33" s="1"/>
  <c r="B98" i="33"/>
  <c r="F31" i="33" s="1"/>
  <c r="B96" i="33"/>
  <c r="J30" i="33" s="1"/>
  <c r="B94" i="33"/>
  <c r="H29" i="33" s="1"/>
  <c r="AB29" i="33" s="1"/>
  <c r="B74" i="33"/>
  <c r="B72" i="33"/>
  <c r="B70" i="33"/>
  <c r="F12" i="33" s="1"/>
  <c r="D96" i="35"/>
  <c r="E96" i="35" s="1"/>
  <c r="F96" i="35" s="1"/>
  <c r="G96" i="35" s="1"/>
  <c r="D94" i="35"/>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J9" i="35" s="1"/>
  <c r="W9" i="35" s="1"/>
  <c r="H9" i="35"/>
  <c r="AB9" i="35" s="1"/>
  <c r="P39" i="35"/>
  <c r="P38" i="35"/>
  <c r="V37" i="35"/>
  <c r="T37" i="35"/>
  <c r="R37" i="35"/>
  <c r="P37" i="35"/>
  <c r="Q36" i="35"/>
  <c r="Z36" i="35"/>
  <c r="Q35" i="35"/>
  <c r="Z35" i="35" s="1"/>
  <c r="Q34" i="35"/>
  <c r="Z34" i="35" s="1"/>
  <c r="J34" i="35"/>
  <c r="AC34" i="35" s="1"/>
  <c r="Q33" i="35"/>
  <c r="Z33" i="35"/>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s="1"/>
  <c r="Q23" i="35"/>
  <c r="Z23" i="35"/>
  <c r="J23" i="35"/>
  <c r="AC23" i="35" s="1"/>
  <c r="Q22" i="35"/>
  <c r="Z22" i="35" s="1"/>
  <c r="Q20" i="35"/>
  <c r="Z20" i="35"/>
  <c r="Q16" i="35"/>
  <c r="Z16" i="35" s="1"/>
  <c r="Q14" i="35"/>
  <c r="Z14" i="35" s="1"/>
  <c r="Q13" i="35"/>
  <c r="Z13" i="35" s="1"/>
  <c r="Q12" i="35"/>
  <c r="Z12" i="35" s="1"/>
  <c r="J12" i="35"/>
  <c r="W12" i="35" s="1"/>
  <c r="F12" i="35"/>
  <c r="AA12" i="35" s="1"/>
  <c r="Q11" i="35"/>
  <c r="Z11" i="35" s="1"/>
  <c r="Q10" i="35"/>
  <c r="Z10" i="35" s="1"/>
  <c r="Q9" i="35"/>
  <c r="Z9" i="35" s="1"/>
  <c r="F9" i="35"/>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c r="Q41" i="34"/>
  <c r="Z41" i="34" s="1"/>
  <c r="Q40" i="34"/>
  <c r="Z40" i="34" s="1"/>
  <c r="F40" i="34"/>
  <c r="S40" i="34" s="1"/>
  <c r="Q39" i="34"/>
  <c r="Z39" i="34" s="1"/>
  <c r="J39" i="34"/>
  <c r="AC39" i="34" s="1"/>
  <c r="H39" i="34"/>
  <c r="U39" i="34" s="1"/>
  <c r="F39" i="34"/>
  <c r="S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J8" i="34"/>
  <c r="H8" i="34"/>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AB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H40" i="33"/>
  <c r="AB40" i="33" s="1"/>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Q11" i="33"/>
  <c r="Z11" i="33" s="1"/>
  <c r="Q10" i="33"/>
  <c r="Z10" i="33" s="1"/>
  <c r="Q9" i="33"/>
  <c r="Z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J9" i="21" s="1"/>
  <c r="AC9" i="21" s="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c r="D125" i="21"/>
  <c r="E125" i="21" s="1"/>
  <c r="D123" i="21"/>
  <c r="E123" i="2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F44" i="21" s="1"/>
  <c r="AA44" i="21" s="1"/>
  <c r="B98" i="21"/>
  <c r="J31" i="21" s="1"/>
  <c r="AC31" i="21" s="1"/>
  <c r="B96" i="21"/>
  <c r="B94" i="21"/>
  <c r="B92" i="21"/>
  <c r="B90" i="21"/>
  <c r="B74" i="21"/>
  <c r="B72" i="2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A572" i="3" s="1"/>
  <c r="BE572" i="3"/>
  <c r="BF572" i="3"/>
  <c r="BG572" i="3"/>
  <c r="BH572" i="3"/>
  <c r="BI572" i="3"/>
  <c r="BJ572" i="3"/>
  <c r="BK572" i="3"/>
  <c r="BM572" i="3"/>
  <c r="BL572" i="3" s="1"/>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H43" i="21"/>
  <c r="F32" i="21"/>
  <c r="F38" i="21"/>
  <c r="S38" i="21" s="1"/>
  <c r="F36" i="21"/>
  <c r="S36" i="21" s="1"/>
  <c r="F39" i="21"/>
  <c r="AA39" i="21" s="1"/>
  <c r="J40" i="21"/>
  <c r="W40" i="21" s="1"/>
  <c r="H35" i="21"/>
  <c r="AB35" i="21" s="1"/>
  <c r="J8" i="21"/>
  <c r="W8" i="21" s="1"/>
  <c r="AC8" i="2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s="1"/>
  <c r="AA41" i="21"/>
  <c r="W41" i="21"/>
  <c r="S10" i="39"/>
  <c r="U30" i="37"/>
  <c r="E103" i="37"/>
  <c r="F103" i="37"/>
  <c r="G103" i="37" s="1"/>
  <c r="H103" i="37" s="1"/>
  <c r="I103" i="37" s="1"/>
  <c r="J103" i="37" s="1"/>
  <c r="K103" i="37" s="1"/>
  <c r="L103" i="37" s="1"/>
  <c r="M103" i="37" s="1"/>
  <c r="F29" i="36"/>
  <c r="AA29" i="36" s="1"/>
  <c r="F16" i="36"/>
  <c r="AA16" i="36" s="1"/>
  <c r="U26" i="36"/>
  <c r="J33" i="36"/>
  <c r="W33" i="36" s="1"/>
  <c r="AC27" i="35"/>
  <c r="U31" i="35"/>
  <c r="W24" i="35"/>
  <c r="S31" i="35"/>
  <c r="F36" i="34"/>
  <c r="S36" i="34" s="1"/>
  <c r="W39" i="34"/>
  <c r="H39" i="33"/>
  <c r="AB39" i="33" s="1"/>
  <c r="F26" i="33"/>
  <c r="AA26" i="33" s="1"/>
  <c r="W38" i="33"/>
  <c r="S40" i="33"/>
  <c r="W33" i="33"/>
  <c r="S8" i="21"/>
  <c r="AB27" i="35"/>
  <c r="S10" i="40"/>
  <c r="W10" i="40"/>
  <c r="S11" i="40"/>
  <c r="U11" i="40"/>
  <c r="S36" i="40"/>
  <c r="U36" i="40"/>
  <c r="S36" i="39"/>
  <c r="F11" i="21"/>
  <c r="S11" i="21" s="1"/>
  <c r="AC40" i="21"/>
  <c r="AA38" i="21"/>
  <c r="AB36" i="21"/>
  <c r="AC35" i="21"/>
  <c r="C29" i="39"/>
  <c r="U36" i="39"/>
  <c r="H32" i="33"/>
  <c r="AB32" i="33" s="1"/>
  <c r="H11" i="21"/>
  <c r="U11" i="21" s="1"/>
  <c r="J11" i="21"/>
  <c r="W11" i="21" s="1"/>
  <c r="F100" i="40"/>
  <c r="U9" i="21"/>
  <c r="J27" i="36"/>
  <c r="W27" i="36" s="1"/>
  <c r="J34" i="36"/>
  <c r="W34" i="36" s="1"/>
  <c r="J30" i="35"/>
  <c r="W30" i="35" s="1"/>
  <c r="F22" i="35"/>
  <c r="AA22" i="35" s="1"/>
  <c r="H10" i="35"/>
  <c r="U24" i="36"/>
  <c r="E85" i="36"/>
  <c r="F85" i="36" s="1"/>
  <c r="G85" i="36" s="1"/>
  <c r="H85" i="36" s="1"/>
  <c r="I85" i="36" s="1"/>
  <c r="J85" i="36" s="1"/>
  <c r="K85" i="36" s="1"/>
  <c r="L85" i="36" s="1"/>
  <c r="M85" i="36" s="1"/>
  <c r="J29" i="36"/>
  <c r="AC29" i="36" s="1"/>
  <c r="F12" i="36"/>
  <c r="S12" i="36" s="1"/>
  <c r="F24" i="36"/>
  <c r="F34" i="36"/>
  <c r="S34" i="36" s="1"/>
  <c r="S10" i="36"/>
  <c r="H16" i="35"/>
  <c r="H33" i="35"/>
  <c r="AB33" i="35" s="1"/>
  <c r="F35" i="37"/>
  <c r="AA35" i="37" s="1"/>
  <c r="E101" i="37"/>
  <c r="F101" i="37" s="1"/>
  <c r="G101" i="37" s="1"/>
  <c r="H101" i="37" s="1"/>
  <c r="I101" i="37" s="1"/>
  <c r="J101" i="37" s="1"/>
  <c r="K101" i="37" s="1"/>
  <c r="L101" i="37" s="1"/>
  <c r="M101" i="37" s="1"/>
  <c r="J34" i="37"/>
  <c r="W34" i="37" s="1"/>
  <c r="AA39" i="37"/>
  <c r="H43" i="34"/>
  <c r="U42" i="34"/>
  <c r="E114" i="34"/>
  <c r="H36" i="34"/>
  <c r="U36" i="34" s="1"/>
  <c r="F37" i="34"/>
  <c r="F33" i="34"/>
  <c r="S33" i="34" s="1"/>
  <c r="J10" i="34"/>
  <c r="AC10" i="34" s="1"/>
  <c r="J28" i="34"/>
  <c r="S38" i="33"/>
  <c r="F36" i="33"/>
  <c r="S36" i="33" s="1"/>
  <c r="F19" i="33"/>
  <c r="S19" i="33" s="1"/>
  <c r="J19" i="33"/>
  <c r="AC19" i="33" s="1"/>
  <c r="S10" i="21"/>
  <c r="F125" i="21"/>
  <c r="G125" i="21" s="1"/>
  <c r="AB30" i="36"/>
  <c r="AC34" i="36"/>
  <c r="S22" i="35"/>
  <c r="H29" i="35"/>
  <c r="S34" i="37"/>
  <c r="AA34" i="37"/>
  <c r="AC43" i="34"/>
  <c r="AB42" i="34"/>
  <c r="AB40" i="34"/>
  <c r="H37" i="33"/>
  <c r="AB37" i="33" s="1"/>
  <c r="S37" i="33"/>
  <c r="AC42" i="34"/>
  <c r="W42" i="34"/>
  <c r="AA42" i="34"/>
  <c r="S42" i="34"/>
  <c r="AA38" i="34"/>
  <c r="S38" i="34"/>
  <c r="J37" i="33"/>
  <c r="W37" i="33" s="1"/>
  <c r="J42" i="21"/>
  <c r="AC42" i="21" s="1"/>
  <c r="J44" i="34"/>
  <c r="AC44" i="34" s="1"/>
  <c r="F44" i="34"/>
  <c r="S44" i="34" s="1"/>
  <c r="J10" i="35"/>
  <c r="W10" i="35" s="1"/>
  <c r="AL5" i="3"/>
  <c r="BQ13" i="3"/>
  <c r="BL13" i="3" s="1"/>
  <c r="J14" i="21"/>
  <c r="F14" i="21"/>
  <c r="AA14" i="21" s="1"/>
  <c r="H14" i="21"/>
  <c r="H30" i="21"/>
  <c r="U30" i="21" s="1"/>
  <c r="F30" i="21"/>
  <c r="S30" i="21" s="1"/>
  <c r="J30" i="21"/>
  <c r="H44" i="21"/>
  <c r="H46" i="21"/>
  <c r="AB46" i="21" s="1"/>
  <c r="J46" i="21"/>
  <c r="W46" i="21" s="1"/>
  <c r="F46" i="21"/>
  <c r="AA46" i="21" s="1"/>
  <c r="H26" i="33"/>
  <c r="U26"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9" i="21"/>
  <c r="AC29" i="21" s="1"/>
  <c r="H29" i="21"/>
  <c r="U29" i="21" s="1"/>
  <c r="F29" i="21"/>
  <c r="S29" i="21" s="1"/>
  <c r="F31" i="21"/>
  <c r="S31" i="21" s="1"/>
  <c r="J45" i="21"/>
  <c r="W45" i="21" s="1"/>
  <c r="F45" i="21"/>
  <c r="AA45" i="21" s="1"/>
  <c r="H45" i="21"/>
  <c r="U45" i="21" s="1"/>
  <c r="J27" i="33"/>
  <c r="AC27" i="33" s="1"/>
  <c r="F13" i="33"/>
  <c r="S13" i="33" s="1"/>
  <c r="J31" i="33"/>
  <c r="AC31" i="33" s="1"/>
  <c r="H31" i="33"/>
  <c r="U31" i="33" s="1"/>
  <c r="J45" i="33"/>
  <c r="F45" i="33"/>
  <c r="S45" i="33" s="1"/>
  <c r="H28" i="36"/>
  <c r="U28" i="36" s="1"/>
  <c r="H32" i="36"/>
  <c r="AB32" i="36" s="1"/>
  <c r="J32" i="36"/>
  <c r="W32" i="36" s="1"/>
  <c r="J13" i="36"/>
  <c r="F13" i="36"/>
  <c r="S13" i="36" s="1"/>
  <c r="J29" i="37"/>
  <c r="W29" i="37" s="1"/>
  <c r="F29" i="37"/>
  <c r="AA29" i="37" s="1"/>
  <c r="F105" i="37"/>
  <c r="J37" i="37"/>
  <c r="H37" i="37"/>
  <c r="U37" i="37" s="1"/>
  <c r="H40" i="37"/>
  <c r="U40" i="37" s="1"/>
  <c r="J40" i="37"/>
  <c r="F40" i="37"/>
  <c r="AA40" i="37" s="1"/>
  <c r="H14" i="33"/>
  <c r="U14" i="33" s="1"/>
  <c r="F14" i="33"/>
  <c r="AA14" i="33" s="1"/>
  <c r="J14" i="33"/>
  <c r="AC14" i="33" s="1"/>
  <c r="H30" i="33"/>
  <c r="AB30" i="33" s="1"/>
  <c r="F30" i="33"/>
  <c r="S30" i="33" s="1"/>
  <c r="J44" i="33"/>
  <c r="F44" i="33"/>
  <c r="S44" i="33" s="1"/>
  <c r="J46" i="33"/>
  <c r="AC46" i="33" s="1"/>
  <c r="F46" i="33"/>
  <c r="AA46" i="33" s="1"/>
  <c r="H46" i="33"/>
  <c r="AB46" i="33" s="1"/>
  <c r="H13" i="34"/>
  <c r="U13" i="34" s="1"/>
  <c r="J29" i="34"/>
  <c r="AC29" i="34" s="1"/>
  <c r="F29" i="34"/>
  <c r="S29" i="34" s="1"/>
  <c r="H29" i="34"/>
  <c r="U29" i="34" s="1"/>
  <c r="H31" i="34"/>
  <c r="F31" i="34"/>
  <c r="S31" i="34" s="1"/>
  <c r="H45" i="34"/>
  <c r="U45" i="34" s="1"/>
  <c r="J45" i="34"/>
  <c r="W45" i="34" s="1"/>
  <c r="F45" i="34"/>
  <c r="AA45" i="34" s="1"/>
  <c r="H47" i="34"/>
  <c r="U47" i="34" s="1"/>
  <c r="F13" i="35"/>
  <c r="S13" i="35" s="1"/>
  <c r="J13" i="35"/>
  <c r="AC13" i="35" s="1"/>
  <c r="H13" i="35"/>
  <c r="U13" i="35" s="1"/>
  <c r="F25" i="35"/>
  <c r="H25" i="35"/>
  <c r="AB25" i="35" s="1"/>
  <c r="J35" i="35"/>
  <c r="AC35" i="35" s="1"/>
  <c r="F35" i="35"/>
  <c r="S35" i="35" s="1"/>
  <c r="H35" i="35"/>
  <c r="U35" i="35" s="1"/>
  <c r="J25" i="36"/>
  <c r="W25" i="36" s="1"/>
  <c r="F25" i="36"/>
  <c r="AA25" i="36" s="1"/>
  <c r="H25" i="36"/>
  <c r="AB25" i="36" s="1"/>
  <c r="H13" i="37"/>
  <c r="AB13" i="37" s="1"/>
  <c r="F13" i="37"/>
  <c r="S13" i="37" s="1"/>
  <c r="F28" i="37"/>
  <c r="AA28" i="37" s="1"/>
  <c r="J28" i="37"/>
  <c r="AC28" i="37" s="1"/>
  <c r="H28" i="37"/>
  <c r="U28" i="37" s="1"/>
  <c r="H38" i="37"/>
  <c r="AB38" i="37" s="1"/>
  <c r="J38" i="37"/>
  <c r="AC38" i="37" s="1"/>
  <c r="F38" i="37"/>
  <c r="S38" i="37" s="1"/>
  <c r="F14" i="37"/>
  <c r="AA14" i="37" s="1"/>
  <c r="F27" i="37"/>
  <c r="AA27" i="37" s="1"/>
  <c r="J14" i="37"/>
  <c r="W14" i="37" s="1"/>
  <c r="J27" i="37"/>
  <c r="AA38" i="37"/>
  <c r="W35" i="35"/>
  <c r="AB13" i="35"/>
  <c r="W46" i="33"/>
  <c r="U30" i="33"/>
  <c r="AB40" i="37"/>
  <c r="J36" i="37"/>
  <c r="AC36" i="37" s="1"/>
  <c r="G105" i="37"/>
  <c r="AB28" i="36"/>
  <c r="AB13" i="21"/>
  <c r="S46" i="21"/>
  <c r="U46" i="21"/>
  <c r="AC30" i="21"/>
  <c r="W30" i="21"/>
  <c r="W14" i="21"/>
  <c r="AC14" i="21"/>
  <c r="W42" i="21"/>
  <c r="S46" i="33"/>
  <c r="U36" i="37"/>
  <c r="AB31" i="33"/>
  <c r="S45" i="21"/>
  <c r="S19" i="21"/>
  <c r="G529" i="3"/>
  <c r="G521" i="3"/>
  <c r="G517" i="3"/>
  <c r="G513" i="3"/>
  <c r="G508" i="3"/>
  <c r="G499" i="3"/>
  <c r="G493" i="3"/>
  <c r="G565" i="3"/>
  <c r="G549" i="3"/>
  <c r="G545" i="3"/>
  <c r="G539" i="3"/>
  <c r="BL561" i="3"/>
  <c r="BL545" i="3"/>
  <c r="BL535" i="3"/>
  <c r="BL511" i="3"/>
  <c r="BL501" i="3"/>
  <c r="G16" i="3"/>
  <c r="BL563" i="3"/>
  <c r="BL555" i="3"/>
  <c r="BL525" i="3"/>
  <c r="AZ525" i="3" s="1"/>
  <c r="G518" i="3"/>
  <c r="G514" i="3"/>
  <c r="G510" i="3"/>
  <c r="BL503" i="3"/>
  <c r="BL495" i="3"/>
  <c r="G18" i="3"/>
  <c r="BA569" i="3"/>
  <c r="AZ569" i="3" s="1"/>
  <c r="BA565" i="3"/>
  <c r="AZ565" i="3" s="1"/>
  <c r="BA559" i="3"/>
  <c r="BA557" i="3"/>
  <c r="AZ555" i="3"/>
  <c r="BA551" i="3"/>
  <c r="BA541" i="3"/>
  <c r="BA521" i="3"/>
  <c r="BA509" i="3"/>
  <c r="AZ509" i="3" s="1"/>
  <c r="BA493" i="3"/>
  <c r="BA566" i="3"/>
  <c r="AZ566" i="3" s="1"/>
  <c r="BA558" i="3"/>
  <c r="BA556" i="3"/>
  <c r="BA546" i="3"/>
  <c r="BA536" i="3"/>
  <c r="BA520" i="3"/>
  <c r="BA508" i="3"/>
  <c r="BA502" i="3"/>
  <c r="BA492" i="3"/>
  <c r="BA20" i="3"/>
  <c r="G562" i="3"/>
  <c r="G560" i="3"/>
  <c r="G556" i="3"/>
  <c r="G554" i="3"/>
  <c r="G550" i="3"/>
  <c r="BA542" i="3"/>
  <c r="AC542" i="3"/>
  <c r="G542" i="3"/>
  <c r="BQ542" i="3"/>
  <c r="BL542" i="3" s="1"/>
  <c r="BQ568" i="3"/>
  <c r="BQ566" i="3"/>
  <c r="BQ564" i="3"/>
  <c r="BQ562" i="3"/>
  <c r="BL562" i="3"/>
  <c r="BQ560" i="3"/>
  <c r="BQ558" i="3"/>
  <c r="BL558" i="3"/>
  <c r="BQ556" i="3"/>
  <c r="AZ556" i="3"/>
  <c r="BQ554" i="3"/>
  <c r="BQ552" i="3"/>
  <c r="BQ550" i="3"/>
  <c r="BL550" i="3"/>
  <c r="BQ548" i="3"/>
  <c r="BQ546" i="3"/>
  <c r="BQ544" i="3"/>
  <c r="G544" i="3"/>
  <c r="G538" i="3"/>
  <c r="G530" i="3"/>
  <c r="G526" i="3"/>
  <c r="G522" i="3"/>
  <c r="BQ540" i="3"/>
  <c r="BQ538" i="3"/>
  <c r="BL538" i="3"/>
  <c r="BQ536" i="3"/>
  <c r="BQ534" i="3"/>
  <c r="BQ532" i="3"/>
  <c r="BQ530" i="3"/>
  <c r="BQ528" i="3"/>
  <c r="BQ526" i="3"/>
  <c r="BQ524" i="3"/>
  <c r="BL524" i="3"/>
  <c r="BQ522" i="3"/>
  <c r="BQ520" i="3"/>
  <c r="BQ518" i="3"/>
  <c r="BL518" i="3" s="1"/>
  <c r="AZ518" i="3" s="1"/>
  <c r="BQ516" i="3"/>
  <c r="BQ514" i="3"/>
  <c r="BL514" i="3"/>
  <c r="BQ512" i="3"/>
  <c r="BL512" i="3" s="1"/>
  <c r="AZ512" i="3" s="1"/>
  <c r="BQ510" i="3"/>
  <c r="BQ508" i="3"/>
  <c r="BL508" i="3"/>
  <c r="AC506" i="3"/>
  <c r="BQ506" i="3"/>
  <c r="G502" i="3"/>
  <c r="BQ504" i="3"/>
  <c r="BQ502" i="3"/>
  <c r="BL502" i="3" s="1"/>
  <c r="BQ500" i="3"/>
  <c r="BQ498" i="3"/>
  <c r="BQ496" i="3"/>
  <c r="AC494" i="3"/>
  <c r="BQ494" i="3"/>
  <c r="BL493" i="3"/>
  <c r="AZ493" i="3" s="1"/>
  <c r="G492" i="3"/>
  <c r="G484" i="3"/>
  <c r="G20" i="3"/>
  <c r="BQ492" i="3"/>
  <c r="BQ490" i="3"/>
  <c r="BQ488" i="3"/>
  <c r="BL488" i="3"/>
  <c r="BQ486" i="3"/>
  <c r="BQ484" i="3"/>
  <c r="BL484" i="3"/>
  <c r="AZ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S23" i="37" s="1"/>
  <c r="F79" i="37"/>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AC12" i="35"/>
  <c r="W23" i="35"/>
  <c r="AC23" i="37"/>
  <c r="S27" i="37"/>
  <c r="AC8" i="37"/>
  <c r="S25" i="37"/>
  <c r="AC37" i="33"/>
  <c r="AA13" i="33"/>
  <c r="AC33" i="21"/>
  <c r="AA36" i="21"/>
  <c r="F43" i="33"/>
  <c r="AA43" i="33" s="1"/>
  <c r="S10" i="35"/>
  <c r="AA9" i="21"/>
  <c r="F37" i="21"/>
  <c r="S37" i="21" s="1"/>
  <c r="J37" i="21"/>
  <c r="W37" i="21" s="1"/>
  <c r="J10" i="37"/>
  <c r="W10" i="37" s="1"/>
  <c r="F36" i="35"/>
  <c r="S36" i="35" s="1"/>
  <c r="H9" i="37"/>
  <c r="U9" i="37" s="1"/>
  <c r="F9" i="37"/>
  <c r="S9" i="37" s="1"/>
  <c r="F11" i="37"/>
  <c r="S11" i="37" s="1"/>
  <c r="H12" i="37"/>
  <c r="AB12" i="37" s="1"/>
  <c r="F12" i="37"/>
  <c r="AA12" i="37" s="1"/>
  <c r="H15" i="37"/>
  <c r="U15" i="37" s="1"/>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s="1"/>
  <c r="S27" i="31"/>
  <c r="AZ558" i="3"/>
  <c r="G483" i="3"/>
  <c r="G515" i="3"/>
  <c r="G507" i="3"/>
  <c r="BA15" i="3"/>
  <c r="BL17" i="3"/>
  <c r="BL15" i="3"/>
  <c r="BA14" i="3"/>
  <c r="AZ14" i="3" s="1"/>
  <c r="J57" i="39"/>
  <c r="H13" i="40"/>
  <c r="U13" i="40" s="1"/>
  <c r="H12" i="48"/>
  <c r="I4" i="4"/>
  <c r="K141" i="21"/>
  <c r="K143" i="21"/>
  <c r="K144" i="21"/>
  <c r="I59" i="40"/>
  <c r="C59" i="40" s="1"/>
  <c r="I60" i="40"/>
  <c r="C60" i="40" s="1"/>
  <c r="G297" i="3"/>
  <c r="BL298" i="3"/>
  <c r="AZ298" i="3" s="1"/>
  <c r="G299" i="3"/>
  <c r="BL300" i="3"/>
  <c r="BA302" i="3"/>
  <c r="AZ302" i="3"/>
  <c r="BA303" i="3"/>
  <c r="AZ303" i="3" s="1"/>
  <c r="BL303" i="3"/>
  <c r="G304" i="3"/>
  <c r="BA305" i="3"/>
  <c r="AZ305" i="3"/>
  <c r="G321" i="3"/>
  <c r="BL322" i="3"/>
  <c r="G323" i="3"/>
  <c r="BL324" i="3"/>
  <c r="BA326" i="3"/>
  <c r="AZ326" i="3"/>
  <c r="BA327" i="3"/>
  <c r="BL327" i="3"/>
  <c r="G328" i="3"/>
  <c r="BA329" i="3"/>
  <c r="AZ329" i="3"/>
  <c r="G337" i="3"/>
  <c r="BL338" i="3"/>
  <c r="G339" i="3"/>
  <c r="BL340" i="3"/>
  <c r="BA342" i="3"/>
  <c r="AZ342" i="3"/>
  <c r="BA343" i="3"/>
  <c r="BL343" i="3"/>
  <c r="G344" i="3"/>
  <c r="BA345" i="3"/>
  <c r="AZ345" i="3" s="1"/>
  <c r="G353" i="3"/>
  <c r="BL354" i="3"/>
  <c r="G355" i="3"/>
  <c r="BL356" i="3"/>
  <c r="G357" i="3"/>
  <c r="BL358" i="3"/>
  <c r="G359" i="3"/>
  <c r="BA360" i="3"/>
  <c r="AZ360" i="3"/>
  <c r="BA361" i="3"/>
  <c r="BL361" i="3"/>
  <c r="G362" i="3"/>
  <c r="BA363" i="3"/>
  <c r="G371" i="3"/>
  <c r="BL372" i="3"/>
  <c r="G373" i="3"/>
  <c r="BL374" i="3"/>
  <c r="BA376" i="3"/>
  <c r="AZ376" i="3" s="1"/>
  <c r="BA377" i="3"/>
  <c r="BL377" i="3"/>
  <c r="AZ377" i="3" s="1"/>
  <c r="G378" i="3"/>
  <c r="BA379" i="3"/>
  <c r="BA114" i="3"/>
  <c r="AZ114" i="3"/>
  <c r="BL115" i="3"/>
  <c r="AZ115" i="3" s="1"/>
  <c r="G116" i="3"/>
  <c r="BA118" i="3"/>
  <c r="AZ118" i="3"/>
  <c r="BL119" i="3"/>
  <c r="G120" i="3"/>
  <c r="BA122" i="3"/>
  <c r="AZ122" i="3" s="1"/>
  <c r="BL123" i="3"/>
  <c r="AZ123" i="3"/>
  <c r="G124" i="3"/>
  <c r="BA126" i="3"/>
  <c r="AZ126" i="3"/>
  <c r="BL127" i="3"/>
  <c r="AZ127" i="3" s="1"/>
  <c r="G128" i="3"/>
  <c r="BA130" i="3"/>
  <c r="BL131" i="3"/>
  <c r="AZ131" i="3"/>
  <c r="G132" i="3"/>
  <c r="BA134" i="3"/>
  <c r="AZ134" i="3"/>
  <c r="BL135" i="3"/>
  <c r="G136" i="3"/>
  <c r="BA138" i="3"/>
  <c r="AZ138" i="3"/>
  <c r="BL139" i="3"/>
  <c r="G140" i="3"/>
  <c r="BA142" i="3"/>
  <c r="AZ142" i="3" s="1"/>
  <c r="BL143" i="3"/>
  <c r="G144" i="3"/>
  <c r="BA146" i="3"/>
  <c r="BL147" i="3"/>
  <c r="AZ147" i="3"/>
  <c r="G148" i="3"/>
  <c r="BA150" i="3"/>
  <c r="AZ150" i="3"/>
  <c r="BL151" i="3"/>
  <c r="BA153" i="3"/>
  <c r="AZ153" i="3"/>
  <c r="BL154" i="3"/>
  <c r="G155" i="3"/>
  <c r="BA157" i="3"/>
  <c r="BL158" i="3"/>
  <c r="AZ158" i="3" s="1"/>
  <c r="G159" i="3"/>
  <c r="BA161" i="3"/>
  <c r="BL162" i="3"/>
  <c r="AZ162" i="3" s="1"/>
  <c r="G163" i="3"/>
  <c r="BA165" i="3"/>
  <c r="AZ165" i="3"/>
  <c r="BL166" i="3"/>
  <c r="AZ166" i="3" s="1"/>
  <c r="G167" i="3"/>
  <c r="BA169" i="3"/>
  <c r="AZ169" i="3"/>
  <c r="BL170" i="3"/>
  <c r="G171" i="3"/>
  <c r="BA173" i="3"/>
  <c r="AZ173" i="3"/>
  <c r="BL174" i="3"/>
  <c r="G175" i="3"/>
  <c r="BA178" i="3"/>
  <c r="AZ178" i="3"/>
  <c r="BL179" i="3"/>
  <c r="AZ179" i="3" s="1"/>
  <c r="G180" i="3"/>
  <c r="AZ23" i="3"/>
  <c r="AZ31" i="3"/>
  <c r="AZ43" i="3"/>
  <c r="AZ47" i="3"/>
  <c r="AZ51" i="3"/>
  <c r="AZ55" i="3"/>
  <c r="AZ59" i="3"/>
  <c r="G537" i="3"/>
  <c r="BL181" i="3"/>
  <c r="AZ181" i="3" s="1"/>
  <c r="G182" i="3"/>
  <c r="BA184" i="3"/>
  <c r="AZ184" i="3"/>
  <c r="BL185" i="3"/>
  <c r="G186" i="3"/>
  <c r="BA188" i="3"/>
  <c r="AZ188" i="3"/>
  <c r="BL189" i="3"/>
  <c r="AZ189" i="3"/>
  <c r="G190" i="3"/>
  <c r="BA192" i="3"/>
  <c r="AZ192" i="3" s="1"/>
  <c r="BL193" i="3"/>
  <c r="AZ193" i="3"/>
  <c r="G194" i="3"/>
  <c r="BA196" i="3"/>
  <c r="AZ196" i="3"/>
  <c r="BL197" i="3"/>
  <c r="AZ197" i="3"/>
  <c r="G198" i="3"/>
  <c r="BA200" i="3"/>
  <c r="AZ200" i="3"/>
  <c r="BL201" i="3"/>
  <c r="AZ70" i="3"/>
  <c r="AZ82" i="3"/>
  <c r="AZ185" i="3"/>
  <c r="AZ201" i="3"/>
  <c r="AZ84" i="3"/>
  <c r="AZ86" i="3"/>
  <c r="AZ90" i="3"/>
  <c r="AZ98" i="3"/>
  <c r="AZ102" i="3"/>
  <c r="AZ110" i="3"/>
  <c r="G491" i="3"/>
  <c r="BA298" i="3"/>
  <c r="BA299" i="3"/>
  <c r="AZ299" i="3"/>
  <c r="BL299" i="3"/>
  <c r="G300" i="3"/>
  <c r="G303" i="3"/>
  <c r="BL304" i="3"/>
  <c r="BA306" i="3"/>
  <c r="AZ306" i="3"/>
  <c r="BA307" i="3"/>
  <c r="BL307" i="3"/>
  <c r="G308" i="3"/>
  <c r="G319" i="3"/>
  <c r="BL320" i="3"/>
  <c r="BA322" i="3"/>
  <c r="BA323" i="3"/>
  <c r="BL323" i="3"/>
  <c r="AZ323" i="3" s="1"/>
  <c r="G324" i="3"/>
  <c r="G327" i="3"/>
  <c r="BL328" i="3"/>
  <c r="BA330" i="3"/>
  <c r="AZ330" i="3" s="1"/>
  <c r="BA331" i="3"/>
  <c r="BL331" i="3"/>
  <c r="AZ331" i="3" s="1"/>
  <c r="G332" i="3"/>
  <c r="G335" i="3"/>
  <c r="BL336" i="3"/>
  <c r="BA338" i="3"/>
  <c r="AZ338" i="3" s="1"/>
  <c r="BA339" i="3"/>
  <c r="BL339" i="3"/>
  <c r="AZ339" i="3" s="1"/>
  <c r="G340" i="3"/>
  <c r="G343" i="3"/>
  <c r="BL344" i="3"/>
  <c r="BA346" i="3"/>
  <c r="AZ346" i="3"/>
  <c r="BA347" i="3"/>
  <c r="AZ347" i="3" s="1"/>
  <c r="BL347" i="3"/>
  <c r="G348" i="3"/>
  <c r="G351" i="3"/>
  <c r="BL352" i="3"/>
  <c r="BA354" i="3"/>
  <c r="BA355" i="3"/>
  <c r="AZ355" i="3"/>
  <c r="BL355" i="3"/>
  <c r="G356" i="3"/>
  <c r="BA358" i="3"/>
  <c r="AZ358" i="3" s="1"/>
  <c r="BA359" i="3"/>
  <c r="BL359" i="3"/>
  <c r="AZ359" i="3"/>
  <c r="G360" i="3"/>
  <c r="G361" i="3"/>
  <c r="BL362" i="3"/>
  <c r="BA364" i="3"/>
  <c r="AZ364" i="3"/>
  <c r="BA365" i="3"/>
  <c r="BL365" i="3"/>
  <c r="AZ365" i="3" s="1"/>
  <c r="G366" i="3"/>
  <c r="G369" i="3"/>
  <c r="BL370" i="3"/>
  <c r="BA372" i="3"/>
  <c r="AZ372" i="3" s="1"/>
  <c r="BA373" i="3"/>
  <c r="BL373" i="3"/>
  <c r="AZ373" i="3"/>
  <c r="G374" i="3"/>
  <c r="G377" i="3"/>
  <c r="BL378" i="3"/>
  <c r="BA380" i="3"/>
  <c r="AZ380" i="3" s="1"/>
  <c r="BA381" i="3"/>
  <c r="AZ381" i="3"/>
  <c r="BL381" i="3"/>
  <c r="G382" i="3"/>
  <c r="G385" i="3"/>
  <c r="AZ170" i="3"/>
  <c r="AZ174" i="3"/>
  <c r="AZ183" i="3"/>
  <c r="AZ187" i="3"/>
  <c r="AZ191" i="3"/>
  <c r="AZ195" i="3"/>
  <c r="AZ199" i="3"/>
  <c r="AZ203" i="3"/>
  <c r="G523" i="3"/>
  <c r="BL297" i="3"/>
  <c r="AZ297" i="3"/>
  <c r="G298" i="3"/>
  <c r="BA300" i="3"/>
  <c r="AZ300" i="3" s="1"/>
  <c r="BL301" i="3"/>
  <c r="AZ301" i="3"/>
  <c r="G302" i="3"/>
  <c r="BA304" i="3"/>
  <c r="BL305" i="3"/>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05" i="3"/>
  <c r="AZ213" i="3"/>
  <c r="AZ221" i="3"/>
  <c r="AZ229" i="3"/>
  <c r="AZ237" i="3"/>
  <c r="AZ245" i="3"/>
  <c r="AZ309" i="3"/>
  <c r="AZ317" i="3"/>
  <c r="AZ321" i="3"/>
  <c r="AZ333" i="3"/>
  <c r="AZ337" i="3"/>
  <c r="AZ341" i="3"/>
  <c r="AZ353" i="3"/>
  <c r="AZ357" i="3"/>
  <c r="AZ363" i="3"/>
  <c r="G368" i="3"/>
  <c r="BA370" i="3"/>
  <c r="AZ370" i="3" s="1"/>
  <c r="BL371" i="3"/>
  <c r="AZ371" i="3" s="1"/>
  <c r="G372" i="3"/>
  <c r="BA374" i="3"/>
  <c r="AZ374" i="3"/>
  <c r="BL375" i="3"/>
  <c r="G376" i="3"/>
  <c r="BA378" i="3"/>
  <c r="AZ378" i="3"/>
  <c r="BL379" i="3"/>
  <c r="AZ379" i="3"/>
  <c r="G380" i="3"/>
  <c r="BA382" i="3"/>
  <c r="AZ382" i="3" s="1"/>
  <c r="BL383" i="3"/>
  <c r="G384" i="3"/>
  <c r="AZ253" i="3"/>
  <c r="AZ261" i="3"/>
  <c r="AZ375" i="3"/>
  <c r="AZ383" i="3"/>
  <c r="AZ278" i="3"/>
  <c r="AZ282" i="3"/>
  <c r="AZ290" i="3"/>
  <c r="AZ295" i="3"/>
  <c r="AZ311" i="3"/>
  <c r="AZ313" i="3"/>
  <c r="AZ319" i="3"/>
  <c r="AZ335"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AA13" i="40"/>
  <c r="E78" i="40"/>
  <c r="F78" i="40" s="1"/>
  <c r="G78" i="40" s="1"/>
  <c r="H78" i="40" s="1"/>
  <c r="I78" i="40" s="1"/>
  <c r="J78" i="40" s="1"/>
  <c r="K78" i="40" s="1"/>
  <c r="L78" i="40" s="1"/>
  <c r="M78" i="40" s="1"/>
  <c r="R16" i="4"/>
  <c r="P16" i="4"/>
  <c r="D3" i="35"/>
  <c r="G4" i="4"/>
  <c r="J16" i="35"/>
  <c r="W16" i="35" s="1"/>
  <c r="U42" i="21"/>
  <c r="AC26" i="36"/>
  <c r="AZ354" i="3"/>
  <c r="AZ322" i="3"/>
  <c r="AA36" i="35"/>
  <c r="H11" i="37"/>
  <c r="AB11" i="37" s="1"/>
  <c r="AA36" i="37"/>
  <c r="S42" i="33"/>
  <c r="U32" i="33"/>
  <c r="AB17" i="37"/>
  <c r="AA45" i="33"/>
  <c r="AC11" i="36"/>
  <c r="AC10" i="36"/>
  <c r="AC14" i="37"/>
  <c r="AB35" i="35"/>
  <c r="AC30" i="33"/>
  <c r="W30" i="33"/>
  <c r="AC29" i="37"/>
  <c r="AC32" i="36"/>
  <c r="U28" i="33"/>
  <c r="J33" i="34"/>
  <c r="AC33" i="34" s="1"/>
  <c r="AB36" i="34"/>
  <c r="J40" i="34"/>
  <c r="W40" i="34" s="1"/>
  <c r="F16" i="35"/>
  <c r="AA16" i="35" s="1"/>
  <c r="W42" i="33"/>
  <c r="J35" i="34"/>
  <c r="W35" i="34" s="1"/>
  <c r="S30" i="36"/>
  <c r="H16" i="36"/>
  <c r="AB16" i="36" s="1"/>
  <c r="H35" i="37"/>
  <c r="AB35" i="37" s="1"/>
  <c r="S26" i="21"/>
  <c r="H32" i="21"/>
  <c r="U32" i="21" s="1"/>
  <c r="AB26" i="21"/>
  <c r="U26"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W13" i="33" s="1"/>
  <c r="H13" i="33"/>
  <c r="U13" i="33" s="1"/>
  <c r="J12" i="34"/>
  <c r="AC12" i="34" s="1"/>
  <c r="J14" i="34"/>
  <c r="W14" i="34" s="1"/>
  <c r="F14" i="34"/>
  <c r="S14" i="34" s="1"/>
  <c r="H14" i="34"/>
  <c r="AB14" i="34" s="1"/>
  <c r="F30" i="34"/>
  <c r="S30" i="34" s="1"/>
  <c r="J30" i="34"/>
  <c r="W30" i="34" s="1"/>
  <c r="H32" i="34"/>
  <c r="AB32" i="34" s="1"/>
  <c r="F32" i="34"/>
  <c r="AA32" i="34" s="1"/>
  <c r="J32" i="34"/>
  <c r="W32" i="34" s="1"/>
  <c r="H46" i="34"/>
  <c r="AB46" i="34" s="1"/>
  <c r="H11" i="35"/>
  <c r="J11" i="35"/>
  <c r="AC11" i="35" s="1"/>
  <c r="H32" i="37"/>
  <c r="AB32" i="37" s="1"/>
  <c r="F19" i="39"/>
  <c r="S19" i="39" s="1"/>
  <c r="H19" i="39"/>
  <c r="F43" i="39"/>
  <c r="S43" i="39" s="1"/>
  <c r="H43" i="39"/>
  <c r="U43" i="39" s="1"/>
  <c r="J43" i="39"/>
  <c r="AC43" i="39" s="1"/>
  <c r="AC40" i="37"/>
  <c r="W40" i="37"/>
  <c r="AC45" i="21"/>
  <c r="S14" i="21"/>
  <c r="AA44" i="34"/>
  <c r="W19" i="33"/>
  <c r="AC34" i="37"/>
  <c r="S35" i="37"/>
  <c r="AA32" i="21"/>
  <c r="S32" i="21"/>
  <c r="AB34" i="21"/>
  <c r="BL571" i="3"/>
  <c r="F42" i="21"/>
  <c r="AA42" i="21" s="1"/>
  <c r="AA35" i="34"/>
  <c r="S35" i="34"/>
  <c r="E90" i="34"/>
  <c r="AB8" i="35"/>
  <c r="U8" i="35"/>
  <c r="J14" i="35"/>
  <c r="AC14" i="35" s="1"/>
  <c r="F14" i="35"/>
  <c r="H14" i="35"/>
  <c r="U14" i="35" s="1"/>
  <c r="E94" i="35"/>
  <c r="F94" i="35"/>
  <c r="G94" i="35" s="1"/>
  <c r="H94" i="35" s="1"/>
  <c r="I94" i="35" s="1"/>
  <c r="J94" i="35" s="1"/>
  <c r="K94" i="35" s="1"/>
  <c r="L94" i="35" s="1"/>
  <c r="M94" i="35" s="1"/>
  <c r="J32" i="35"/>
  <c r="AC32" i="35" s="1"/>
  <c r="F11" i="36"/>
  <c r="S11" i="36" s="1"/>
  <c r="W16" i="36"/>
  <c r="AC16"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1" i="37"/>
  <c r="W31" i="37"/>
  <c r="AB14" i="37"/>
  <c r="F17" i="39"/>
  <c r="AA17" i="39" s="1"/>
  <c r="H17" i="39"/>
  <c r="U17" i="39" s="1"/>
  <c r="J17" i="39"/>
  <c r="W17"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AC30" i="36"/>
  <c r="F37" i="39"/>
  <c r="S37" i="39" s="1"/>
  <c r="H37" i="39"/>
  <c r="U37" i="39" s="1"/>
  <c r="J37" i="39"/>
  <c r="W37" i="39" s="1"/>
  <c r="BL568" i="3"/>
  <c r="BA568" i="3"/>
  <c r="AZ568" i="3"/>
  <c r="BA567" i="3"/>
  <c r="BL566" i="3"/>
  <c r="BL565" i="3"/>
  <c r="BA564" i="3"/>
  <c r="BA563" i="3"/>
  <c r="AZ563" i="3"/>
  <c r="BA552" i="3"/>
  <c r="BL547" i="3"/>
  <c r="AZ547" i="3" s="1"/>
  <c r="BA547" i="3"/>
  <c r="BL539" i="3"/>
  <c r="BA538" i="3"/>
  <c r="AZ538" i="3" s="1"/>
  <c r="BA537" i="3"/>
  <c r="BL536" i="3"/>
  <c r="AZ536" i="3"/>
  <c r="BA530" i="3"/>
  <c r="BL529" i="3"/>
  <c r="AZ529" i="3" s="1"/>
  <c r="BA529" i="3"/>
  <c r="BA527" i="3"/>
  <c r="BA525" i="3"/>
  <c r="BL523" i="3"/>
  <c r="AZ523" i="3" s="1"/>
  <c r="BA523" i="3"/>
  <c r="BL522" i="3"/>
  <c r="BA522" i="3"/>
  <c r="AZ522" i="3" s="1"/>
  <c r="BL521" i="3"/>
  <c r="AZ521" i="3"/>
  <c r="BA519" i="3"/>
  <c r="BA518" i="3"/>
  <c r="BL517" i="3"/>
  <c r="BA517" i="3"/>
  <c r="AZ517" i="3"/>
  <c r="BL515" i="3"/>
  <c r="AZ515" i="3" s="1"/>
  <c r="BA515" i="3"/>
  <c r="BA514" i="3"/>
  <c r="AZ514" i="3"/>
  <c r="BL513" i="3"/>
  <c r="AZ513" i="3" s="1"/>
  <c r="BA513" i="3"/>
  <c r="BA511" i="3"/>
  <c r="AZ511" i="3"/>
  <c r="BA510" i="3"/>
  <c r="AZ510" i="3"/>
  <c r="BL509" i="3"/>
  <c r="BL507" i="3"/>
  <c r="BA507" i="3"/>
  <c r="AZ507" i="3" s="1"/>
  <c r="BL506" i="3"/>
  <c r="BA506" i="3"/>
  <c r="AZ506" i="3"/>
  <c r="BL505" i="3"/>
  <c r="AZ505" i="3"/>
  <c r="BA504" i="3"/>
  <c r="AZ504" i="3" s="1"/>
  <c r="BA500" i="3"/>
  <c r="BL499" i="3"/>
  <c r="BA499" i="3"/>
  <c r="AZ499" i="3"/>
  <c r="BL498" i="3"/>
  <c r="BL497" i="3"/>
  <c r="BA497" i="3"/>
  <c r="BL496" i="3"/>
  <c r="AZ496" i="3" s="1"/>
  <c r="BA496" i="3"/>
  <c r="BA495" i="3"/>
  <c r="AZ495" i="3"/>
  <c r="BL494" i="3"/>
  <c r="BA494" i="3"/>
  <c r="AZ494" i="3"/>
  <c r="G494" i="3"/>
  <c r="BA491" i="3"/>
  <c r="BL490" i="3"/>
  <c r="BA490" i="3"/>
  <c r="AZ490" i="3" s="1"/>
  <c r="BL489" i="3"/>
  <c r="BA489" i="3"/>
  <c r="AZ489" i="3"/>
  <c r="BL487" i="3"/>
  <c r="BL486" i="3"/>
  <c r="BA486" i="3"/>
  <c r="AZ486" i="3" s="1"/>
  <c r="BA485" i="3"/>
  <c r="AZ485" i="3"/>
  <c r="BA483" i="3"/>
  <c r="AZ483" i="3"/>
  <c r="BA482" i="3"/>
  <c r="BL481" i="3"/>
  <c r="AZ481" i="3" s="1"/>
  <c r="BJ5" i="3"/>
  <c r="BA481" i="3"/>
  <c r="BL19" i="3"/>
  <c r="F36" i="44"/>
  <c r="F114" i="34"/>
  <c r="G114" i="34"/>
  <c r="H114" i="34" s="1"/>
  <c r="I114" i="34" s="1"/>
  <c r="J114" i="34" s="1"/>
  <c r="K114" i="34" s="1"/>
  <c r="L114" i="34" s="1"/>
  <c r="M114" i="34" s="1"/>
  <c r="H38" i="34"/>
  <c r="U38" i="34" s="1"/>
  <c r="H30" i="40"/>
  <c r="AB30" i="40" s="1"/>
  <c r="G100" i="40"/>
  <c r="J30" i="40" s="1"/>
  <c r="AC30" i="40" s="1"/>
  <c r="F38" i="40"/>
  <c r="AA38" i="40" s="1"/>
  <c r="AA36" i="34"/>
  <c r="AB33" i="21"/>
  <c r="AB10" i="21"/>
  <c r="U8" i="21"/>
  <c r="AB8" i="21"/>
  <c r="AC36" i="21"/>
  <c r="AB8" i="33"/>
  <c r="U8" i="33"/>
  <c r="E106" i="33"/>
  <c r="H34" i="33"/>
  <c r="U34" i="33" s="1"/>
  <c r="F34" i="33"/>
  <c r="S34" i="33" s="1"/>
  <c r="E121" i="33"/>
  <c r="F121" i="33" s="1"/>
  <c r="G121" i="33" s="1"/>
  <c r="H121" i="33" s="1"/>
  <c r="I121" i="33" s="1"/>
  <c r="J121" i="33" s="1"/>
  <c r="K121" i="33" s="1"/>
  <c r="L121" i="33" s="1"/>
  <c r="M121" i="33" s="1"/>
  <c r="F41" i="33"/>
  <c r="S41" i="33" s="1"/>
  <c r="AA39" i="34"/>
  <c r="E78" i="34"/>
  <c r="F78" i="34" s="1"/>
  <c r="G78"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F23" i="39"/>
  <c r="AA23" i="39" s="1"/>
  <c r="E97" i="39"/>
  <c r="H27" i="39"/>
  <c r="AB27" i="39" s="1"/>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H45" i="39"/>
  <c r="U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23" i="3"/>
  <c r="AZ247" i="3"/>
  <c r="AZ255" i="3"/>
  <c r="AZ273" i="3"/>
  <c r="AZ281" i="3"/>
  <c r="AZ284" i="3"/>
  <c r="AZ289" i="3"/>
  <c r="AZ121" i="3"/>
  <c r="AZ124" i="3"/>
  <c r="AZ137" i="3"/>
  <c r="AZ152" i="3"/>
  <c r="M7" i="46"/>
  <c r="M11" i="46"/>
  <c r="N3" i="46"/>
  <c r="N6" i="46"/>
  <c r="N10" i="46"/>
  <c r="AZ164" i="3"/>
  <c r="AZ167" i="3"/>
  <c r="AZ177" i="3"/>
  <c r="AZ180" i="3"/>
  <c r="AZ32" i="3"/>
  <c r="AZ40" i="3"/>
  <c r="AZ48" i="3"/>
  <c r="AZ71" i="3"/>
  <c r="AZ107" i="3"/>
  <c r="H47" i="46"/>
  <c r="J13" i="40"/>
  <c r="W13" i="40" s="1"/>
  <c r="F34" i="44"/>
  <c r="F66" i="9"/>
  <c r="P72" i="9" s="1"/>
  <c r="F71" i="9"/>
  <c r="F72" i="9"/>
  <c r="AC14" i="40"/>
  <c r="W35" i="40"/>
  <c r="S33" i="40"/>
  <c r="AB32" i="40"/>
  <c r="S47" i="39"/>
  <c r="W41" i="40"/>
  <c r="J23" i="40"/>
  <c r="AC23" i="40" s="1"/>
  <c r="F23" i="40"/>
  <c r="S23" i="40" s="1"/>
  <c r="W14" i="39"/>
  <c r="U23" i="35"/>
  <c r="H20" i="35"/>
  <c r="F20" i="35"/>
  <c r="S20" i="35" s="1"/>
  <c r="H15" i="34"/>
  <c r="AB15" i="34" s="1"/>
  <c r="J15" i="34"/>
  <c r="AC15" i="34" s="1"/>
  <c r="H41" i="33"/>
  <c r="U41" i="33" s="1"/>
  <c r="F30" i="40"/>
  <c r="AA30" i="40" s="1"/>
  <c r="H100" i="40"/>
  <c r="I100" i="40" s="1"/>
  <c r="J100" i="40" s="1"/>
  <c r="K100" i="40" s="1"/>
  <c r="L100" i="40" s="1"/>
  <c r="M100" i="40" s="1"/>
  <c r="AB38" i="34"/>
  <c r="AZ497" i="3"/>
  <c r="AZ530" i="3"/>
  <c r="AA29" i="35"/>
  <c r="U39" i="39"/>
  <c r="J29" i="39"/>
  <c r="AC29" i="39" s="1"/>
  <c r="AB17" i="39"/>
  <c r="AB33" i="36"/>
  <c r="AA11" i="36"/>
  <c r="AA14" i="35"/>
  <c r="S14" i="35"/>
  <c r="G99" i="37"/>
  <c r="F33" i="37" s="1"/>
  <c r="AB19" i="39"/>
  <c r="U19" i="39"/>
  <c r="AA14" i="34"/>
  <c r="W12" i="34"/>
  <c r="AA11" i="34"/>
  <c r="W32" i="33"/>
  <c r="H15" i="33"/>
  <c r="U15" i="33" s="1"/>
  <c r="AA11" i="33"/>
  <c r="AA40" i="21"/>
  <c r="U17" i="21"/>
  <c r="U16" i="40"/>
  <c r="W34" i="40"/>
  <c r="AB42" i="40"/>
  <c r="U42" i="40"/>
  <c r="W32" i="40"/>
  <c r="H25" i="40"/>
  <c r="AB25" i="40" s="1"/>
  <c r="F94" i="40"/>
  <c r="G94" i="40" s="1"/>
  <c r="J37" i="34"/>
  <c r="AC37" i="34" s="1"/>
  <c r="J36" i="33"/>
  <c r="W36" i="33" s="1"/>
  <c r="S41" i="40"/>
  <c r="H23" i="39"/>
  <c r="AB23" i="39" s="1"/>
  <c r="J23" i="39"/>
  <c r="AC23" i="39" s="1"/>
  <c r="F97" i="39"/>
  <c r="G97" i="39"/>
  <c r="S16" i="39"/>
  <c r="AA41" i="33"/>
  <c r="AA34" i="33"/>
  <c r="F106" i="33"/>
  <c r="G106" i="33"/>
  <c r="H106" i="33" s="1"/>
  <c r="I106" i="33" s="1"/>
  <c r="J106" i="33" s="1"/>
  <c r="K106" i="33" s="1"/>
  <c r="L106" i="33" s="1"/>
  <c r="M106" i="33" s="1"/>
  <c r="J34" i="33"/>
  <c r="AC34" i="33" s="1"/>
  <c r="U30" i="40"/>
  <c r="AC39" i="39"/>
  <c r="W39" i="39"/>
  <c r="AA39" i="39"/>
  <c r="S39" i="39"/>
  <c r="AB46" i="39"/>
  <c r="S17" i="39"/>
  <c r="F90" i="34"/>
  <c r="G90" i="34" s="1"/>
  <c r="H90" i="34" s="1"/>
  <c r="I90" i="34" s="1"/>
  <c r="J90" i="34" s="1"/>
  <c r="K90" i="34" s="1"/>
  <c r="L90" i="34" s="1"/>
  <c r="M90" i="34" s="1"/>
  <c r="AA43" i="39"/>
  <c r="G96" i="37"/>
  <c r="H96" i="37"/>
  <c r="I96" i="37" s="1"/>
  <c r="J96" i="37" s="1"/>
  <c r="K96" i="37" s="1"/>
  <c r="L96" i="37" s="1"/>
  <c r="M96" i="37" s="1"/>
  <c r="F32" i="37"/>
  <c r="S32" i="37" s="1"/>
  <c r="U11" i="35"/>
  <c r="AB11" i="35"/>
  <c r="U32" i="34"/>
  <c r="U14" i="34"/>
  <c r="AB13" i="33"/>
  <c r="G80" i="34"/>
  <c r="F17" i="34"/>
  <c r="AA17" i="34" s="1"/>
  <c r="J17" i="34"/>
  <c r="AC17" i="34" s="1"/>
  <c r="H11" i="34"/>
  <c r="AB11" i="34" s="1"/>
  <c r="J35" i="33"/>
  <c r="W35" i="33" s="1"/>
  <c r="AC15" i="33"/>
  <c r="H11" i="33"/>
  <c r="U11" i="33" s="1"/>
  <c r="H10" i="33"/>
  <c r="U10" i="33" s="1"/>
  <c r="J10" i="33"/>
  <c r="AC10" i="33" s="1"/>
  <c r="U40" i="21"/>
  <c r="U11" i="37"/>
  <c r="AC16" i="35"/>
  <c r="AC13" i="40"/>
  <c r="J11" i="34"/>
  <c r="W11" i="34" s="1"/>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M7" i="1" s="1"/>
  <c r="O7" i="1" s="1"/>
  <c r="P7" i="1" s="1"/>
  <c r="C20" i="43"/>
  <c r="E2" i="65"/>
  <c r="S23" i="39" l="1"/>
  <c r="F15" i="34"/>
  <c r="S15" i="34" s="1"/>
  <c r="U34" i="39"/>
  <c r="S45" i="34"/>
  <c r="AB45" i="34"/>
  <c r="S43" i="34"/>
  <c r="H19" i="34"/>
  <c r="AB19" i="34" s="1"/>
  <c r="J19" i="34"/>
  <c r="AC19" i="34" s="1"/>
  <c r="F19" i="34"/>
  <c r="AA19" i="34" s="1"/>
  <c r="U17" i="34"/>
  <c r="W15" i="34"/>
  <c r="AB37" i="34"/>
  <c r="W34" i="34"/>
  <c r="F8" i="1"/>
  <c r="AZ572" i="3"/>
  <c r="AZ553" i="3"/>
  <c r="AZ549" i="3"/>
  <c r="AZ534" i="3"/>
  <c r="AZ532" i="3"/>
  <c r="U10" i="35"/>
  <c r="AB10" i="35"/>
  <c r="BL570" i="3"/>
  <c r="J27" i="21"/>
  <c r="W27" i="21" s="1"/>
  <c r="F27" i="21"/>
  <c r="AA27" i="21" s="1"/>
  <c r="B70" i="46"/>
  <c r="C23" i="39"/>
  <c r="AA34" i="34"/>
  <c r="S34" i="34"/>
  <c r="W14" i="35"/>
  <c r="S33" i="39"/>
  <c r="U27" i="39"/>
  <c r="U41" i="40"/>
  <c r="W40" i="40"/>
  <c r="F45" i="39"/>
  <c r="AA45" i="39" s="1"/>
  <c r="F27" i="39"/>
  <c r="AA27" i="39" s="1"/>
  <c r="AC28" i="33"/>
  <c r="AA25" i="35"/>
  <c r="S25" i="35"/>
  <c r="AC37" i="37"/>
  <c r="W37" i="37"/>
  <c r="H31" i="21"/>
  <c r="H27" i="21"/>
  <c r="AB27" i="21" s="1"/>
  <c r="AA28" i="33"/>
  <c r="S28" i="33"/>
  <c r="W36" i="34"/>
  <c r="AB38" i="21"/>
  <c r="U38" i="21"/>
  <c r="BG5" i="3"/>
  <c r="J12" i="21"/>
  <c r="H12" i="21"/>
  <c r="H28" i="21"/>
  <c r="F28" i="21"/>
  <c r="AB33" i="33"/>
  <c r="U33" i="33"/>
  <c r="AC40" i="33"/>
  <c r="W40" i="33"/>
  <c r="S28" i="34"/>
  <c r="AA28" i="34"/>
  <c r="W8" i="35"/>
  <c r="AC8" i="35"/>
  <c r="S12" i="33"/>
  <c r="AA12" i="33"/>
  <c r="H36" i="35"/>
  <c r="J36" i="35"/>
  <c r="U8" i="36"/>
  <c r="AB8" i="36"/>
  <c r="W31" i="36"/>
  <c r="AC31" i="36"/>
  <c r="BA562" i="3"/>
  <c r="AZ562" i="3" s="1"/>
  <c r="BA561" i="3"/>
  <c r="AZ561" i="3" s="1"/>
  <c r="BL557" i="3"/>
  <c r="BA554" i="3"/>
  <c r="AZ554" i="3" s="1"/>
  <c r="BL553" i="3"/>
  <c r="BL552" i="3"/>
  <c r="AZ552" i="3" s="1"/>
  <c r="BA545" i="3"/>
  <c r="AZ545" i="3" s="1"/>
  <c r="BL544" i="3"/>
  <c r="BA544" i="3"/>
  <c r="BL543" i="3"/>
  <c r="AZ543" i="3" s="1"/>
  <c r="BA535" i="3"/>
  <c r="AZ535" i="3" s="1"/>
  <c r="BL533" i="3"/>
  <c r="BL532" i="3"/>
  <c r="BA531" i="3"/>
  <c r="AZ531" i="3" s="1"/>
  <c r="BA488" i="3"/>
  <c r="AZ488" i="3" s="1"/>
  <c r="BA487" i="3"/>
  <c r="AZ487" i="3" s="1"/>
  <c r="AZ551" i="3"/>
  <c r="H5" i="3"/>
  <c r="G13" i="3"/>
  <c r="S17" i="34"/>
  <c r="S32" i="33"/>
  <c r="AC14" i="34"/>
  <c r="J15" i="40"/>
  <c r="BB5" i="3"/>
  <c r="AC30" i="34"/>
  <c r="AB14" i="40"/>
  <c r="F29" i="33"/>
  <c r="AA29" i="33" s="1"/>
  <c r="AC5" i="3"/>
  <c r="AZ304" i="3"/>
  <c r="AZ307" i="3"/>
  <c r="AZ327" i="3"/>
  <c r="AA23" i="37"/>
  <c r="AZ502" i="3"/>
  <c r="AZ541" i="3"/>
  <c r="AZ557" i="3"/>
  <c r="W27" i="37"/>
  <c r="AC27" i="37"/>
  <c r="AB31" i="34"/>
  <c r="U31" i="34"/>
  <c r="W13" i="36"/>
  <c r="AC13" i="36"/>
  <c r="J29" i="33"/>
  <c r="U44" i="21"/>
  <c r="AB44" i="21"/>
  <c r="W28" i="34"/>
  <c r="AC28" i="34"/>
  <c r="AA37" i="34"/>
  <c r="S37" i="34"/>
  <c r="U43" i="34"/>
  <c r="AB43" i="34"/>
  <c r="W9" i="34"/>
  <c r="W22" i="36"/>
  <c r="AB19" i="21"/>
  <c r="U19" i="21"/>
  <c r="AA33" i="21"/>
  <c r="S33" i="21"/>
  <c r="BA570" i="3"/>
  <c r="H27" i="33"/>
  <c r="F27" i="33"/>
  <c r="U8" i="34"/>
  <c r="AB8" i="34"/>
  <c r="H9" i="34"/>
  <c r="F9" i="34"/>
  <c r="AA9" i="34" s="1"/>
  <c r="AA9" i="35"/>
  <c r="S9" i="35"/>
  <c r="AA31" i="33"/>
  <c r="S31" i="33"/>
  <c r="AC25" i="35"/>
  <c r="W25" i="35"/>
  <c r="W24" i="36"/>
  <c r="AC24" i="36"/>
  <c r="J26" i="37"/>
  <c r="H26" i="37"/>
  <c r="AB26" i="37" s="1"/>
  <c r="F26" i="37"/>
  <c r="AA26" i="37" s="1"/>
  <c r="AC39" i="37"/>
  <c r="W39" i="37"/>
  <c r="BL567" i="3"/>
  <c r="AZ567" i="3" s="1"/>
  <c r="BL560" i="3"/>
  <c r="BA560" i="3"/>
  <c r="AZ560" i="3" s="1"/>
  <c r="BL559" i="3"/>
  <c r="AZ559" i="3" s="1"/>
  <c r="BA539" i="3"/>
  <c r="AZ539" i="3" s="1"/>
  <c r="BL537" i="3"/>
  <c r="AZ537" i="3" s="1"/>
  <c r="BA526" i="3"/>
  <c r="BA524" i="3"/>
  <c r="AZ524" i="3" s="1"/>
  <c r="BL520" i="3"/>
  <c r="AZ520" i="3" s="1"/>
  <c r="BL519" i="3"/>
  <c r="AZ519" i="3" s="1"/>
  <c r="BL482" i="3"/>
  <c r="AZ482" i="3" s="1"/>
  <c r="BA19" i="3"/>
  <c r="AZ546" i="3"/>
  <c r="AB43" i="21"/>
  <c r="U43" i="21"/>
  <c r="W8" i="33"/>
  <c r="AC8" i="33"/>
  <c r="AC31" i="34"/>
  <c r="W31" i="34"/>
  <c r="BE5" i="3"/>
  <c r="AA30" i="33"/>
  <c r="W29" i="35"/>
  <c r="AB23" i="40"/>
  <c r="W15" i="39"/>
  <c r="AB34" i="40"/>
  <c r="AC13" i="33"/>
  <c r="AB16" i="39"/>
  <c r="F32" i="70"/>
  <c r="F59" i="70" s="1"/>
  <c r="F28" i="71"/>
  <c r="C28" i="71" s="1"/>
  <c r="F28" i="70"/>
  <c r="C28" i="70" s="1"/>
  <c r="F32" i="71"/>
  <c r="F59" i="71" s="1"/>
  <c r="M18" i="71"/>
  <c r="M18" i="70"/>
  <c r="F25" i="39"/>
  <c r="AA25" i="39" s="1"/>
  <c r="AZ564" i="3"/>
  <c r="F27" i="34"/>
  <c r="S27" i="34" s="1"/>
  <c r="AB44" i="39"/>
  <c r="AA37" i="39"/>
  <c r="U47" i="39"/>
  <c r="AC16" i="40"/>
  <c r="U29" i="33"/>
  <c r="U46" i="34"/>
  <c r="AB37" i="39"/>
  <c r="AC47" i="39"/>
  <c r="F27" i="43"/>
  <c r="J25" i="39"/>
  <c r="AC25" i="39" s="1"/>
  <c r="J27" i="39"/>
  <c r="AC27" i="39" s="1"/>
  <c r="S34" i="21"/>
  <c r="S35" i="21"/>
  <c r="H27" i="34"/>
  <c r="AB27" i="34" s="1"/>
  <c r="U40" i="33"/>
  <c r="W27" i="33"/>
  <c r="U25" i="35"/>
  <c r="AZ146" i="3"/>
  <c r="AZ343" i="3"/>
  <c r="AA39" i="33"/>
  <c r="S39" i="33"/>
  <c r="AZ542" i="3"/>
  <c r="AZ508" i="3"/>
  <c r="AB30" i="21"/>
  <c r="AC44" i="33"/>
  <c r="W44" i="33"/>
  <c r="W45" i="33"/>
  <c r="AC45" i="33"/>
  <c r="J44" i="21"/>
  <c r="AC44" i="21" s="1"/>
  <c r="J28" i="21"/>
  <c r="AC28" i="21" s="1"/>
  <c r="AB29" i="35"/>
  <c r="U29" i="35"/>
  <c r="AA24" i="36"/>
  <c r="S24" i="36"/>
  <c r="U38" i="33"/>
  <c r="BI5" i="3"/>
  <c r="J9" i="33"/>
  <c r="H9" i="33"/>
  <c r="AC8" i="34"/>
  <c r="W8" i="34"/>
  <c r="U44" i="33"/>
  <c r="AB44" i="33"/>
  <c r="H12" i="34"/>
  <c r="F12" i="34"/>
  <c r="S12" i="34" s="1"/>
  <c r="F46" i="34"/>
  <c r="J46" i="34"/>
  <c r="AC46" i="34" s="1"/>
  <c r="AB34" i="35"/>
  <c r="U34" i="35"/>
  <c r="J17" i="40"/>
  <c r="F86" i="40"/>
  <c r="G86" i="40" s="1"/>
  <c r="AC38" i="34"/>
  <c r="W38" i="34"/>
  <c r="AB34" i="37"/>
  <c r="U34" i="37"/>
  <c r="BL564" i="3"/>
  <c r="BA540" i="3"/>
  <c r="AZ540" i="3" s="1"/>
  <c r="BL528" i="3"/>
  <c r="BA528" i="3"/>
  <c r="BL527" i="3"/>
  <c r="AZ527" i="3" s="1"/>
  <c r="BL526" i="3"/>
  <c r="BL516" i="3"/>
  <c r="AZ516" i="3" s="1"/>
  <c r="BL500" i="3"/>
  <c r="AZ500" i="3" s="1"/>
  <c r="BL492" i="3"/>
  <c r="AZ492" i="3" s="1"/>
  <c r="BL491" i="3"/>
  <c r="AZ491" i="3" s="1"/>
  <c r="AZ19" i="3"/>
  <c r="U14" i="21"/>
  <c r="AB14" i="21"/>
  <c r="U16" i="35"/>
  <c r="AB16" i="35"/>
  <c r="AA33" i="33"/>
  <c r="S33" i="33"/>
  <c r="W30" i="37"/>
  <c r="AC30" i="37"/>
  <c r="BA550" i="3"/>
  <c r="AZ550" i="3" s="1"/>
  <c r="BA548" i="3"/>
  <c r="AZ548" i="3" s="1"/>
  <c r="BA533" i="3"/>
  <c r="AZ533" i="3" s="1"/>
  <c r="G559" i="3"/>
  <c r="G548" i="3"/>
  <c r="G547" i="3"/>
  <c r="G519" i="3"/>
  <c r="G505" i="3"/>
  <c r="G486" i="3"/>
  <c r="F34" i="15"/>
  <c r="F61" i="15" s="1"/>
  <c r="M20" i="71"/>
  <c r="M20" i="70"/>
  <c r="F34" i="71"/>
  <c r="F34" i="70"/>
  <c r="H11" i="36"/>
  <c r="AB27" i="37"/>
  <c r="BL20" i="3"/>
  <c r="AZ20" i="3" s="1"/>
  <c r="AB45" i="33"/>
  <c r="J47" i="34"/>
  <c r="AC47" i="34" s="1"/>
  <c r="F13" i="34"/>
  <c r="AA13" i="34" s="1"/>
  <c r="U29" i="36"/>
  <c r="H39" i="37"/>
  <c r="W23" i="36"/>
  <c r="F34" i="35"/>
  <c r="E124" i="39"/>
  <c r="F124" i="39" s="1"/>
  <c r="G124" i="39" s="1"/>
  <c r="H124" i="39" s="1"/>
  <c r="I124" i="39" s="1"/>
  <c r="J124" i="39" s="1"/>
  <c r="K124" i="39" s="1"/>
  <c r="L124" i="39" s="1"/>
  <c r="M124" i="39" s="1"/>
  <c r="J42" i="39"/>
  <c r="AC42" i="39" s="1"/>
  <c r="F42" i="39"/>
  <c r="H42" i="39"/>
  <c r="AB42" i="39" s="1"/>
  <c r="G524" i="3"/>
  <c r="G489" i="3"/>
  <c r="AZ392" i="3"/>
  <c r="AZ412" i="3"/>
  <c r="AZ424" i="3"/>
  <c r="AZ432" i="3"/>
  <c r="AZ386" i="3"/>
  <c r="J19" i="39"/>
  <c r="W19" i="39" s="1"/>
  <c r="U22" i="36"/>
  <c r="AB41" i="21"/>
  <c r="AZ413" i="3"/>
  <c r="AZ447" i="3"/>
  <c r="AZ318" i="3"/>
  <c r="AZ350" i="3"/>
  <c r="AZ387" i="3"/>
  <c r="AZ400" i="3"/>
  <c r="AZ406" i="3"/>
  <c r="AZ464" i="3"/>
  <c r="AZ472" i="3"/>
  <c r="AZ480" i="3"/>
  <c r="AZ368" i="3"/>
  <c r="AZ211" i="3"/>
  <c r="AZ89" i="3"/>
  <c r="AZ219" i="3"/>
  <c r="AZ224" i="3"/>
  <c r="AZ251" i="3"/>
  <c r="AZ256" i="3"/>
  <c r="AZ291" i="3"/>
  <c r="AZ113" i="3"/>
  <c r="AZ125" i="3"/>
  <c r="AZ145" i="3"/>
  <c r="C92" i="9"/>
  <c r="C18" i="9"/>
  <c r="G17" i="46"/>
  <c r="BL209" i="3"/>
  <c r="AZ209" i="3" s="1"/>
  <c r="BA215" i="3"/>
  <c r="AZ215" i="3" s="1"/>
  <c r="BA220" i="3"/>
  <c r="AZ220" i="3" s="1"/>
  <c r="AZ222" i="3"/>
  <c r="BA225" i="3"/>
  <c r="AZ225" i="3" s="1"/>
  <c r="BA226" i="3"/>
  <c r="AZ226" i="3" s="1"/>
  <c r="AZ227" i="3"/>
  <c r="BA231" i="3"/>
  <c r="AZ231" i="3" s="1"/>
  <c r="AZ232" i="3"/>
  <c r="BL236" i="3"/>
  <c r="AZ236" i="3" s="1"/>
  <c r="G237" i="3"/>
  <c r="BL238" i="3"/>
  <c r="AZ238" i="3" s="1"/>
  <c r="BL241" i="3"/>
  <c r="AZ241" i="3" s="1"/>
  <c r="G242" i="3"/>
  <c r="BA252" i="3"/>
  <c r="AZ252" i="3" s="1"/>
  <c r="AZ254" i="3"/>
  <c r="BA257" i="3"/>
  <c r="AZ257" i="3" s="1"/>
  <c r="AZ259" i="3"/>
  <c r="BL260" i="3"/>
  <c r="AZ264" i="3"/>
  <c r="BL265" i="3"/>
  <c r="G269" i="3"/>
  <c r="BL270" i="3"/>
  <c r="AZ270" i="3" s="1"/>
  <c r="BL271" i="3"/>
  <c r="AZ275" i="3"/>
  <c r="BL276" i="3"/>
  <c r="BA279" i="3"/>
  <c r="AZ279" i="3" s="1"/>
  <c r="G285" i="3"/>
  <c r="G288" i="3"/>
  <c r="BA292" i="3"/>
  <c r="AZ292" i="3" s="1"/>
  <c r="AZ116" i="3"/>
  <c r="BA119" i="3"/>
  <c r="AZ119" i="3" s="1"/>
  <c r="BA129" i="3"/>
  <c r="AZ129" i="3" s="1"/>
  <c r="AZ133" i="3"/>
  <c r="A14" i="55"/>
  <c r="B65" i="63" s="1"/>
  <c r="A2" i="55"/>
  <c r="B55" i="63" s="1"/>
  <c r="A11" i="55"/>
  <c r="B62" i="63" s="1"/>
  <c r="G208" i="3"/>
  <c r="BL212" i="3"/>
  <c r="AZ212" i="3" s="1"/>
  <c r="BL217" i="3"/>
  <c r="AZ217" i="3" s="1"/>
  <c r="G218" i="3"/>
  <c r="BA228" i="3"/>
  <c r="AZ228" i="3" s="1"/>
  <c r="AZ230" i="3"/>
  <c r="BA233" i="3"/>
  <c r="AZ233" i="3" s="1"/>
  <c r="BA234" i="3"/>
  <c r="AZ234" i="3" s="1"/>
  <c r="BA239" i="3"/>
  <c r="AZ239" i="3" s="1"/>
  <c r="BL244" i="3"/>
  <c r="AZ244" i="3" s="1"/>
  <c r="G245" i="3"/>
  <c r="BL246" i="3"/>
  <c r="AZ246" i="3" s="1"/>
  <c r="BL249" i="3"/>
  <c r="AZ249" i="3" s="1"/>
  <c r="G250" i="3"/>
  <c r="BA258" i="3"/>
  <c r="AZ258" i="3" s="1"/>
  <c r="BA260" i="3"/>
  <c r="AZ262" i="3"/>
  <c r="BA263" i="3"/>
  <c r="AZ263" i="3" s="1"/>
  <c r="BA265" i="3"/>
  <c r="AZ265" i="3" s="1"/>
  <c r="BL268" i="3"/>
  <c r="AZ268" i="3" s="1"/>
  <c r="BA271" i="3"/>
  <c r="BA274" i="3"/>
  <c r="AZ274" i="3" s="1"/>
  <c r="BA276" i="3"/>
  <c r="AZ276" i="3" s="1"/>
  <c r="BL286" i="3"/>
  <c r="AZ286" i="3" s="1"/>
  <c r="BL120" i="3"/>
  <c r="AZ120" i="3" s="1"/>
  <c r="G123" i="3"/>
  <c r="BL125" i="3"/>
  <c r="AZ128" i="3"/>
  <c r="BL130" i="3"/>
  <c r="AZ130" i="3" s="1"/>
  <c r="BA132" i="3"/>
  <c r="AZ132" i="3" s="1"/>
  <c r="AZ156" i="3"/>
  <c r="AZ136" i="3"/>
  <c r="AZ149" i="3"/>
  <c r="AZ176" i="3"/>
  <c r="AZ190" i="3"/>
  <c r="AZ204" i="3"/>
  <c r="G133" i="3"/>
  <c r="BA135" i="3"/>
  <c r="AZ135" i="3" s="1"/>
  <c r="BA140" i="3"/>
  <c r="AZ140" i="3" s="1"/>
  <c r="BL146" i="3"/>
  <c r="BA151" i="3"/>
  <c r="AZ151" i="3" s="1"/>
  <c r="BL157" i="3"/>
  <c r="AZ157" i="3" s="1"/>
  <c r="BA160" i="3"/>
  <c r="AZ160" i="3" s="1"/>
  <c r="AZ186" i="3"/>
  <c r="AZ202" i="3"/>
  <c r="AZ29" i="3"/>
  <c r="AZ33" i="3"/>
  <c r="BA139" i="3"/>
  <c r="AZ139" i="3" s="1"/>
  <c r="BA143" i="3"/>
  <c r="AZ143" i="3" s="1"/>
  <c r="BA154" i="3"/>
  <c r="AZ154" i="3" s="1"/>
  <c r="AZ159" i="3"/>
  <c r="BL161" i="3"/>
  <c r="AZ161" i="3" s="1"/>
  <c r="BA163" i="3"/>
  <c r="AZ163" i="3" s="1"/>
  <c r="AZ100" i="3"/>
  <c r="D22" i="15"/>
  <c r="D23" i="15"/>
  <c r="G23" i="3"/>
  <c r="BA25" i="3"/>
  <c r="AZ25" i="3" s="1"/>
  <c r="G28" i="3"/>
  <c r="BL30" i="3"/>
  <c r="BA34" i="3"/>
  <c r="AZ34" i="3" s="1"/>
  <c r="BA36" i="3"/>
  <c r="AZ36" i="3" s="1"/>
  <c r="G43" i="3"/>
  <c r="AZ49" i="3"/>
  <c r="AZ52" i="3"/>
  <c r="BA54" i="3"/>
  <c r="BA56" i="3"/>
  <c r="AZ56" i="3" s="1"/>
  <c r="AZ58" i="3"/>
  <c r="BL62" i="3"/>
  <c r="BL65" i="3"/>
  <c r="AZ65" i="3" s="1"/>
  <c r="BL68" i="3"/>
  <c r="AZ68" i="3" s="1"/>
  <c r="G75" i="3"/>
  <c r="BL79" i="3"/>
  <c r="AZ79" i="3" s="1"/>
  <c r="BA83" i="3"/>
  <c r="AZ83" i="3" s="1"/>
  <c r="BA94" i="3"/>
  <c r="AZ94" i="3" s="1"/>
  <c r="AZ96" i="3"/>
  <c r="G104" i="3"/>
  <c r="G110" i="3"/>
  <c r="BL111" i="3"/>
  <c r="N86" i="46"/>
  <c r="BA22" i="3"/>
  <c r="AZ22" i="3" s="1"/>
  <c r="AZ30" i="3"/>
  <c r="AZ45" i="3"/>
  <c r="BA46" i="3"/>
  <c r="AZ46" i="3" s="1"/>
  <c r="AZ50" i="3"/>
  <c r="AZ53" i="3"/>
  <c r="BA60" i="3"/>
  <c r="AZ60" i="3" s="1"/>
  <c r="BA63" i="3"/>
  <c r="AZ63" i="3" s="1"/>
  <c r="BA66" i="3"/>
  <c r="AZ66" i="3" s="1"/>
  <c r="AZ69" i="3"/>
  <c r="BA72" i="3"/>
  <c r="AZ72" i="3" s="1"/>
  <c r="AZ80" i="3"/>
  <c r="BA81" i="3"/>
  <c r="AZ81" i="3" s="1"/>
  <c r="BL89" i="3"/>
  <c r="BL91" i="3"/>
  <c r="AZ91" i="3" s="1"/>
  <c r="AZ97" i="3"/>
  <c r="BL100" i="3"/>
  <c r="BL106" i="3"/>
  <c r="AZ106" i="3" s="1"/>
  <c r="BA112" i="3"/>
  <c r="AZ112" i="3" s="1"/>
  <c r="B13" i="1"/>
  <c r="E13" i="1" s="1"/>
  <c r="K13" i="1"/>
  <c r="M13" i="1" s="1"/>
  <c r="K108" i="46"/>
  <c r="K100" i="46"/>
  <c r="BL24" i="3"/>
  <c r="AZ24" i="3" s="1"/>
  <c r="BA27" i="3"/>
  <c r="AZ27" i="3" s="1"/>
  <c r="BL33" i="3"/>
  <c r="BL35" i="3"/>
  <c r="AZ35" i="3" s="1"/>
  <c r="G37" i="3"/>
  <c r="BL39" i="3"/>
  <c r="AZ39" i="3" s="1"/>
  <c r="BA42" i="3"/>
  <c r="AZ42" i="3" s="1"/>
  <c r="AZ44" i="3"/>
  <c r="BL54" i="3"/>
  <c r="G55" i="3"/>
  <c r="BL56" i="3"/>
  <c r="G57" i="3"/>
  <c r="AZ62" i="3"/>
  <c r="BA74" i="3"/>
  <c r="AZ74" i="3" s="1"/>
  <c r="BA75" i="3"/>
  <c r="AZ75" i="3" s="1"/>
  <c r="AZ76" i="3"/>
  <c r="BA78" i="3"/>
  <c r="AZ78" i="3" s="1"/>
  <c r="G84" i="3"/>
  <c r="BL85" i="3"/>
  <c r="AZ85" i="3" s="1"/>
  <c r="BL88" i="3"/>
  <c r="AZ88" i="3" s="1"/>
  <c r="BL94" i="3"/>
  <c r="G95" i="3"/>
  <c r="BL99" i="3"/>
  <c r="AZ99" i="3" s="1"/>
  <c r="BA103" i="3"/>
  <c r="AZ103" i="3" s="1"/>
  <c r="BA104" i="3"/>
  <c r="AZ104" i="3" s="1"/>
  <c r="AZ105" i="3"/>
  <c r="BA109" i="3"/>
  <c r="AZ109" i="3" s="1"/>
  <c r="AZ111" i="3"/>
  <c r="G1" i="71"/>
  <c r="G1" i="70"/>
  <c r="D100" i="46"/>
  <c r="BA21" i="3"/>
  <c r="AZ21" i="3" s="1"/>
  <c r="A30" i="64"/>
  <c r="A30" i="51"/>
  <c r="W27" i="39"/>
  <c r="AB25" i="39"/>
  <c r="W43" i="39"/>
  <c r="AC33" i="39"/>
  <c r="AB29" i="39"/>
  <c r="F95" i="39"/>
  <c r="G95" i="39" s="1"/>
  <c r="H21" i="39"/>
  <c r="F21" i="39"/>
  <c r="S21" i="39" s="1"/>
  <c r="J21" i="39"/>
  <c r="W21" i="39" s="1"/>
  <c r="AA19"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S29"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9" i="44"/>
  <c r="M30" i="44"/>
  <c r="F38" i="44"/>
  <c r="M26" i="15"/>
  <c r="J17" i="44"/>
  <c r="F9" i="44"/>
  <c r="M25" i="44"/>
  <c r="F40" i="15"/>
  <c r="M24" i="44"/>
  <c r="J15" i="15"/>
  <c r="M29" i="44"/>
  <c r="F43" i="44"/>
  <c r="M24" i="15"/>
  <c r="F8" i="15"/>
  <c r="F13" i="15"/>
  <c r="F39" i="44"/>
  <c r="F40" i="44"/>
  <c r="F43" i="15"/>
  <c r="F10" i="44"/>
  <c r="F9" i="15"/>
  <c r="M8" i="44"/>
  <c r="F45" i="44"/>
  <c r="L48" i="44"/>
  <c r="F26" i="15"/>
  <c r="L48" i="15"/>
  <c r="M26" i="44"/>
  <c r="M11" i="44"/>
  <c r="M31" i="44"/>
  <c r="F16" i="15"/>
  <c r="M28" i="44"/>
  <c r="F18" i="44"/>
  <c r="F8" i="44"/>
  <c r="M10" i="44"/>
  <c r="F28" i="44"/>
  <c r="J36" i="15"/>
  <c r="F37" i="15"/>
  <c r="F6" i="15"/>
  <c r="F11" i="44"/>
  <c r="F15" i="44"/>
  <c r="W19" i="34" l="1"/>
  <c r="AA15" i="34"/>
  <c r="S9" i="34"/>
  <c r="W25" i="39"/>
  <c r="AC19" i="39"/>
  <c r="AZ54" i="3"/>
  <c r="AB39" i="37"/>
  <c r="U39" i="37"/>
  <c r="F61" i="70"/>
  <c r="AA46" i="34"/>
  <c r="S46" i="34"/>
  <c r="AC9" i="33"/>
  <c r="W9" i="33"/>
  <c r="AZ526" i="3"/>
  <c r="S27" i="33"/>
  <c r="AA27" i="33"/>
  <c r="W15" i="40"/>
  <c r="AC15" i="40"/>
  <c r="U36" i="35"/>
  <c r="AB36" i="35"/>
  <c r="AB28" i="21"/>
  <c r="U28" i="21"/>
  <c r="AZ271" i="3"/>
  <c r="F61" i="71"/>
  <c r="AB9" i="34"/>
  <c r="U9" i="34"/>
  <c r="U27" i="33"/>
  <c r="AB27" i="33"/>
  <c r="W29" i="33"/>
  <c r="AC29" i="33"/>
  <c r="U12" i="21"/>
  <c r="AB12" i="21"/>
  <c r="BL5" i="3"/>
  <c r="AC23" i="21"/>
  <c r="AZ260" i="3"/>
  <c r="AA34" i="35"/>
  <c r="S34" i="35"/>
  <c r="AB12" i="34"/>
  <c r="U12" i="34"/>
  <c r="AZ570" i="3"/>
  <c r="AZ544" i="3"/>
  <c r="AC12" i="21"/>
  <c r="W12" i="21"/>
  <c r="U31" i="21"/>
  <c r="AB31" i="21"/>
  <c r="AA42" i="39"/>
  <c r="S42" i="39"/>
  <c r="AB11" i="36"/>
  <c r="U11" i="36"/>
  <c r="AZ528" i="3"/>
  <c r="AB9" i="33"/>
  <c r="U9" i="33"/>
  <c r="W26" i="37"/>
  <c r="AC26" i="37"/>
  <c r="AC36" i="35"/>
  <c r="W36" i="35"/>
  <c r="AA28" i="21"/>
  <c r="S28" i="21"/>
  <c r="F24" i="70"/>
  <c r="F24" i="71"/>
  <c r="C24" i="70"/>
  <c r="U21" i="39"/>
  <c r="AB21" i="39"/>
  <c r="AC21" i="39"/>
  <c r="C16" i="46"/>
  <c r="C5" i="46" s="1"/>
  <c r="T8" i="46" s="1"/>
  <c r="V8" i="46" s="1"/>
  <c r="G6" i="1"/>
  <c r="G16" i="1" s="1"/>
  <c r="J12" i="40"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J12" i="44"/>
  <c r="A9" i="64"/>
  <c r="A9" i="51"/>
  <c r="B9" i="63" s="1"/>
  <c r="T10" i="46"/>
  <c r="V10" i="46" s="1"/>
  <c r="T14" i="46"/>
  <c r="V14" i="46" s="1"/>
  <c r="T11" i="46"/>
  <c r="V11" i="46" s="1"/>
  <c r="T15" i="46"/>
  <c r="V15"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F33" i="44"/>
  <c r="M19" i="44"/>
  <c r="F58" i="15"/>
  <c r="F31" i="15"/>
  <c r="M17" i="15"/>
  <c r="L47" i="70"/>
  <c r="F9" i="71"/>
  <c r="M28" i="71"/>
  <c r="M23" i="70"/>
  <c r="M22" i="70"/>
  <c r="F38" i="15"/>
  <c r="M24" i="70"/>
  <c r="F13" i="71"/>
  <c r="M6" i="15"/>
  <c r="M22" i="71"/>
  <c r="M23" i="71"/>
  <c r="M26" i="70"/>
  <c r="M27" i="15"/>
  <c r="M24" i="71"/>
  <c r="F46" i="44"/>
  <c r="M28" i="70"/>
  <c r="J15" i="71"/>
  <c r="L47" i="71"/>
  <c r="M9" i="71"/>
  <c r="M8" i="15"/>
  <c r="M26" i="71"/>
  <c r="M27" i="71"/>
  <c r="L47" i="15"/>
  <c r="L48" i="70"/>
  <c r="M6" i="71"/>
  <c r="F13" i="70"/>
  <c r="M29" i="71"/>
  <c r="F8" i="70"/>
  <c r="F26" i="70"/>
  <c r="F16" i="70"/>
  <c r="F40" i="70"/>
  <c r="F6" i="70"/>
  <c r="F16" i="71"/>
  <c r="F37" i="71"/>
  <c r="F36" i="15"/>
  <c r="M6" i="70"/>
  <c r="F6" i="71"/>
  <c r="F9" i="70"/>
  <c r="F43" i="71"/>
  <c r="M22" i="15"/>
  <c r="F38" i="71"/>
  <c r="F8" i="71"/>
  <c r="F7" i="71"/>
  <c r="M9" i="15"/>
  <c r="M8" i="71"/>
  <c r="F7" i="15"/>
  <c r="AE8" i="1"/>
  <c r="F7" i="70"/>
  <c r="F36" i="70"/>
  <c r="J36" i="70"/>
  <c r="M8" i="70"/>
  <c r="M9" i="70"/>
  <c r="F40" i="71"/>
  <c r="J15" i="70"/>
  <c r="M29" i="70"/>
  <c r="F42" i="70"/>
  <c r="C16" i="15"/>
  <c r="C18" i="44"/>
  <c r="J36" i="71"/>
  <c r="M23" i="15"/>
  <c r="F36" i="71"/>
  <c r="M29" i="15"/>
  <c r="F42" i="71"/>
  <c r="F42" i="15"/>
  <c r="F26" i="71"/>
  <c r="L48" i="71"/>
  <c r="F38" i="70"/>
  <c r="M28" i="15"/>
  <c r="F43" i="70"/>
  <c r="F37" i="70"/>
  <c r="M7" i="15" l="1"/>
  <c r="F49" i="15"/>
  <c r="C6" i="15"/>
  <c r="C5" i="15" s="1"/>
  <c r="F63" i="15"/>
  <c r="I54" i="71"/>
  <c r="J57" i="71"/>
  <c r="J55" i="71" s="1"/>
  <c r="J58" i="71" s="1"/>
  <c r="Q51" i="71" s="1"/>
  <c r="J60" i="71"/>
  <c r="Q49" i="71" s="1"/>
  <c r="L56" i="71"/>
  <c r="J53" i="71"/>
  <c r="J59" i="71"/>
  <c r="F70" i="71"/>
  <c r="F63" i="70"/>
  <c r="F50" i="70"/>
  <c r="F50" i="71"/>
  <c r="F63" i="71"/>
  <c r="Q72" i="71"/>
  <c r="Q72" i="70"/>
  <c r="F67" i="70"/>
  <c r="J59" i="70"/>
  <c r="L56" i="70"/>
  <c r="I54" i="70"/>
  <c r="J57" i="70"/>
  <c r="J55" i="70" s="1"/>
  <c r="J58" i="70" s="1"/>
  <c r="Q51" i="70" s="1"/>
  <c r="J53" i="70"/>
  <c r="J60" i="70"/>
  <c r="Q49" i="70" s="1"/>
  <c r="F67" i="71"/>
  <c r="F64" i="71"/>
  <c r="L59" i="71"/>
  <c r="L58" i="71"/>
  <c r="C27" i="71"/>
  <c r="F65" i="15"/>
  <c r="F64" i="70"/>
  <c r="F70" i="70"/>
  <c r="M7" i="70"/>
  <c r="J6" i="70" s="1"/>
  <c r="J5" i="70" s="1"/>
  <c r="F49" i="70"/>
  <c r="L58" i="15"/>
  <c r="Q74" i="15" s="1"/>
  <c r="L59" i="15"/>
  <c r="Q75" i="15" s="1"/>
  <c r="C6" i="71"/>
  <c r="C10" i="71"/>
  <c r="F65" i="71"/>
  <c r="F49" i="71"/>
  <c r="M7" i="71"/>
  <c r="J6" i="71" s="1"/>
  <c r="J5" i="71" s="1"/>
  <c r="F65" i="70"/>
  <c r="C6" i="70"/>
  <c r="C10" i="70"/>
  <c r="C27" i="70"/>
  <c r="L59" i="70"/>
  <c r="L58" i="70"/>
  <c r="C24" i="71"/>
  <c r="K104" i="46"/>
  <c r="K105" i="46"/>
  <c r="F107" i="46"/>
  <c r="C105" i="46"/>
  <c r="J109" i="46"/>
  <c r="J105" i="46"/>
  <c r="K107" i="46"/>
  <c r="F103" i="46"/>
  <c r="F106" i="46"/>
  <c r="C107" i="46"/>
  <c r="C104" i="46"/>
  <c r="J107" i="46"/>
  <c r="C39" i="46"/>
  <c r="G39" i="46" s="1"/>
  <c r="I39" i="46" s="1"/>
  <c r="C38" i="46"/>
  <c r="G38" i="46" s="1"/>
  <c r="I38" i="46" s="1"/>
  <c r="T13" i="46"/>
  <c r="V13" i="46" s="1"/>
  <c r="T9" i="46"/>
  <c r="V9" i="46" s="1"/>
  <c r="T16" i="46"/>
  <c r="V16" i="46" s="1"/>
  <c r="T12" i="46"/>
  <c r="V12" i="46" s="1"/>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Q53" i="15"/>
  <c r="C48" i="15"/>
  <c r="C20" i="11"/>
  <c r="C21" i="11" s="1"/>
  <c r="C22" i="11" s="1"/>
  <c r="C23" i="11" s="1"/>
  <c r="B2" i="11" s="1"/>
  <c r="AC12" i="40"/>
  <c r="W12" i="40"/>
  <c r="E46" i="37"/>
  <c r="F46" i="37" s="1"/>
  <c r="C48" i="33"/>
  <c r="C49" i="33"/>
  <c r="B3" i="33" s="1"/>
  <c r="B2" i="33" s="1"/>
  <c r="L52" i="44"/>
  <c r="C16" i="71"/>
  <c r="M27" i="70"/>
  <c r="F41" i="15"/>
  <c r="C16" i="70"/>
  <c r="Q62" i="15" l="1"/>
  <c r="Q61" i="15"/>
  <c r="I53" i="34"/>
  <c r="J53" i="34" s="1"/>
  <c r="C5" i="71"/>
  <c r="C32" i="71" s="1"/>
  <c r="F68" i="15"/>
  <c r="J24" i="70"/>
  <c r="J18" i="70"/>
  <c r="J26" i="70"/>
  <c r="Q62" i="70"/>
  <c r="Q75" i="70"/>
  <c r="Q74" i="71"/>
  <c r="Q61" i="71"/>
  <c r="C48" i="70"/>
  <c r="C47" i="70" s="1"/>
  <c r="Q75" i="71"/>
  <c r="Q62" i="71"/>
  <c r="C5" i="70"/>
  <c r="J26" i="71"/>
  <c r="J24" i="71"/>
  <c r="J18" i="71"/>
  <c r="F1" i="70"/>
  <c r="Q53" i="70"/>
  <c r="Q53" i="71"/>
  <c r="F1" i="71"/>
  <c r="Q61" i="70"/>
  <c r="Q74" i="70"/>
  <c r="C48" i="71"/>
  <c r="C47" i="71" s="1"/>
  <c r="E38"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E7" i="67"/>
  <c r="C17" i="15"/>
  <c r="C17" i="71"/>
  <c r="AE7" i="1"/>
  <c r="C17" i="70"/>
  <c r="C19" i="44"/>
  <c r="F7" i="67"/>
  <c r="B2" i="34" l="1"/>
  <c r="C10" i="12" s="1"/>
  <c r="C8" i="12"/>
  <c r="C38" i="71"/>
  <c r="C59" i="71"/>
  <c r="C65" i="71"/>
  <c r="B3" i="11"/>
  <c r="C38" i="70"/>
  <c r="C32" i="70"/>
  <c r="C59" i="70"/>
  <c r="C65" i="70"/>
  <c r="E4" i="67"/>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I52" i="21"/>
  <c r="J52" i="21" s="1"/>
  <c r="E48" i="21"/>
  <c r="R49" i="21"/>
  <c r="G52" i="21"/>
  <c r="H52" i="21" s="1"/>
  <c r="G53" i="21"/>
  <c r="H53" i="21" s="1"/>
  <c r="G67" i="40"/>
  <c r="H65" i="40"/>
  <c r="G72" i="39"/>
  <c r="H70" i="39"/>
  <c r="F41" i="71"/>
  <c r="AE6" i="1"/>
  <c r="C14" i="71"/>
  <c r="B7" i="67"/>
  <c r="F53" i="34" l="1"/>
  <c r="F68" i="71"/>
  <c r="J29" i="71"/>
  <c r="C15" i="71"/>
  <c r="C18" i="71"/>
  <c r="F40" i="39"/>
  <c r="H40" i="39"/>
  <c r="J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F41" i="70"/>
  <c r="C14" i="70"/>
  <c r="C16" i="44"/>
  <c r="C14" i="15"/>
  <c r="F68" i="70" l="1"/>
  <c r="J29" i="70"/>
  <c r="C19" i="71"/>
  <c r="C20" i="71" s="1"/>
  <c r="C26" i="71" s="1"/>
  <c r="C15" i="70"/>
  <c r="C18" i="70"/>
  <c r="AA40" i="39"/>
  <c r="S40" i="39"/>
  <c r="AC40" i="39"/>
  <c r="W40" i="39"/>
  <c r="AB40" i="39"/>
  <c r="U40" i="39"/>
  <c r="L57" i="70"/>
  <c r="L60" i="70" s="1"/>
  <c r="L46" i="70"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1"/>
  <c r="M21" i="15"/>
  <c r="M21" i="71"/>
  <c r="F37" i="44"/>
  <c r="M23" i="44"/>
  <c r="F35" i="70"/>
  <c r="F35" i="15"/>
  <c r="M21" i="70"/>
  <c r="C19" i="70" l="1"/>
  <c r="C23" i="71"/>
  <c r="C29" i="71" s="1"/>
  <c r="F62" i="70"/>
  <c r="C61" i="70" s="1"/>
  <c r="C34" i="70"/>
  <c r="J20" i="70"/>
  <c r="J20" i="71"/>
  <c r="F62" i="71"/>
  <c r="C61" i="71" s="1"/>
  <c r="C34" i="71"/>
  <c r="C20" i="70"/>
  <c r="C26" i="70" s="1"/>
  <c r="L57" i="71"/>
  <c r="L60" i="71" s="1"/>
  <c r="L46" i="71" s="1"/>
  <c r="Q67" i="70"/>
  <c r="Q58" i="70"/>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23" i="70" l="1"/>
  <c r="C29" i="70" s="1"/>
  <c r="J14" i="71"/>
  <c r="Q50" i="71"/>
  <c r="C13" i="71"/>
  <c r="C36" i="71"/>
  <c r="C56" i="71"/>
  <c r="J19" i="71"/>
  <c r="J17" i="71" s="1"/>
  <c r="C33" i="71"/>
  <c r="C31" i="71" s="1"/>
  <c r="H13" i="39"/>
  <c r="F13" i="39"/>
  <c r="J13" i="39"/>
  <c r="Q67" i="71"/>
  <c r="Q58" i="71"/>
  <c r="C28" i="44"/>
  <c r="C31" i="44" s="1"/>
  <c r="C35" i="44" s="1"/>
  <c r="I5" i="6"/>
  <c r="C26" i="15"/>
  <c r="C29" i="15" s="1"/>
  <c r="J59" i="15" s="1"/>
  <c r="J60" i="15" s="1"/>
  <c r="Q49" i="15" s="1"/>
  <c r="C23" i="12"/>
  <c r="C19" i="43"/>
  <c r="C22" i="43" s="1"/>
  <c r="C21" i="43" s="1"/>
  <c r="K67" i="40"/>
  <c r="L65" i="40"/>
  <c r="K72" i="39"/>
  <c r="L70" i="39"/>
  <c r="AB13" i="39" l="1"/>
  <c r="U13" i="39"/>
  <c r="C37" i="71"/>
  <c r="C30" i="71" s="1"/>
  <c r="C39" i="71" s="1"/>
  <c r="J35" i="71"/>
  <c r="C55" i="71"/>
  <c r="C64" i="71" s="1"/>
  <c r="Q71" i="71"/>
  <c r="AC13" i="39"/>
  <c r="W13" i="39"/>
  <c r="C56" i="70"/>
  <c r="J14" i="70"/>
  <c r="Q50" i="70"/>
  <c r="J19" i="70"/>
  <c r="J17" i="70" s="1"/>
  <c r="C36" i="70"/>
  <c r="C13" i="70"/>
  <c r="C33" i="70"/>
  <c r="C31" i="70" s="1"/>
  <c r="S13" i="39"/>
  <c r="AA13" i="39"/>
  <c r="C60" i="71"/>
  <c r="C58" i="71" s="1"/>
  <c r="C63" i="71"/>
  <c r="J13" i="71"/>
  <c r="J23" i="71" s="1"/>
  <c r="J22" i="7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57" i="71" l="1"/>
  <c r="C66" i="71" s="1"/>
  <c r="C67" i="71" s="1"/>
  <c r="C70" i="71" s="1"/>
  <c r="J16" i="71"/>
  <c r="J25" i="71" s="1"/>
  <c r="C63" i="70"/>
  <c r="C60" i="70"/>
  <c r="C58" i="70" s="1"/>
  <c r="J39" i="71"/>
  <c r="J40" i="71" s="1"/>
  <c r="C40" i="71"/>
  <c r="Q70" i="71"/>
  <c r="Q69" i="71" s="1"/>
  <c r="C37" i="70"/>
  <c r="C30" i="70" s="1"/>
  <c r="C39" i="70" s="1"/>
  <c r="J35" i="70"/>
  <c r="C55" i="70"/>
  <c r="C64" i="70" s="1"/>
  <c r="Q71" i="70"/>
  <c r="J13" i="70"/>
  <c r="J23" i="70" s="1"/>
  <c r="J22" i="70"/>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M72" i="39"/>
  <c r="N65" i="40"/>
  <c r="N67" i="40" s="1"/>
  <c r="M67" i="40"/>
  <c r="C60" i="15"/>
  <c r="L51" i="71"/>
  <c r="C46" i="71" l="1"/>
  <c r="J16" i="70"/>
  <c r="J25" i="70" s="1"/>
  <c r="C57" i="70"/>
  <c r="C66" i="70" s="1"/>
  <c r="C67" i="70" s="1"/>
  <c r="C70" i="70" s="1"/>
  <c r="Q68" i="71"/>
  <c r="N72" i="39"/>
  <c r="O70" i="39"/>
  <c r="J39" i="70"/>
  <c r="J40" i="70" s="1"/>
  <c r="Q70" i="70"/>
  <c r="Q69" i="70" s="1"/>
  <c r="C40" i="70"/>
  <c r="C43" i="71"/>
  <c r="Q66" i="71"/>
  <c r="Q76" i="71" s="1"/>
  <c r="Q57" i="71"/>
  <c r="Q63" i="71" s="1"/>
  <c r="Q48" i="71"/>
  <c r="Q54" i="71" s="1"/>
  <c r="B2" i="71"/>
  <c r="J42" i="71"/>
  <c r="J43"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L51" i="70"/>
  <c r="C46" i="70" l="1"/>
  <c r="Q68" i="70"/>
  <c r="P70" i="39"/>
  <c r="O72" i="39"/>
  <c r="B3" i="71"/>
  <c r="D8" i="12" s="1"/>
  <c r="D10" i="12"/>
  <c r="C43" i="70"/>
  <c r="Q66" i="70"/>
  <c r="Q76" i="70" s="1"/>
  <c r="Q57" i="70"/>
  <c r="Q63" i="70" s="1"/>
  <c r="Q48" i="70"/>
  <c r="Q54" i="70" s="1"/>
  <c r="B2" i="70"/>
  <c r="J42" i="70"/>
  <c r="J43" i="70" s="1"/>
  <c r="C40" i="15"/>
  <c r="Q48" i="15" s="1"/>
  <c r="Q54" i="15" s="1"/>
  <c r="J39" i="15"/>
  <c r="J40" i="15" s="1"/>
  <c r="B5" i="44"/>
  <c r="B3" i="44"/>
  <c r="AA9" i="40"/>
  <c r="R44" i="40" s="1"/>
  <c r="S9" i="40"/>
  <c r="AB9" i="40"/>
  <c r="T44" i="40" s="1"/>
  <c r="G44" i="40" s="1"/>
  <c r="U9" i="40"/>
  <c r="AC9" i="40"/>
  <c r="V44" i="40" s="1"/>
  <c r="I44" i="40" s="1"/>
  <c r="W9" i="40"/>
  <c r="L51" i="15"/>
  <c r="B3" i="70" l="1"/>
  <c r="P72" i="39"/>
  <c r="Q70" i="39"/>
  <c r="C46" i="15"/>
  <c r="Q66" i="15"/>
  <c r="L57" i="15"/>
  <c r="L60" i="15" s="1"/>
  <c r="Q67" i="15" s="1"/>
  <c r="Q68" i="15"/>
  <c r="Q57" i="15"/>
  <c r="C43" i="15"/>
  <c r="J42" i="15"/>
  <c r="J43" i="15" s="1"/>
  <c r="I48" i="40"/>
  <c r="J48" i="40" s="1"/>
  <c r="G48" i="40"/>
  <c r="H48" i="40" s="1"/>
  <c r="G49" i="40"/>
  <c r="H49" i="40" s="1"/>
  <c r="E44" i="40"/>
  <c r="R45" i="40"/>
  <c r="R70" i="39" l="1"/>
  <c r="Q72" i="39"/>
  <c r="L46" i="15"/>
  <c r="B2" i="15" s="1"/>
  <c r="Q76" i="15"/>
  <c r="Q58" i="15"/>
  <c r="Q63" i="15" s="1"/>
  <c r="E48" i="40"/>
  <c r="F48" i="40" s="1"/>
  <c r="E49" i="40"/>
  <c r="F49" i="40" s="1"/>
  <c r="C45" i="40"/>
  <c r="C44" i="40"/>
  <c r="I49" i="40"/>
  <c r="J49" i="40" s="1"/>
  <c r="F9" i="39" l="1"/>
  <c r="R72" i="39"/>
  <c r="S70" i="39"/>
  <c r="S72" i="39" s="1"/>
  <c r="B3" i="15"/>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H9" i="39" l="1"/>
  <c r="J9" i="39"/>
  <c r="AA9" i="39"/>
  <c r="R49" i="39" s="1"/>
  <c r="S9" i="39"/>
  <c r="C24" i="12"/>
  <c r="C29" i="12"/>
  <c r="F63" i="40"/>
  <c r="B2" i="40" s="1"/>
  <c r="E49" i="39" l="1"/>
  <c r="W9" i="39"/>
  <c r="AC9" i="39"/>
  <c r="V49" i="39" s="1"/>
  <c r="I49" i="39" s="1"/>
  <c r="U9" i="39"/>
  <c r="AB9" i="39"/>
  <c r="T49" i="39" s="1"/>
  <c r="G49" i="39" s="1"/>
  <c r="C35" i="12"/>
  <c r="C33" i="12" s="1"/>
  <c r="C28" i="12"/>
  <c r="C26" i="12" s="1"/>
  <c r="C31" i="12" s="1"/>
  <c r="C30" i="12" s="1"/>
  <c r="B3" i="40"/>
  <c r="B4" i="40"/>
  <c r="B5" i="40"/>
  <c r="I53" i="39" l="1"/>
  <c r="J53" i="39" s="1"/>
  <c r="I54" i="39"/>
  <c r="J54" i="39" s="1"/>
  <c r="G53" i="39"/>
  <c r="H53" i="39" s="1"/>
  <c r="G54" i="39"/>
  <c r="H54" i="39" s="1"/>
  <c r="R50" i="39"/>
  <c r="E54" i="39"/>
  <c r="F54" i="39" s="1"/>
  <c r="E53" i="39"/>
  <c r="F53" i="39" s="1"/>
  <c r="C36" i="12"/>
  <c r="B2" i="12" s="1"/>
  <c r="C45" i="9"/>
  <c r="H14" i="66" s="1"/>
  <c r="B7" i="66" s="1"/>
  <c r="D19" i="9"/>
  <c r="C50" i="39" l="1"/>
  <c r="C49" i="39"/>
  <c r="L44" i="9"/>
  <c r="B3" i="12"/>
  <c r="B4" i="12"/>
  <c r="B5" i="12"/>
  <c r="D7" i="66"/>
  <c r="C7" i="66"/>
  <c r="D20" i="9"/>
  <c r="D21" i="9"/>
  <c r="B61" i="39" l="1"/>
  <c r="F61" i="39" s="1"/>
  <c r="B63" i="39"/>
  <c r="F63" i="39" s="1"/>
  <c r="B58" i="39"/>
  <c r="F58" i="39" s="1"/>
  <c r="B65" i="39"/>
  <c r="F65" i="39" s="1"/>
  <c r="B62" i="39"/>
  <c r="F62" i="39" s="1"/>
  <c r="B67" i="39"/>
  <c r="F67" i="39" s="1"/>
  <c r="B66" i="39"/>
  <c r="F66" i="39" s="1"/>
  <c r="B59" i="39"/>
  <c r="F59" i="39" s="1"/>
  <c r="B60" i="39"/>
  <c r="F60" i="39" s="1"/>
  <c r="B64" i="39"/>
  <c r="F64" i="39" s="1"/>
  <c r="D45" i="9"/>
  <c r="E45" i="9"/>
  <c r="O40" i="9"/>
  <c r="F45" i="9"/>
  <c r="F68" i="39" l="1"/>
  <c r="B2" i="39" s="1"/>
  <c r="K31" i="9"/>
  <c r="K32" i="9" s="1"/>
  <c r="R7" i="54"/>
  <c r="B52" i="63" s="1"/>
  <c r="C19" i="9"/>
  <c r="L43" i="9" l="1"/>
  <c r="G19" i="9"/>
  <c r="D22" i="9"/>
  <c r="B3" i="39"/>
  <c r="B4" i="39"/>
  <c r="B5" i="39"/>
  <c r="C20" i="9"/>
  <c r="C21" i="9"/>
  <c r="G20" i="9" l="1"/>
  <c r="G21" i="9"/>
  <c r="C32" i="9"/>
  <c r="G22" i="9"/>
  <c r="N43" i="9"/>
  <c r="O38" i="9" l="1"/>
  <c r="C34" i="9"/>
  <c r="O43" i="9"/>
  <c r="C33" i="9"/>
  <c r="C42" i="9"/>
  <c r="C35" i="9"/>
  <c r="F42" i="9" s="1"/>
  <c r="N76" i="9"/>
  <c r="N38" i="9" l="1"/>
  <c r="D42" i="9"/>
  <c r="Q5" i="54" s="1"/>
  <c r="B47" i="63" s="1"/>
  <c r="M38" i="9"/>
  <c r="E42" i="9"/>
  <c r="P5" i="54" s="1"/>
  <c r="B46" i="63" s="1"/>
  <c r="D14" i="66"/>
  <c r="D63" i="9"/>
  <c r="C44" i="9"/>
  <c r="N68" i="9"/>
  <c r="R5" i="54"/>
  <c r="B48" i="63" s="1"/>
  <c r="K25" i="9"/>
  <c r="K26" i="9"/>
  <c r="K28" i="9" l="1"/>
  <c r="K27" i="9"/>
  <c r="G14" i="66"/>
  <c r="B6" i="66" s="1"/>
  <c r="O39" i="9"/>
  <c r="N69" i="9"/>
  <c r="E44" i="9"/>
  <c r="F44" i="9"/>
  <c r="D44" i="9"/>
  <c r="C111" i="9"/>
  <c r="C104" i="9" s="1"/>
  <c r="C103" i="9"/>
  <c r="C96" i="9"/>
  <c r="C91" i="9" s="1"/>
  <c r="C90" i="9"/>
  <c r="C82" i="9"/>
  <c r="C81" i="9" s="1"/>
  <c r="C85" i="9" s="1"/>
  <c r="C86" i="9" s="1"/>
  <c r="D72" i="9" s="1"/>
  <c r="D71" i="9"/>
  <c r="D66" i="9" s="1"/>
  <c r="N72" i="9" s="1"/>
  <c r="D70" i="9"/>
  <c r="D77" i="9"/>
  <c r="N75" i="9" s="1"/>
  <c r="B5" i="66"/>
  <c r="F14" i="66"/>
  <c r="E14" i="66"/>
  <c r="C113" i="9" l="1"/>
  <c r="M88" i="9"/>
  <c r="N88" i="9" s="1"/>
  <c r="M83" i="9"/>
  <c r="N83" i="9" s="1"/>
  <c r="M84" i="9"/>
  <c r="N84" i="9" s="1"/>
  <c r="M85" i="9"/>
  <c r="N85" i="9" s="1"/>
  <c r="M86" i="9"/>
  <c r="N86" i="9" s="1"/>
  <c r="M87" i="9"/>
  <c r="N87" i="9" s="1"/>
  <c r="C5" i="66"/>
  <c r="D5" i="66"/>
  <c r="C97" i="9"/>
  <c r="R6" i="54"/>
  <c r="B50" i="63" s="1"/>
  <c r="K29" i="9"/>
  <c r="K30" i="9" s="1"/>
  <c r="C6" i="66"/>
  <c r="D6" i="66"/>
  <c r="N89" i="9" l="1"/>
  <c r="O89" i="9" s="1"/>
  <c r="C98" i="9"/>
  <c r="E98" i="9" s="1"/>
  <c r="E99" i="9" s="1"/>
  <c r="C114" i="9"/>
  <c r="E114" i="9" s="1"/>
  <c r="E115" i="9" s="1"/>
  <c r="C115" i="9" l="1"/>
  <c r="D76" i="9" s="1"/>
  <c r="D74" i="9" s="1"/>
  <c r="N74" i="9" s="1"/>
  <c r="O77" i="9" s="1"/>
  <c r="Q77" i="9" s="1"/>
  <c r="C99" i="9"/>
  <c r="O78" i="9" l="1"/>
  <c r="O79" i="9"/>
  <c r="O81" i="9" s="1"/>
  <c r="C46" i="9"/>
  <c r="O80" i="9" l="1"/>
  <c r="K33" i="9"/>
  <c r="K34" i="9" s="1"/>
  <c r="O41" i="9"/>
  <c r="R8" i="54" s="1"/>
  <c r="B54" i="63" s="1"/>
  <c r="D46" i="9"/>
  <c r="I14" i="66"/>
  <c r="B8" i="66" s="1"/>
  <c r="F46" i="9"/>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<sst xmlns="http://schemas.openxmlformats.org/spreadsheetml/2006/main" count="8055" uniqueCount="3177">
  <si>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</si>
  <si>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</si>
  <si>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</si>
  <si>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</si>
  <si>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</si>
  <si>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</si>
  <si>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</si>
  <si>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</si>
  <si>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</si>
  <si>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</si>
  <si>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</si>
  <si>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</si>
  <si>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</si>
  <si>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</si>
  <si>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</si>
  <si>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</si>
  <si>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</si>
  <si>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</si>
  <si>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</si>
  <si>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</si>
  <si>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</si>
  <si>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</si>
  <si>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</si>
  <si>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</si>
  <si>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</si>
  <si>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</si>
  <si>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</si>
  <si>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</si>
  <si>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</si>
  <si>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</si>
  <si>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</si>
  <si>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</si>
  <si>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</si>
  <si>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</si>
  <si>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</si>
  <si>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</si>
  <si>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</si>
  <si>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</si>
  <si>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</si>
  <si>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</si>
  <si>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</si>
  <si>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</si>
  <si>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</si>
  <si>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</si>
  <si>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</si>
  <si>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</si>
  <si>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</si>
  <si>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</si>
  <si>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</si>
  <si>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</si>
  <si>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</si>
  <si>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</si>
  <si>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</si>
  <si>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</si>
  <si>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</si>
  <si>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</si>
  <si>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</si>
  <si>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</si>
  <si>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</si>
  <si>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</si>
  <si>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</si>
  <si>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</si>
  <si>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</si>
  <si>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</si>
  <si>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</si>
  <si>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</si>
  <si>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</si>
  <si>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</si>
  <si>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</si>
  <si>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</si>
  <si>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</si>
  <si>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</si>
  <si>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</si>
  <si>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</si>
  <si>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</si>
  <si>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</si>
  <si>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</si>
  <si>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</si>
  <si>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</si>
  <si>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</si>
  <si>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</si>
  <si>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</si>
  <si>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</si>
  <si>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</si>
  <si>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</si>
  <si>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</si>
  <si>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</si>
  <si>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</si>
  <si>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</si>
  <si>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</si>
  <si>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</si>
  <si>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</si>
  <si>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</si>
  <si>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</si>
  <si>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</si>
  <si>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</si>
  <si>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</si>
  <si>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</si>
  <si>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</si>
  <si>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</si>
  <si>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</si>
  <si>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</si>
  <si>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</si>
  <si>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</si>
  <si>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</si>
  <si>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</si>
  <si>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</si>
  <si>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</si>
  <si>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</si>
  <si>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</si>
  <si>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</si>
  <si>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</si>
  <si>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</si>
  <si>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</si>
  <si>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</si>
  <si>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</si>
  <si>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</si>
  <si>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</si>
  <si>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</si>
  <si>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</si>
  <si>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</si>
  <si>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</si>
  <si>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</si>
  <si>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</si>
  <si>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</si>
  <si>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</si>
  <si>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</si>
  <si>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</si>
  <si>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</si>
  <si>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</si>
  <si>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</si>
  <si>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</si>
  <si>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</si>
  <si>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</si>
  <si>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</si>
  <si>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</si>
  <si>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</si>
  <si>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</si>
  <si>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</si>
  <si>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</si>
  <si>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</si>
  <si>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</si>
  <si>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</si>
  <si>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</si>
  <si>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</si>
  <si>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</si>
  <si>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</si>
  <si>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</si>
  <si>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</si>
  <si>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</si>
  <si>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</si>
  <si>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</si>
  <si>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</si>
  <si>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</si>
  <si>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</si>
  <si>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</si>
  <si>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</si>
  <si>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</si>
  <si>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</si>
  <si>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</si>
  <si>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</si>
  <si>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</si>
  <si>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</si>
  <si>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</si>
  <si>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</si>
  <si>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</si>
  <si>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</si>
  <si>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</si>
  <si>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</si>
  <si>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</si>
  <si>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</si>
  <si>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</si>
  <si>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</si>
  <si>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</si>
  <si>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</si>
  <si>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</si>
  <si>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</si>
  <si>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</si>
  <si>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</si>
  <si>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</si>
  <si>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</si>
  <si>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</si>
  <si>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</si>
  <si>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</si>
  <si>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</si>
  <si>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</si>
  <si>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</si>
  <si>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</si>
  <si>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</si>
  <si>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</si>
  <si>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</si>
  <si>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</si>
  <si>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</si>
  <si>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</si>
  <si>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</si>
  <si>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</si>
  <si>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</si>
  <si>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</si>
  <si>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</si>
  <si>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</si>
  <si>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</si>
  <si>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</si>
  <si>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</si>
  <si>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</si>
  <si>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</si>
  <si>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</si>
  <si>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</si>
  <si>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</si>
  <si>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</si>
  <si>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</si>
  <si>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</si>
  <si>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</si>
  <si>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</si>
  <si>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</si>
  <si>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</si>
  <si>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</si>
  <si>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</si>
  <si>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</si>
  <si>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</si>
  <si>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</si>
  <si>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</si>
  <si>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</si>
  <si>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</si>
  <si>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</si>
  <si>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</si>
  <si>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</si>
  <si>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</si>
  <si>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</si>
  <si>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</si>
  <si>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</si>
  <si>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</si>
  <si>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</si>
  <si>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</si>
  <si>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</si>
  <si>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</si>
  <si>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</si>
  <si>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</si>
  <si>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</si>
  <si>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</si>
  <si>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</si>
  <si>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</si>
  <si>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</si>
  <si>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</si>
  <si>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</si>
  <si>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</si>
  <si>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</si>
  <si>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</si>
  <si>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</si>
  <si>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</si>
  <si>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</si>
  <si>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</si>
  <si>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</si>
  <si>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</si>
  <si>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</si>
  <si>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</si>
  <si>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</si>
  <si>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</si>
  <si>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</si>
  <si>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</si>
  <si>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</si>
  <si>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</si>
  <si>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</si>
  <si>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</si>
  <si>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</si>
  <si>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</si>
  <si>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</si>
  <si>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</si>
  <si>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</si>
  <si>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</si>
  <si>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</si>
  <si>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</si>
  <si>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</si>
  <si>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</si>
  <si>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</si>
  <si>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</si>
  <si>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</si>
  <si>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</si>
  <si>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</si>
  <si>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</si>
  <si>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</si>
  <si>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</si>
  <si>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</si>
  <si>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</si>
  <si>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</si>
  <si>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</si>
  <si>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</si>
  <si>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</si>
  <si>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</si>
  <si>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</si>
  <si>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</si>
  <si>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</si>
  <si>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</si>
  <si>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</si>
  <si>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</si>
  <si>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</si>
  <si>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</si>
  <si>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</si>
  <si>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</si>
  <si>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</si>
  <si>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</si>
  <si>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</si>
  <si>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</si>
  <si>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</si>
  <si>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</si>
  <si>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</si>
  <si>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</si>
  <si>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</si>
  <si>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</si>
  <si>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</si>
  <si>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</si>
  <si>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</si>
  <si>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</si>
  <si>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</si>
  <si>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</si>
  <si>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</si>
  <si>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</si>
  <si>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</si>
  <si>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</si>
  <si>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</si>
  <si>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</si>
  <si>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</si>
  <si>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</si>
  <si>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</si>
  <si>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</si>
  <si>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</si>
  <si>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</si>
  <si>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</si>
  <si>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</si>
  <si>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</si>
  <si>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</si>
  <si>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</si>
  <si>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</si>
  <si>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</si>
  <si>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</si>
  <si>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</si>
  <si>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</si>
  <si>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</si>
  <si>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</si>
  <si>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</si>
  <si>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</si>
  <si>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</si>
  <si>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</si>
  <si>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</si>
  <si>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</si>
  <si>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</si>
  <si>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</si>
  <si>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</si>
  <si>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</si>
  <si>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</si>
  <si>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</si>
  <si>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</si>
  <si>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</si>
  <si>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</si>
  <si>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</si>
  <si>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</si>
  <si>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</si>
  <si>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</si>
  <si>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</si>
  <si>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</si>
  <si>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</si>
  <si>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</si>
  <si>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</si>
  <si>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</si>
  <si>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</si>
  <si>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</si>
  <si>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</si>
  <si>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</si>
  <si>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</si>
  <si>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</si>
  <si>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</si>
  <si>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</si>
  <si>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</si>
  <si>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</si>
  <si>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</si>
  <si>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</si>
  <si>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</si>
  <si>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</si>
  <si>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</si>
  <si>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</si>
  <si>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</si>
  <si>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</si>
  <si>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</si>
  <si>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</si>
  <si>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</si>
  <si>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</si>
  <si>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</si>
  <si>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</si>
  <si>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</si>
  <si>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</si>
  <si>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</si>
  <si>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</si>
  <si>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</si>
  <si>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</si>
  <si>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</si>
  <si>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</si>
  <si>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</si>
  <si>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</si>
  <si>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</si>
  <si>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</si>
  <si>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</si>
  <si>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</si>
  <si>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</si>
  <si>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</si>
  <si>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</si>
  <si>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</si>
  <si>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</si>
  <si>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</si>
  <si>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</si>
  <si>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</si>
  <si>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</si>
  <si>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</si>
  <si>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</si>
  <si>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</si>
  <si>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</si>
  <si>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</si>
  <si>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</si>
  <si>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</si>
  <si>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</si>
  <si>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</si>
  <si>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</si>
  <si>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</si>
  <si>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</si>
  <si>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</si>
  <si>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</si>
  <si>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</si>
  <si>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</si>
  <si>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</si>
  <si>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</si>
  <si>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</si>
  <si>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</si>
  <si>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</si>
  <si>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</si>
  <si>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</si>
  <si>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</si>
  <si>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</si>
  <si>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</si>
  <si>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</si>
  <si>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</si>
  <si>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</si>
  <si>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</si>
  <si>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</si>
  <si>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</si>
  <si>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</si>
  <si>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</si>
  <si>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</si>
  <si>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</si>
  <si>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</si>
  <si>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</si>
  <si>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</si>
  <si>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</si>
  <si>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</si>
  <si>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</si>
  <si>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</si>
  <si>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</si>
  <si>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</si>
  <si>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</si>
  <si>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</si>
  <si>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</si>
  <si>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</si>
  <si>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</si>
  <si>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</si>
  <si>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</si>
  <si>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</si>
  <si>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</si>
  <si>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</si>
  <si>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</si>
  <si>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</si>
  <si>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</si>
  <si>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</si>
  <si>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</si>
  <si>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</si>
  <si>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</si>
  <si>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</si>
  <si>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</si>
  <si>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</si>
  <si>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</si>
  <si>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</si>
  <si>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</si>
  <si>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</si>
  <si>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</si>
  <si>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</si>
  <si>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</si>
  <si>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</si>
  <si>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</si>
  <si>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</si>
  <si>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</si>
  <si>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</si>
  <si>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</si>
  <si>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</si>
  <si>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</si>
  <si>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</si>
  <si>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</si>
  <si>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</si>
  <si>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</si>
  <si>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</si>
  <si>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</si>
  <si>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</si>
  <si>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</si>
  <si>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</si>
  <si>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</si>
  <si>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</si>
  <si>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</si>
  <si>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</si>
  <si>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</si>
  <si>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</si>
  <si>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</si>
  <si>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</si>
  <si>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</si>
  <si>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</si>
  <si>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</si>
  <si>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</si>
  <si>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</si>
  <si>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</si>
  <si>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</si>
  <si>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</si>
  <si>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</si>
  <si>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</si>
  <si>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</si>
  <si>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</si>
  <si>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</si>
  <si>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</si>
  <si>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</si>
  <si>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</si>
  <si>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</si>
  <si>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</si>
  <si>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</si>
  <si>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</si>
  <si>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</si>
  <si>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</si>
  <si>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</si>
  <si>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</si>
  <si>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</si>
  <si>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</si>
  <si>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</si>
  <si>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</si>
  <si>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</si>
  <si>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</si>
  <si>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</si>
  <si>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</si>
  <si>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</si>
  <si>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</si>
  <si>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</si>
  <si>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</si>
  <si>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</si>
  <si>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</si>
  <si>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</si>
  <si>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</si>
  <si>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</si>
  <si>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</si>
  <si>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</si>
  <si>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</si>
  <si>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</si>
  <si>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</si>
  <si>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</si>
  <si>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</si>
  <si>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</si>
  <si>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</si>
  <si>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</si>
  <si>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</si>
  <si>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</si>
  <si>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</si>
  <si>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</si>
  <si>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</si>
  <si>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</si>
  <si>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</si>
  <si>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</si>
  <si>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</si>
  <si>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</si>
  <si>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</si>
  <si>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</si>
  <si>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</si>
  <si>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</si>
  <si>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</si>
  <si>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</si>
  <si>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</si>
  <si>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</si>
  <si>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</si>
  <si>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</si>
  <si>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</si>
  <si>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</si>
  <si>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</si>
  <si>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</si>
  <si>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</si>
  <si>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</si>
  <si>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</si>
  <si>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</si>
  <si>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</si>
  <si>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</si>
  <si>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</si>
  <si>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</si>
  <si>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</si>
  <si>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</si>
  <si>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</si>
  <si>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</si>
  <si>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</si>
  <si>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</si>
  <si>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</si>
  <si>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</si>
  <si>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</si>
  <si>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</si>
  <si>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</si>
  <si>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</si>
  <si>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</si>
  <si>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</si>
  <si>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</si>
  <si>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</si>
  <si>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</si>
  <si>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</si>
  <si>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</si>
  <si>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</si>
  <si>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</si>
  <si>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</si>
  <si>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</si>
  <si>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</si>
  <si>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</si>
  <si>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</si>
  <si>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</si>
  <si>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</si>
  <si>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</si>
  <si>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</si>
  <si>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</si>
  <si>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</si>
  <si>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</si>
  <si>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</si>
  <si>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</si>
  <si>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</si>
  <si>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</si>
  <si>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</si>
  <si>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</si>
  <si>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</si>
  <si>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</si>
  <si>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</si>
  <si>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</si>
  <si>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</si>
  <si>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</si>
  <si>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</si>
  <si>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</si>
  <si>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</si>
  <si>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</si>
  <si>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</si>
  <si>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</si>
  <si>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</si>
  <si>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</si>
  <si>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</si>
  <si>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</si>
  <si>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</si>
  <si>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</si>
  <si>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</si>
  <si>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</si>
  <si>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</si>
  <si>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</si>
  <si>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</si>
  <si>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</si>
  <si>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</si>
  <si>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</si>
  <si>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</si>
  <si>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</si>
  <si>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</si>
  <si>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</si>
  <si>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</si>
  <si>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</si>
  <si>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</si>
  <si>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</si>
  <si>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</si>
  <si>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</si>
  <si>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</si>
  <si>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</si>
  <si>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</si>
  <si>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</si>
  <si>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</si>
  <si>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</si>
  <si>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</si>
  <si>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</si>
  <si>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</si>
  <si>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</si>
  <si>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</si>
  <si>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</si>
  <si>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</si>
  <si>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</si>
  <si>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</si>
  <si>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</si>
  <si>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</si>
  <si>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</si>
  <si>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</si>
  <si>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</si>
  <si>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</si>
  <si>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</si>
  <si>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</si>
  <si>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</si>
  <si>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</si>
  <si>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</si>
  <si>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</si>
  <si>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</si>
  <si>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</si>
  <si>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</si>
  <si>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</si>
  <si>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</si>
  <si>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</si>
  <si>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</si>
  <si>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</si>
  <si>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</si>
  <si>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</si>
  <si>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</si>
  <si>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</si>
  <si>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</si>
  <si>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</si>
  <si>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</si>
  <si>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</si>
  <si>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</si>
  <si>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</si>
  <si>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</si>
  <si>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</si>
  <si>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</si>
  <si>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</si>
  <si>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</si>
  <si>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</si>
  <si>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</si>
  <si>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</si>
  <si>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</si>
  <si>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</si>
  <si>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</si>
  <si>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</si>
  <si>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</si>
  <si>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</si>
  <si>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</si>
  <si>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</si>
  <si>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</si>
  <si>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</si>
  <si>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</si>
  <si>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</si>
  <si>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</si>
  <si>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</si>
  <si>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</si>
  <si>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</si>
  <si>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</si>
  <si>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</si>
  <si>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</si>
  <si>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</si>
  <si>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</si>
  <si>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</si>
  <si>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</si>
  <si>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</si>
  <si>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</si>
  <si>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</si>
  <si>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</si>
  <si>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</si>
  <si>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</si>
  <si>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</si>
  <si>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</si>
  <si>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</si>
  <si>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</si>
  <si>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</si>
  <si>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</si>
  <si>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</si>
  <si>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</si>
  <si>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</si>
  <si>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</si>
  <si>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</si>
  <si>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</si>
  <si>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</si>
  <si>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</si>
  <si>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</si>
  <si>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</si>
  <si>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</si>
  <si>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</si>
  <si>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</si>
  <si>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</si>
  <si>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</si>
  <si>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</si>
  <si>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</si>
  <si>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</si>
  <si>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</si>
  <si>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</si>
  <si>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</si>
  <si>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</si>
  <si>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</si>
  <si>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</si>
  <si>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</si>
  <si>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</si>
  <si>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</si>
  <si>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</si>
  <si>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</si>
  <si>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</si>
  <si>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</si>
  <si>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</si>
  <si>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</si>
  <si>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</si>
  <si>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</si>
  <si>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</si>
  <si>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</si>
  <si>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</si>
  <si>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</si>
  <si>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</si>
  <si>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</si>
  <si>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</si>
  <si>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</si>
  <si>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</si>
  <si>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</si>
  <si>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</si>
  <si>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</si>
  <si>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</si>
  <si>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</si>
  <si>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</si>
  <si>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</si>
  <si>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</si>
  <si>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</si>
  <si>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</si>
  <si>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</si>
  <si>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</si>
  <si>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</si>
  <si>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</si>
  <si>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</si>
  <si>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</si>
  <si>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</si>
  <si>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</si>
  <si>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</si>
  <si>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</si>
  <si>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</si>
  <si>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</si>
  <si>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</si>
  <si>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</si>
  <si>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</si>
  <si>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</si>
  <si>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</si>
  <si>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</si>
  <si>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</si>
  <si>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</si>
  <si>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</si>
  <si>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</si>
  <si>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</si>
  <si>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</si>
  <si>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</si>
  <si>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</si>
  <si>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</si>
  <si>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</si>
  <si>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</si>
  <si>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</si>
  <si>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</si>
  <si>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</si>
  <si>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</si>
  <si>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</si>
  <si>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</si>
  <si>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</si>
  <si>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</si>
  <si>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</si>
  <si>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</si>
  <si>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</si>
  <si>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</si>
  <si>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</si>
  <si>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</si>
  <si>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</si>
  <si>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</si>
  <si>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</si>
  <si>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</si>
  <si>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</si>
  <si>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</si>
  <si>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</si>
  <si>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</si>
  <si>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</si>
  <si>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</si>
  <si>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</si>
  <si>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</si>
  <si>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</si>
  <si>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</si>
  <si>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</si>
  <si>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</si>
  <si>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</si>
  <si>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</si>
  <si>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</si>
  <si>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</si>
  <si>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</si>
  <si>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</si>
  <si>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</si>
  <si>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</si>
  <si>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</si>
  <si>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</si>
  <si>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</si>
  <si>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</si>
  <si>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</si>
  <si>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</si>
  <si>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</si>
  <si>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</si>
  <si>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</si>
  <si>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</si>
  <si>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</si>
  <si>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</si>
  <si>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</si>
  <si>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</si>
  <si>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</si>
  <si>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</si>
  <si>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</si>
  <si>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</si>
  <si>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</si>
  <si>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</si>
  <si>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</si>
  <si>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</si>
  <si>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</si>
  <si>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</si>
  <si>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</si>
  <si>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</si>
  <si>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</si>
  <si>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</si>
  <si>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</si>
  <si>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</si>
  <si>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</si>
  <si>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</si>
  <si>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</si>
  <si>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</si>
  <si>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</si>
  <si>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</si>
  <si>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</si>
  <si>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</si>
  <si>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</si>
  <si>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</si>
  <si>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</si>
  <si>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</si>
  <si>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</si>
  <si>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</si>
  <si>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</si>
  <si>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</si>
  <si>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</si>
  <si>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</si>
  <si>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</si>
  <si>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</si>
  <si>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</si>
  <si>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</si>
  <si>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</si>
  <si>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</si>
  <si>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</si>
  <si>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</si>
  <si>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</si>
  <si>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</si>
  <si>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</si>
  <si>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</si>
  <si>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</si>
  <si>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</si>
  <si>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</si>
  <si>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</si>
  <si>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</si>
  <si>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</si>
  <si>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</si>
  <si>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</si>
  <si>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</si>
  <si>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</si>
  <si>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</si>
  <si>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</si>
  <si>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</si>
  <si>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</si>
  <si>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</si>
  <si>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</si>
  <si>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</si>
  <si>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</si>
  <si>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</si>
  <si>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</si>
  <si>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</si>
  <si>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</si>
  <si>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</si>
  <si>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</si>
  <si>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</si>
  <si>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</si>
  <si>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</si>
  <si>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</si>
  <si>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</si>
  <si>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</si>
  <si>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</si>
  <si>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</si>
  <si>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</si>
  <si>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</si>
  <si>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</si>
  <si>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</si>
  <si>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</si>
  <si>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</si>
  <si>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</si>
  <si>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</si>
  <si>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</si>
  <si>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</si>
  <si>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</si>
  <si>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</si>
  <si>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</si>
  <si>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</si>
  <si>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</si>
  <si>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</si>
  <si>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</si>
  <si>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</si>
  <si>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</si>
  <si>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</si>
  <si>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</si>
  <si>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</si>
  <si>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</si>
  <si>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</si>
  <si>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</si>
  <si>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</si>
  <si>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</si>
  <si>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</si>
  <si>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</si>
  <si>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</si>
  <si>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</si>
  <si>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</si>
  <si>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</si>
  <si>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</si>
  <si>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</si>
  <si>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</si>
  <si>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</si>
  <si>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</si>
  <si>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</si>
  <si>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</si>
  <si>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</si>
  <si>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</si>
  <si>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</si>
  <si>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</si>
  <si>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</si>
  <si>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</si>
  <si>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</si>
  <si>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</si>
  <si>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</si>
  <si>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</si>
  <si>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</si>
  <si>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</si>
  <si>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</si>
  <si>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</si>
  <si>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</si>
  <si>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</si>
  <si>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</si>
  <si>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</si>
  <si>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</si>
  <si>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</si>
  <si>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</si>
  <si>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</si>
  <si>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</si>
  <si>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</si>
  <si>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</si>
  <si>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</si>
  <si>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</si>
  <si>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</si>
  <si>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</si>
  <si>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</si>
  <si>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</si>
  <si>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</si>
  <si>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</si>
  <si>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</si>
  <si>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</si>
  <si>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</si>
  <si>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</si>
  <si>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</si>
  <si>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</si>
  <si>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</si>
  <si>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</si>
  <si>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</si>
  <si>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</si>
  <si>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</si>
  <si>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</si>
  <si>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</si>
  <si>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</si>
  <si>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</si>
  <si>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</si>
  <si>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</si>
  <si>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</si>
  <si>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</si>
  <si>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</si>
  <si>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</si>
  <si>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</si>
  <si>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</si>
  <si>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</si>
  <si>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</si>
  <si>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</si>
  <si>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</si>
  <si>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</si>
  <si>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</si>
  <si>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</si>
  <si>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</si>
  <si>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</si>
  <si>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</si>
  <si>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</si>
  <si>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</si>
  <si>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</si>
  <si>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</si>
  <si>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</si>
  <si>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</si>
  <si>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</si>
  <si>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</si>
  <si>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</si>
  <si>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</si>
  <si>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</si>
  <si>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</si>
  <si>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</si>
  <si>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</si>
  <si>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</si>
  <si>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</si>
  <si>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</si>
  <si>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</si>
  <si>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</si>
  <si>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</si>
  <si>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</si>
  <si>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</si>
  <si>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</si>
  <si>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</si>
  <si>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</si>
  <si>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</si>
  <si>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</si>
  <si>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</si>
  <si>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</si>
  <si>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</si>
  <si>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</si>
  <si>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</si>
  <si>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</si>
  <si>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</si>
  <si>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</si>
  <si>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</si>
  <si>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</si>
  <si>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</si>
  <si>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</si>
  <si>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</si>
  <si>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</si>
  <si>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</si>
  <si>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</si>
  <si>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</si>
  <si>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</si>
  <si>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</si>
  <si>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</si>
  <si>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</si>
  <si>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</si>
  <si>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</si>
  <si>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</si>
  <si>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</si>
  <si>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</si>
  <si>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</si>
  <si>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</si>
  <si>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</si>
  <si>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</si>
  <si>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</si>
  <si>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</si>
  <si>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</si>
  <si>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</si>
  <si>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</si>
  <si>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</si>
  <si>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</si>
  <si>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</si>
  <si>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</si>
  <si>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</si>
  <si>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</si>
  <si>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</si>
  <si>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</si>
  <si>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</si>
  <si>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</si>
  <si>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</si>
  <si>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</si>
  <si>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</si>
  <si>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</si>
  <si>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</si>
  <si>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</si>
  <si>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</si>
  <si>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</si>
  <si>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</si>
  <si>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</si>
  <si>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</si>
  <si>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</si>
  <si>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</si>
  <si>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</si>
  <si>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</si>
  <si>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</si>
  <si>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</si>
  <si>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</si>
  <si>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</si>
  <si>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</si>
  <si>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</si>
  <si>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</si>
  <si>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</si>
  <si>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</si>
  <si>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</si>
  <si>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</si>
  <si>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</si>
  <si>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</si>
  <si>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</si>
  <si>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</si>
  <si>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</si>
  <si>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</si>
  <si>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</si>
  <si>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</si>
  <si>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</si>
  <si>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</si>
  <si>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</si>
  <si>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</si>
  <si>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</si>
  <si>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</si>
  <si>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</si>
  <si>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</si>
  <si>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</si>
  <si>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</si>
  <si>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</si>
  <si>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</si>
  <si>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</si>
  <si>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</si>
  <si>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</si>
  <si>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</si>
  <si>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</si>
  <si>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</si>
  <si>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</si>
  <si>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</si>
  <si>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</si>
  <si>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</si>
  <si>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</si>
  <si>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</si>
  <si>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</si>
  <si>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</si>
  <si>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</si>
  <si>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</si>
  <si>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</si>
  <si>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</si>
  <si>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</si>
  <si>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</si>
  <si>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</si>
  <si>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</si>
  <si>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</si>
  <si>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</si>
  <si>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</si>
  <si>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</si>
  <si>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</si>
  <si>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</si>
  <si>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</si>
  <si>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</si>
  <si>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</si>
  <si>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</si>
  <si>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</si>
  <si>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</si>
  <si>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</si>
  <si>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</si>
  <si>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</si>
  <si>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</si>
  <si>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</si>
  <si>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</si>
  <si>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</si>
  <si>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</si>
  <si>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</si>
  <si>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</si>
  <si>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</si>
  <si>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</si>
  <si>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</si>
  <si>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</si>
  <si>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</si>
  <si>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</si>
  <si>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</si>
  <si>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</si>
  <si>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</si>
  <si>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</si>
  <si>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</si>
  <si>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</si>
  <si>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</si>
  <si>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</si>
  <si>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</si>
  <si>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</si>
  <si>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</si>
  <si>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</si>
  <si>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</si>
  <si>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</si>
  <si>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</si>
  <si>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</si>
  <si>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</si>
  <si>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</si>
  <si>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</si>
  <si>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</si>
  <si>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</si>
  <si>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</si>
  <si>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</si>
  <si>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</si>
  <si>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</si>
  <si>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</si>
  <si>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</si>
  <si>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</si>
  <si>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</si>
  <si>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</si>
  <si>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</si>
  <si>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</si>
  <si>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</si>
  <si>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</si>
  <si>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</si>
  <si>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</si>
  <si>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</si>
  <si>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</si>
  <si>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</si>
  <si>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</si>
  <si>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</si>
  <si>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</si>
  <si>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</si>
  <si>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</si>
  <si>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</si>
  <si>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</si>
  <si>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</si>
  <si>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</si>
  <si>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</si>
  <si>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</si>
  <si>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</si>
  <si>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</si>
  <si>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</si>
  <si>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</si>
  <si>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</si>
  <si>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</si>
  <si>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</si>
  <si>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</si>
  <si>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</si>
  <si>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</si>
  <si>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</si>
  <si>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</si>
  <si>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</si>
  <si>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</si>
  <si>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</si>
  <si>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</si>
  <si>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</si>
  <si>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</si>
  <si>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</si>
  <si>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</si>
  <si>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</si>
  <si>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</si>
  <si>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</si>
  <si>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</si>
  <si>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</si>
  <si>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</si>
  <si>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</si>
  <si>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</si>
  <si>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</si>
  <si>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</si>
  <si>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</si>
  <si>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</si>
  <si>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</si>
  <si>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</si>
  <si>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</si>
  <si>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</si>
  <si>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</si>
  <si>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</si>
  <si>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</si>
  <si>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</si>
  <si>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</si>
  <si>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</si>
  <si>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</si>
  <si>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</si>
  <si>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</si>
  <si>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</si>
  <si>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</si>
  <si>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</si>
  <si>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</si>
  <si>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</si>
  <si>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</si>
  <si>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</si>
  <si>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</si>
  <si>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</si>
  <si>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</si>
  <si>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</si>
  <si>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</si>
  <si>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</si>
  <si>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</si>
  <si>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</si>
  <si>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</si>
  <si>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</si>
  <si>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</si>
  <si>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</si>
  <si>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</si>
  <si>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</si>
  <si>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</si>
  <si>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</si>
  <si>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</si>
  <si>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</si>
  <si>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</si>
  <si>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</si>
  <si>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</si>
  <si>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</si>
  <si>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</si>
  <si>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</si>
  <si>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</si>
  <si>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</si>
  <si>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</si>
  <si>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</si>
  <si>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</si>
  <si>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</si>
  <si>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</si>
  <si>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</si>
  <si>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</si>
  <si>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</si>
  <si>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</si>
  <si>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</si>
  <si>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</si>
  <si>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</si>
  <si>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</si>
  <si>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</si>
  <si>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</si>
  <si>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</si>
  <si>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</si>
  <si>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</si>
  <si>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</si>
  <si>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</si>
  <si>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</si>
  <si>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</si>
  <si>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</si>
  <si>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</si>
  <si>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</si>
  <si>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</si>
  <si>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</si>
  <si>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</si>
  <si>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</si>
  <si>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</si>
  <si>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</si>
  <si>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</si>
  <si>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</si>
  <si>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</si>
  <si>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</si>
  <si>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</si>
  <si>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</si>
  <si>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</si>
  <si>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</si>
  <si>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</si>
  <si>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</si>
  <si>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</si>
  <si>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</si>
  <si>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</si>
  <si>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</si>
  <si>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</si>
  <si>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</si>
  <si>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</si>
  <si>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</si>
  <si>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</si>
  <si>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</si>
  <si>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</si>
  <si>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</si>
  <si>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</si>
  <si>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</si>
  <si>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</si>
  <si>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</si>
  <si>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</si>
  <si>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</si>
  <si>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</si>
  <si>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</si>
  <si>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</si>
  <si>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</si>
  <si>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</si>
  <si>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</si>
  <si>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</si>
  <si>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</si>
  <si>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</si>
  <si>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</si>
  <si>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</si>
  <si>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</si>
  <si>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</si>
  <si>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</si>
  <si>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</si>
  <si>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</si>
  <si>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</si>
  <si>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</si>
  <si>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</si>
  <si>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</si>
  <si>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</si>
  <si>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</si>
  <si>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</si>
  <si>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</si>
  <si>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</si>
  <si>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</si>
  <si>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</si>
  <si>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</si>
  <si>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</si>
  <si>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</si>
  <si>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</si>
  <si>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</si>
  <si>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</si>
  <si>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</si>
  <si>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</si>
  <si>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</si>
  <si>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</si>
  <si>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</si>
  <si>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</si>
  <si>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</si>
  <si>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</si>
  <si>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</si>
  <si>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</si>
  <si>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</si>
  <si>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</si>
  <si>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</si>
  <si>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</si>
  <si>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</si>
  <si>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</si>
  <si>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</si>
  <si>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</si>
  <si>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</si>
  <si>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</si>
  <si>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</si>
  <si>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</si>
  <si>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</si>
  <si>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</si>
  <si>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</si>
  <si>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</si>
  <si>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</si>
  <si>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</si>
  <si>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</si>
  <si>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</si>
  <si>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</si>
  <si>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</si>
  <si>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</si>
  <si>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</si>
  <si>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</si>
  <si>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</si>
  <si>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</si>
  <si>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</si>
  <si>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</si>
  <si>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</si>
  <si>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</si>
  <si>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</si>
  <si>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</si>
  <si>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</si>
  <si>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</si>
  <si>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</si>
  <si>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</si>
  <si>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</si>
  <si>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</si>
  <si>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</si>
  <si>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</si>
  <si>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</si>
  <si>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</si>
  <si>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</si>
  <si>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</si>
  <si>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</si>
  <si>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</si>
  <si>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</si>
  <si>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</si>
  <si>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</si>
  <si>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</si>
  <si>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</si>
  <si>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</si>
  <si>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</si>
  <si>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</si>
  <si>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</si>
  <si>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</si>
  <si>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</si>
  <si>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</si>
  <si>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</si>
  <si>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</si>
  <si>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</si>
  <si>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</si>
  <si>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</si>
  <si>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</si>
  <si>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</si>
  <si>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</si>
  <si>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</si>
  <si>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</si>
  <si>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</si>
  <si>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</si>
  <si>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</si>
  <si>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</si>
  <si>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</si>
  <si>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</si>
  <si>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</si>
  <si>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</si>
  <si>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</si>
  <si>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</si>
  <si>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</si>
  <si>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</si>
  <si>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</si>
  <si>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</si>
  <si>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</si>
  <si>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</si>
  <si>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</si>
  <si>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</si>
  <si>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</si>
  <si>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</si>
  <si>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</si>
  <si>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</si>
  <si>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</si>
  <si>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</si>
  <si>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</si>
  <si>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</si>
  <si>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</si>
  <si>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</si>
  <si>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</si>
  <si>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</si>
  <si>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</si>
  <si>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</si>
  <si>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</si>
  <si>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</si>
  <si>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</si>
  <si>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</si>
  <si>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</si>
  <si>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</si>
  <si>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</si>
  <si>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</si>
  <si>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</si>
  <si>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</si>
  <si>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</si>
  <si>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</si>
  <si>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</si>
  <si>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</si>
  <si>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</si>
  <si>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</si>
  <si>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</si>
  <si>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</si>
  <si>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</si>
  <si>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</si>
  <si>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</si>
  <si>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</si>
  <si>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</si>
  <si>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</si>
  <si>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</si>
  <si>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</si>
  <si>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</si>
  <si>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</si>
  <si>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</si>
  <si>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</si>
  <si>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</si>
  <si>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</si>
  <si>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</si>
  <si>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</si>
  <si>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</si>
  <si>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</si>
  <si>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</si>
  <si>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</si>
  <si>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</si>
  <si>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</si>
  <si>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</si>
  <si>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</si>
  <si>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</si>
  <si>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</si>
  <si>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</si>
  <si>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</si>
  <si>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</si>
  <si>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</si>
  <si>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</si>
  <si>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</si>
  <si>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</si>
  <si>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</si>
  <si>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</si>
  <si>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</si>
  <si>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</si>
  <si>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</si>
  <si>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</si>
  <si>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</si>
  <si>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</si>
  <si>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</si>
  <si>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</si>
  <si>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</si>
  <si>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</si>
  <si>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</si>
  <si>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</si>
  <si>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</si>
  <si>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</si>
  <si>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</si>
  <si>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</si>
  <si>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</si>
  <si>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</si>
  <si>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</si>
  <si>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</si>
  <si>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</si>
  <si>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</si>
  <si>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</si>
  <si>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</si>
  <si>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</si>
  <si>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</si>
  <si>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</si>
  <si>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</si>
  <si>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</si>
  <si>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</si>
  <si>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</si>
  <si>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</si>
  <si>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</si>
  <si>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</si>
  <si>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</si>
  <si>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</si>
  <si>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</si>
  <si>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</si>
  <si>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</si>
  <si>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</si>
  <si>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</si>
  <si>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</si>
  <si>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</si>
  <si>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</si>
  <si>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</si>
  <si>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</si>
  <si>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</si>
  <si>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</si>
  <si>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</si>
  <si>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</si>
  <si>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</si>
  <si>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</si>
  <si>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</si>
  <si>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</si>
  <si>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</si>
  <si>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</si>
  <si>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</si>
  <si>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</si>
  <si>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</si>
  <si>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</si>
  <si>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</si>
  <si>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</si>
  <si>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</si>
  <si>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</si>
  <si>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</si>
  <si>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</si>
  <si>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</si>
  <si>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</si>
  <si>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</si>
  <si>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</si>
  <si>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</si>
  <si>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</si>
  <si>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</si>
  <si>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</si>
  <si>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</si>
  <si>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</si>
  <si>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</si>
  <si>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</si>
  <si>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</si>
  <si>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</si>
  <si>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</si>
  <si>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</si>
  <si>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</si>
  <si>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</si>
  <si>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</si>
  <si>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</si>
  <si>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</si>
  <si>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</si>
  <si>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</si>
  <si>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</si>
  <si>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</si>
  <si>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</si>
  <si>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</si>
  <si>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</si>
  <si>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</si>
  <si>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</si>
  <si>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</si>
  <si>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</si>
  <si>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</si>
  <si>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</si>
  <si>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</si>
  <si>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</si>
  <si>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</si>
  <si>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</si>
  <si>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</si>
  <si>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</si>
  <si>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</si>
  <si>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</si>
  <si>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</si>
  <si>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</si>
  <si>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</si>
  <si>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</si>
  <si>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</si>
  <si>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</si>
  <si>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</si>
  <si>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</si>
  <si>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</si>
  <si>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</si>
  <si>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</si>
  <si>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</si>
  <si>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</si>
  <si>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</si>
  <si>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</si>
  <si>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</si>
  <si>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</si>
  <si>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</si>
  <si>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</si>
  <si>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</si>
  <si>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</si>
  <si>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</si>
  <si>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</si>
  <si>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</si>
  <si>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</si>
  <si>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</si>
  <si>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</si>
  <si>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</si>
  <si>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</si>
  <si>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</si>
  <si>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</si>
  <si>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</si>
  <si>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</si>
  <si>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</si>
  <si>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</si>
  <si>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</si>
  <si>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</si>
  <si>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</si>
  <si>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</si>
  <si>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</si>
  <si>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</si>
  <si>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</si>
  <si>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</si>
  <si>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</si>
  <si>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</si>
  <si>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</si>
  <si>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</si>
  <si>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</si>
  <si>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</si>
  <si>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</si>
  <si>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</si>
  <si>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</si>
  <si>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</si>
  <si>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</si>
  <si>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</si>
  <si>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</si>
  <si>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</si>
  <si>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</si>
  <si>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</si>
  <si>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</si>
  <si>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</si>
  <si>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</si>
  <si>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</si>
  <si>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</si>
  <si>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</si>
  <si>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</si>
  <si>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</si>
  <si>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</si>
  <si>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</si>
  <si>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</si>
  <si>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</si>
  <si>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</si>
  <si>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</si>
  <si>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</si>
  <si>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</si>
  <si>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</si>
  <si>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</si>
  <si>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</si>
  <si>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</si>
  <si>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</si>
  <si>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</si>
  <si>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</si>
  <si>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</si>
  <si>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</si>
  <si>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</si>
  <si>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</si>
  <si>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</si>
  <si>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</si>
  <si>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</si>
  <si>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</si>
  <si>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</si>
  <si>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</si>
  <si>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</si>
  <si>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</si>
  <si>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</si>
  <si>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</si>
  <si>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</si>
  <si>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</si>
  <si>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</si>
  <si>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</si>
  <si>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</si>
  <si>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</si>
  <si>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</si>
  <si>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</si>
  <si>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</si>
  <si>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</si>
  <si>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</si>
  <si>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</si>
  <si>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</si>
  <si>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</si>
  <si>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</si>
  <si>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</si>
  <si>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</si>
  <si>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</si>
  <si>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</si>
  <si>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</si>
  <si>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</si>
  <si>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</si>
  <si>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</si>
  <si>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</si>
  <si>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</si>
  <si>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</si>
  <si>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</si>
  <si>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</si>
  <si>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</si>
  <si>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</si>
  <si>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</si>
  <si>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</si>
  <si>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</si>
  <si>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</si>
  <si>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</si>
  <si>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</si>
  <si>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</si>
  <si>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</si>
  <si>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</si>
  <si>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</si>
  <si>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</si>
  <si>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</si>
  <si>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</si>
  <si>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</si>
  <si>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</si>
  <si>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</si>
  <si>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</si>
  <si>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</si>
  <si>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</si>
  <si>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</si>
  <si>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</si>
  <si>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</si>
  <si>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</si>
  <si>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</si>
  <si>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</si>
  <si>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</si>
  <si>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</si>
  <si>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</si>
  <si>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</si>
  <si>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</si>
  <si>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</si>
  <si>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</si>
  <si>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</si>
  <si>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</si>
  <si>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</si>
  <si>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</si>
  <si>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</si>
  <si>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</si>
  <si>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</si>
  <si>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</si>
  <si>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</si>
  <si>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</si>
  <si>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</si>
  <si>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</si>
  <si>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</si>
  <si>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</si>
  <si>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</si>
  <si>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</si>
  <si>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</si>
  <si>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</si>
  <si>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</si>
  <si>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</si>
  <si>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</si>
  <si>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</si>
  <si>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</si>
  <si>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</si>
  <si>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</si>
  <si>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</si>
  <si>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</si>
  <si>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</si>
  <si>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</si>
  <si>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</si>
  <si>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</si>
  <si>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</si>
  <si>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</si>
  <si>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</si>
  <si>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</si>
  <si>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</si>
  <si>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</si>
  <si>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</si>
  <si>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</si>
  <si>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</si>
  <si>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</si>
  <si>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</si>
  <si>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</si>
  <si>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</si>
  <si>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</si>
  <si>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</si>
  <si>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</si>
  <si>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</si>
  <si>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</si>
  <si>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</si>
  <si>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</si>
  <si>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</si>
  <si>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</si>
  <si>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</si>
  <si>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</si>
  <si>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</si>
  <si>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</si>
  <si>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</si>
  <si>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</si>
  <si>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</si>
  <si>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</si>
  <si>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</si>
  <si>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</si>
  <si>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</si>
  <si>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</si>
  <si>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</si>
  <si>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</si>
  <si>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</si>
  <si>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</si>
  <si>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</si>
  <si>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</si>
  <si>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</si>
  <si>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</si>
  <si>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</si>
  <si>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</si>
  <si>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</si>
  <si>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</si>
  <si>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</si>
  <si>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</si>
  <si>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</si>
  <si>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</si>
  <si>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</si>
  <si>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</si>
  <si>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</si>
  <si>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</si>
  <si>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</si>
  <si>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</si>
  <si>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</si>
  <si>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</si>
  <si>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</si>
  <si>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</si>
  <si>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</si>
  <si>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</si>
  <si>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</si>
  <si>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</si>
  <si>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</si>
  <si>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</si>
  <si>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</si>
  <si>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</si>
  <si>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</si>
  <si>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</si>
  <si>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</si>
  <si>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</si>
  <si>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</si>
  <si>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</si>
  <si>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</si>
  <si>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</si>
  <si>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</si>
  <si>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</si>
  <si>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</si>
  <si>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</si>
  <si>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</si>
  <si>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</si>
  <si>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</si>
  <si>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</si>
  <si>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</si>
  <si>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</si>
  <si>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</si>
  <si>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</si>
  <si>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</si>
  <si>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</si>
  <si>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</si>
  <si>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</si>
  <si>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</si>
  <si>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</si>
  <si>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</si>
  <si>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</si>
  <si>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</si>
  <si>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</si>
  <si>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</si>
  <si>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</si>
  <si>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</si>
  <si>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</si>
  <si>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</si>
  <si>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</si>
  <si>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</si>
  <si>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</si>
  <si>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</si>
  <si>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</si>
  <si>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</si>
  <si>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</si>
  <si>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</si>
  <si>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</si>
  <si>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</si>
  <si>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</si>
  <si>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</si>
  <si>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</si>
  <si>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</si>
  <si>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</si>
  <si>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</si>
  <si>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</si>
  <si>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</si>
  <si>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</si>
  <si>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</si>
  <si>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</si>
  <si>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</si>
  <si>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</si>
  <si>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</si>
  <si>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</si>
  <si>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</si>
  <si>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</si>
  <si>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</si>
  <si>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</si>
  <si>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</si>
  <si>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</si>
  <si>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</si>
  <si>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</si>
  <si>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</si>
  <si>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</si>
  <si>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</si>
  <si>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</si>
  <si>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</si>
  <si>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</si>
  <si>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</si>
  <si>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</si>
  <si>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</si>
  <si>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</si>
  <si>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</si>
  <si>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</si>
  <si>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</si>
  <si>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</si>
  <si>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</si>
  <si>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</si>
  <si>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</si>
  <si>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</si>
  <si>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</si>
  <si>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</si>
  <si>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</si>
  <si>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</si>
  <si>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</si>
  <si>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</si>
  <si>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</si>
  <si>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</si>
  <si>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</si>
  <si>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</si>
  <si>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</si>
  <si>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</si>
  <si>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</si>
  <si>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</si>
  <si>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</si>
  <si>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</si>
  <si>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</si>
  <si>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</si>
  <si>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</si>
  <si>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</si>
  <si>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</si>
  <si>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</si>
  <si>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</si>
  <si>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</si>
  <si>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</si>
  <si>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</si>
  <si>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</si>
  <si>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</si>
  <si>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</si>
  <si>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</si>
  <si>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</si>
  <si>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</si>
  <si>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</si>
  <si>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</si>
  <si>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</si>
  <si>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</si>
  <si>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</si>
  <si>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</si>
  <si>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</si>
  <si>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</si>
  <si>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</si>
  <si>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</si>
  <si>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</si>
  <si>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</si>
  <si>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</si>
  <si>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</si>
  <si>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</si>
  <si>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</si>
  <si>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</si>
  <si>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</si>
  <si>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</si>
  <si>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</si>
  <si>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</si>
  <si>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</si>
  <si>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</si>
  <si>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</si>
  <si>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</si>
  <si>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</si>
  <si>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</si>
  <si>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</si>
  <si>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</si>
  <si>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</si>
  <si>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</si>
  <si>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</si>
  <si>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</si>
  <si>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</si>
  <si>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</si>
  <si>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</si>
  <si>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</si>
  <si>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</si>
  <si>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</si>
  <si>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</si>
  <si>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</si>
  <si>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</si>
  <si>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</si>
  <si>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</si>
  <si>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</si>
  <si>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</si>
  <si>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</si>
  <si>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</si>
  <si>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</si>
  <si>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</si>
  <si>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</si>
  <si>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</si>
  <si>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</si>
  <si>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</si>
  <si>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</si>
  <si>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</si>
  <si>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</si>
  <si>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</si>
  <si>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</si>
  <si>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</si>
  <si>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</si>
  <si>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</si>
  <si>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</si>
  <si>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</si>
  <si>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</si>
  <si>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</si>
  <si>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</si>
  <si>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</si>
  <si>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</si>
  <si>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</si>
  <si>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</si>
  <si>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</si>
  <si>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</si>
  <si>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</si>
  <si>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</si>
  <si>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</si>
  <si>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</si>
  <si>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</si>
  <si>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</si>
  <si>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</si>
  <si>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</si>
  <si>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</si>
  <si>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</si>
  <si>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</si>
  <si>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</si>
  <si>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</si>
  <si>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</si>
  <si>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</si>
  <si>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</si>
  <si>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</si>
  <si>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</si>
  <si>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</si>
  <si>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</si>
  <si>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</si>
  <si>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</si>
  <si>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</si>
  <si>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</si>
  <si>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</si>
  <si>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</si>
  <si>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</si>
  <si>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</si>
  <si>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</si>
  <si>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</si>
  <si>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</si>
  <si>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</si>
  <si>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</si>
  <si>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</si>
  <si>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</si>
  <si>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</si>
  <si>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</si>
  <si>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</si>
  <si>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</si>
  <si>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</si>
  <si>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</si>
  <si>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</si>
  <si>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</si>
  <si>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</si>
  <si>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</si>
  <si>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</si>
  <si>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</si>
  <si>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</si>
  <si>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</si>
  <si>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</si>
  <si>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</si>
  <si>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</si>
  <si>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</si>
  <si>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</si>
  <si>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</si>
  <si>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</si>
  <si>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</si>
  <si>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</si>
  <si>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</si>
  <si>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</si>
  <si>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</si>
  <si>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</si>
  <si>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</si>
  <si>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</si>
  <si>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</si>
  <si>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</si>
  <si>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</si>
  <si>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</si>
  <si>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</si>
  <si>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</si>
  <si>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</si>
  <si>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</si>
  <si>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</si>
  <si>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</si>
  <si>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</si>
  <si>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</si>
  <si>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</si>
  <si>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</si>
  <si>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</si>
  <si>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</si>
  <si>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</si>
  <si>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</si>
  <si>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</si>
  <si>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</si>
  <si>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</si>
  <si>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</si>
  <si>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</si>
  <si>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</si>
  <si>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</si>
  <si>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</si>
  <si>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</si>
  <si>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</si>
  <si>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</si>
  <si>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</si>
  <si>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</si>
  <si>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</si>
  <si>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</si>
  <si>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</si>
  <si>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</si>
  <si>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</si>
  <si>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</si>
  <si>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</si>
  <si>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</si>
  <si>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</si>
  <si>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</si>
  <si>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</si>
  <si>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</si>
  <si>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</si>
  <si>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</si>
  <si>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</si>
  <si>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</si>
  <si>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</si>
  <si>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</si>
  <si>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</si>
  <si>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</si>
  <si>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</si>
  <si>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</si>
  <si>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</si>
  <si>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</si>
  <si>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</si>
  <si>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</si>
  <si>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</si>
  <si>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</si>
  <si>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</si>
  <si>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</si>
  <si>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</si>
  <si>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</si>
  <si>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</si>
  <si>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</si>
  <si>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</si>
  <si>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</si>
  <si>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</si>
  <si>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</si>
  <si>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</si>
  <si>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</si>
  <si>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</si>
  <si>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</si>
  <si>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</si>
  <si>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</si>
  <si>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</si>
  <si>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</si>
  <si>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</si>
  <si>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</si>
  <si>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</si>
  <si>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</si>
  <si>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</si>
  <si>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</si>
  <si>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</si>
  <si>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</si>
  <si>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</si>
  <si>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</si>
  <si>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</si>
  <si>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</si>
  <si>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</si>
  <si>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</si>
  <si>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</si>
  <si>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</si>
  <si>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</si>
  <si>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</si>
  <si>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</si>
  <si>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</si>
  <si>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</si>
  <si>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</si>
  <si>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</si>
  <si>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</si>
  <si>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</si>
  <si>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</si>
  <si>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</si>
  <si>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</si>
  <si>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</si>
  <si>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</si>
  <si>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</si>
  <si>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</si>
  <si>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</si>
  <si>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</si>
  <si>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</si>
  <si>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</si>
  <si>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</si>
  <si>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</si>
  <si>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</si>
  <si>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</si>
  <si>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</si>
  <si>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</si>
  <si>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</si>
  <si>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</si>
  <si>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</si>
  <si>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</si>
  <si>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</si>
  <si>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</si>
  <si>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</si>
  <si>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</si>
  <si>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</si>
  <si>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</si>
  <si>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</si>
  <si>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</si>
  <si>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</si>
  <si>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</si>
  <si>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</si>
  <si>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</si>
  <si>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</si>
  <si>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</si>
  <si>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</si>
  <si>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</si>
  <si>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</si>
  <si>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</si>
  <si>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</si>
  <si>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</si>
  <si>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</si>
  <si>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</si>
  <si>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</si>
  <si>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</si>
  <si>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</si>
  <si>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</si>
  <si>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</si>
  <si>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</si>
  <si>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</si>
  <si>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</si>
  <si>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</si>
  <si>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</si>
  <si>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</si>
  <si>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</si>
  <si>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</si>
  <si>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</si>
  <si>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</si>
  <si>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</si>
  <si>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</si>
  <si>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</si>
  <si>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</si>
  <si>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</si>
  <si>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</si>
  <si>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</si>
  <si>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</si>
  <si>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</si>
  <si>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</si>
  <si>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</si>
  <si>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</si>
  <si>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</si>
  <si>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</si>
  <si>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</si>
  <si>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</si>
  <si>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</si>
  <si>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</si>
  <si>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</si>
  <si>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</si>
  <si>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</si>
  <si>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</si>
  <si>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</si>
  <si>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</si>
  <si>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</si>
  <si>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</si>
  <si>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</si>
  <si>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</si>
  <si>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</si>
  <si>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</si>
  <si>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</si>
  <si>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</si>
  <si>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</si>
  <si>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</si>
  <si>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</si>
  <si>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</si>
  <si>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</si>
  <si>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</si>
  <si>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</si>
  <si>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</si>
  <si>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</si>
  <si>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</si>
  <si>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</si>
  <si>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</si>
  <si>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</si>
  <si>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</si>
  <si>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</si>
  <si>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</si>
  <si>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</si>
  <si>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</si>
  <si>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</si>
  <si>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</si>
  <si>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</si>
  <si>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</si>
  <si>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</si>
  <si>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</si>
  <si>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</si>
  <si>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</si>
  <si>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</si>
  <si>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</si>
  <si>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</si>
  <si>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</si>
  <si>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</si>
  <si>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</si>
  <si>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</si>
  <si>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</si>
  <si>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</si>
  <si>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</si>
  <si>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</si>
  <si>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</si>
  <si>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</si>
  <si>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</si>
  <si>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</si>
  <si>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</si>
  <si>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</si>
  <si>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</si>
  <si>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</si>
  <si>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</si>
  <si>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</si>
  <si>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</si>
  <si>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</si>
  <si>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</si>
  <si>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</si>
  <si>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</si>
  <si>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</si>
  <si>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</si>
  <si>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</si>
  <si>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</si>
  <si>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</si>
  <si>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</si>
  <si>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</si>
  <si>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</si>
  <si>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</si>
  <si>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</si>
  <si>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</si>
  <si>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</si>
  <si>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</si>
  <si>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</si>
  <si>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</si>
  <si>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</si>
  <si>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</si>
  <si>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</si>
  <si>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</si>
  <si>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</si>
  <si>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</si>
  <si>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</si>
  <si>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</si>
  <si>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</si>
  <si>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</si>
  <si>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</si>
  <si>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</si>
  <si>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</si>
  <si>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</si>
  <si>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</si>
  <si>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</si>
  <si>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</si>
  <si>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</si>
  <si>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</si>
  <si>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</si>
  <si>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</si>
  <si>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</si>
  <si>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</si>
  <si>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</si>
  <si>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</si>
  <si>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</si>
  <si>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</si>
  <si>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</si>
  <si>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</si>
  <si>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</si>
  <si>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</si>
  <si>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</si>
  <si>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</si>
  <si>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</si>
  <si>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</si>
  <si>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</si>
  <si>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</si>
  <si>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</si>
  <si>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</si>
  <si>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</si>
  <si>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</si>
  <si>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</si>
  <si>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</si>
  <si>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</si>
  <si>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</si>
  <si>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</si>
  <si>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</si>
  <si>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</si>
  <si>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</si>
  <si>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</si>
  <si>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</si>
  <si>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</si>
  <si>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</si>
  <si>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</si>
  <si>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</si>
  <si>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</si>
  <si>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</si>
  <si>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</si>
  <si>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</si>
  <si>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</si>
  <si>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</si>
  <si>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</si>
  <si>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</si>
  <si>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</si>
  <si>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</si>
  <si>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</si>
  <si>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</si>
  <si>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</si>
  <si>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</si>
  <si>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</si>
  <si>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</si>
  <si>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</si>
  <si>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</si>
  <si>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</si>
  <si>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</si>
  <si>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</si>
  <si>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</si>
  <si>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</si>
  <si>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</si>
  <si>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</si>
  <si>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</si>
  <si>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</si>
  <si>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</si>
  <si>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</si>
  <si>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</si>
  <si>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</si>
  <si>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</si>
  <si>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</si>
  <si>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</si>
  <si>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</si>
  <si>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</si>
  <si>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</si>
  <si>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</si>
  <si>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</si>
  <si>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</si>
  <si>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</si>
  <si>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</si>
  <si>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</si>
  <si>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</si>
  <si>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</si>
  <si>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</si>
  <si>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</si>
  <si>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</si>
  <si>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</si>
  <si>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</si>
  <si>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</si>
  <si>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</si>
  <si>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</si>
  <si>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</si>
  <si>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</si>
  <si>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</si>
  <si>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</si>
  <si>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</si>
  <si>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</si>
  <si>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</si>
  <si>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</si>
  <si>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</si>
  <si>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</si>
  <si>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</si>
  <si>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</si>
  <si>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</si>
  <si>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</si>
  <si>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</si>
  <si>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</si>
  <si>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</si>
  <si>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</si>
  <si>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</si>
  <si>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</si>
  <si>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</si>
  <si>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</si>
  <si>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</si>
  <si>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</si>
  <si>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</si>
  <si>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</si>
  <si>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</si>
  <si>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</si>
  <si>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</si>
  <si>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</si>
  <si>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</si>
  <si>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</si>
  <si>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</si>
  <si>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</si>
  <si>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</si>
  <si>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</si>
  <si>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</si>
  <si>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</si>
  <si>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</si>
  <si>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</si>
  <si>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</si>
  <si>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</si>
  <si>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</si>
  <si>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</si>
  <si>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</si>
  <si>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</si>
  <si>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</si>
  <si>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</si>
  <si>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</si>
  <si>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</si>
  <si>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</si>
  <si>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</si>
  <si>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</si>
  <si>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</si>
  <si>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</si>
  <si>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</si>
  <si>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</si>
  <si>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</si>
  <si>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</si>
  <si>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</si>
  <si>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</si>
  <si>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</si>
  <si>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</si>
  <si>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</si>
  <si>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</si>
  <si>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</si>
  <si>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</si>
  <si>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</si>
  <si>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</si>
  <si>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</si>
  <si>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</si>
  <si>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</si>
  <si>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</si>
  <si>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</si>
  <si>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</si>
  <si>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</si>
  <si>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</si>
  <si>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</si>
  <si>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</si>
  <si>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</si>
  <si>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</si>
  <si>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</si>
  <si>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</si>
  <si>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</si>
  <si>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</si>
  <si>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</si>
  <si>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</si>
  <si>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</si>
  <si>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</si>
  <si>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</si>
  <si>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</si>
  <si>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</si>
  <si>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</si>
  <si>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</si>
  <si>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</si>
  <si>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</si>
  <si>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</si>
  <si>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</si>
  <si>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</si>
  <si>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</si>
  <si>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</si>
  <si>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</si>
  <si>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</si>
  <si>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</si>
  <si>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</si>
  <si>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</si>
  <si>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</si>
  <si>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</si>
  <si>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</si>
  <si>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</si>
  <si>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</si>
  <si>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</si>
  <si>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</si>
  <si>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</si>
  <si>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</si>
  <si>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</si>
  <si>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</si>
  <si>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</si>
  <si>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</si>
  <si>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</si>
  <si>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</si>
  <si>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</si>
  <si>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</si>
  <si>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</si>
  <si>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</si>
  <si>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</si>
  <si>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</si>
  <si>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</si>
  <si>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</si>
  <si>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</si>
  <si>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</si>
  <si>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</si>
  <si>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</si>
  <si>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</si>
  <si>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</si>
  <si>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</si>
  <si>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</si>
  <si>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</si>
  <si>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</si>
  <si>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</si>
  <si>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</si>
  <si>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</si>
  <si>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</si>
  <si>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</si>
  <si>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</si>
  <si>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</si>
  <si>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</si>
  <si>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</si>
  <si>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</si>
  <si>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</si>
  <si>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</si>
  <si>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</si>
  <si>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</si>
  <si>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</si>
  <si>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</si>
  <si>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</si>
  <si>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</si>
  <si>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</si>
  <si>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</si>
  <si>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</si>
  <si>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</si>
  <si>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</si>
  <si>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</si>
  <si>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</si>
  <si>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</si>
  <si>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</si>
  <si>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</si>
  <si>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</si>
  <si>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</si>
  <si>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</si>
  <si>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</si>
  <si>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</si>
  <si>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</si>
  <si>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</si>
  <si>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</si>
  <si>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</si>
  <si>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</si>
  <si>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</si>
  <si>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</si>
  <si>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</si>
  <si>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</si>
  <si>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</si>
  <si>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</si>
  <si>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</si>
  <si>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</si>
  <si>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</si>
  <si>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</si>
  <si>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</si>
  <si>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</si>
  <si>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</si>
  <si>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</si>
  <si>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</si>
  <si>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</si>
  <si>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</si>
  <si>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</si>
  <si>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</si>
  <si>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</si>
  <si>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</si>
  <si>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</si>
  <si>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</si>
  <si>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</si>
  <si>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</si>
  <si>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</si>
  <si>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</si>
  <si>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</si>
  <si>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</si>
  <si>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</si>
  <si>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</si>
  <si>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</si>
  <si>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</si>
  <si>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</si>
  <si>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</si>
  <si>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</si>
  <si>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</si>
  <si>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</si>
  <si>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</si>
  <si>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</si>
  <si>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</si>
  <si>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</si>
  <si>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</si>
  <si>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</si>
  <si>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</si>
  <si>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</si>
  <si>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</si>
  <si>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</si>
  <si>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</si>
  <si>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</si>
  <si>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</si>
  <si>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</si>
  <si>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</si>
  <si>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</si>
  <si>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</si>
  <si>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</si>
  <si>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</si>
  <si>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</si>
  <si>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</si>
  <si>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</si>
  <si>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</si>
  <si>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</si>
  <si>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</si>
  <si>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</si>
  <si>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</si>
  <si>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</si>
  <si>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</si>
  <si>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</si>
  <si>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</si>
  <si>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</si>
  <si>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</si>
  <si>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</si>
  <si>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</si>
  <si>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</si>
  <si>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</si>
  <si>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</si>
  <si>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</si>
  <si>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</si>
  <si>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</si>
  <si>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</si>
  <si>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</si>
  <si>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</si>
  <si>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</si>
  <si>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</si>
  <si>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</si>
  <si>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</si>
  <si>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</si>
  <si>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</si>
  <si>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</si>
  <si>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</si>
  <si>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</si>
  <si>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</si>
  <si>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</si>
  <si>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</si>
  <si>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</si>
  <si>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</si>
  <si>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</si>
  <si>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</si>
  <si>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</si>
  <si>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</si>
  <si>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</si>
  <si>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</si>
  <si>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</si>
  <si>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</si>
  <si>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</si>
  <si>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</si>
  <si>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</si>
  <si>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</si>
  <si>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</si>
  <si>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</si>
  <si>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</si>
  <si>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</si>
  <si>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</si>
  <si>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</si>
  <si>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</si>
  <si>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</si>
  <si>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</si>
  <si>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</si>
  <si>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</si>
  <si>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</si>
  <si>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</si>
  <si>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</si>
  <si>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</si>
  <si>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</si>
  <si>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</si>
  <si>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</si>
  <si>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</si>
  <si>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</si>
  <si>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</si>
  <si>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</si>
  <si>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</si>
  <si>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</si>
  <si>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</si>
  <si>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</si>
  <si>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</si>
  <si>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</si>
  <si>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</si>
  <si>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</si>
  <si>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</si>
  <si>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</si>
  <si>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</si>
  <si>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</si>
  <si>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</si>
  <si>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</si>
  <si>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</si>
  <si>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</si>
  <si>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</si>
  <si>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</si>
  <si>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</si>
  <si>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</si>
  <si>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</si>
  <si>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</si>
  <si>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</si>
  <si>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</si>
  <si>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</si>
  <si>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</si>
  <si>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</si>
  <si>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</si>
  <si>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</si>
  <si>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</si>
  <si>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</si>
  <si>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</si>
  <si>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</si>
  <si>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</si>
  <si>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</si>
  <si>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</si>
  <si>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</si>
  <si>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</si>
  <si>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</si>
  <si>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</si>
  <si>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</si>
  <si>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</si>
  <si>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</si>
  <si>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</si>
  <si>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</si>
  <si>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</si>
  <si>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</si>
  <si>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</si>
  <si>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</si>
  <si>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</si>
  <si>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</si>
  <si>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</si>
  <si>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</si>
  <si>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</si>
  <si>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</si>
  <si>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</si>
  <si>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</si>
  <si>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2017-1-0902-F03DYGJ1</t>
    <phoneticPr fontId="6" type="noConversion"/>
  </si>
  <si>
    <t>欧红伟</t>
  </si>
  <si>
    <t>梁津</t>
  </si>
  <si>
    <t>鹏瑞利美融加一（北京）置业有限公司</t>
    <phoneticPr fontId="6" type="noConversion"/>
  </si>
  <si>
    <t>抵押</t>
  </si>
  <si>
    <t>抵押价格</t>
  </si>
  <si>
    <t>通州区运河核心区Ⅷ-14-2地块F3其他类多功能用地项目商务金融（办公、商业及地下车库）用地</t>
    <phoneticPr fontId="6" type="noConversion"/>
  </si>
  <si>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</si>
  <si>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</si>
  <si>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</si>
  <si>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</si>
  <si>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</si>
  <si>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</si>
  <si>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</si>
  <si>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</si>
  <si>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</si>
  <si>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</si>
  <si>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</si>
  <si>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</si>
  <si>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楼层</t>
    <phoneticPr fontId="3" type="noConversion"/>
  </si>
  <si>
    <t>面积</t>
    <phoneticPr fontId="3" type="noConversion"/>
  </si>
  <si>
    <t>租金</t>
    <phoneticPr fontId="3" type="noConversion"/>
  </si>
  <si>
    <t>收益</t>
    <phoneticPr fontId="3"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</si>
  <si>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</si>
  <si>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</si>
  <si>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</si>
  <si>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</si>
  <si>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</si>
  <si>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</si>
  <si>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</si>
  <si>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</si>
  <si>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</si>
  <si>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</si>
  <si>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</si>
  <si>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</si>
  <si>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</si>
  <si>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</si>
  <si>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</si>
  <si>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</si>
  <si>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</si>
  <si>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</si>
  <si>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</si>
  <si>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</si>
  <si>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</si>
  <si>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</si>
  <si>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</si>
  <si>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</si>
  <si>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</si>
  <si>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</si>
  <si>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</si>
  <si>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</si>
  <si>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</si>
  <si>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</si>
  <si>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</si>
  <si>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</si>
  <si>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</si>
  <si>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</si>
  <si>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</si>
  <si>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</si>
  <si>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</si>
  <si>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</si>
  <si>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</si>
  <si>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</si>
  <si>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</si>
  <si>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</si>
  <si>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</si>
  <si>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</si>
  <si>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</si>
  <si>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</si>
  <si>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</si>
  <si>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</si>
  <si>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</si>
  <si>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</si>
  <si>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</si>
  <si>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</si>
  <si>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</si>
  <si>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</si>
  <si>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</si>
  <si>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</si>
  <si>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</si>
  <si>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</si>
  <si>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</si>
  <si>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</si>
  <si>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</si>
  <si>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</si>
  <si>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</si>
  <si>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</si>
  <si>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</si>
  <si>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</si>
  <si>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</si>
  <si>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</si>
  <si>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</si>
  <si>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</si>
  <si>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</si>
  <si>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</si>
  <si>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</si>
  <si>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</si>
  <si>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</si>
  <si>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</si>
  <si>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</si>
  <si>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</si>
  <si>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</si>
  <si>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</si>
  <si>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</si>
  <si>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</si>
  <si>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</si>
  <si>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</si>
  <si>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</si>
  <si>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</si>
  <si>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</si>
  <si>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</si>
  <si>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</si>
  <si>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</si>
  <si>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</si>
  <si>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</si>
  <si>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</si>
  <si>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</si>
  <si>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</si>
  <si>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</si>
  <si>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</si>
  <si>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</si>
  <si>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</si>
  <si>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</si>
  <si>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</si>
  <si>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</si>
  <si>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</si>
  <si>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</si>
  <si>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</si>
  <si>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</si>
  <si>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</si>
  <si>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</si>
  <si>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</si>
  <si>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</si>
  <si>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</si>
  <si>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</si>
  <si>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</si>
  <si>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</si>
  <si>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</si>
  <si>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</si>
  <si>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</si>
  <si>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</si>
  <si>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</si>
  <si>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</si>
  <si>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</si>
  <si>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</si>
  <si>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</si>
  <si>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</si>
  <si>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</si>
  <si>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</si>
  <si>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</si>
  <si>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</si>
  <si>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</si>
  <si>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</si>
  <si>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</si>
  <si>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</si>
  <si>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</si>
  <si>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</si>
  <si>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</si>
  <si>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phoneticPr fontId="14" type="noConversion"/>
  </si>
  <si>
    <t>不动产收益法（车库）</t>
  </si>
  <si>
    <t>不动产收益法（车库）</t>
    <phoneticPr fontId="14" type="noConversion"/>
  </si>
  <si>
    <t>钢混</t>
  </si>
  <si>
    <t>押一</t>
  </si>
  <si>
    <t>比较法-住宅、综合</t>
  </si>
  <si>
    <t>剩余法-待开发</t>
  </si>
  <si>
    <t>售价</t>
  </si>
  <si>
    <t>通州万达广场</t>
    <phoneticPr fontId="3" type="noConversion"/>
  </si>
  <si>
    <t>钢混</t>
    <phoneticPr fontId="27" type="noConversion"/>
  </si>
  <si>
    <t>精装</t>
  </si>
  <si>
    <t>精装</t>
    <phoneticPr fontId="27" type="noConversion"/>
  </si>
  <si>
    <t>标准写字楼</t>
    <phoneticPr fontId="27" type="noConversion"/>
  </si>
  <si>
    <t>普装</t>
    <phoneticPr fontId="27" type="noConversion"/>
  </si>
  <si>
    <t>简装</t>
    <phoneticPr fontId="27" type="noConversion"/>
  </si>
  <si>
    <t>毛坯</t>
    <phoneticPr fontId="27" type="noConversion"/>
  </si>
  <si>
    <t>主干道</t>
  </si>
  <si>
    <t>绿地中央广场</t>
    <phoneticPr fontId="3" type="noConversion"/>
  </si>
  <si>
    <t>北京ONE写字楼</t>
    <phoneticPr fontId="3" type="noConversion"/>
  </si>
  <si>
    <t>不动产比较法-办公</t>
  </si>
  <si>
    <t>系数</t>
    <phoneticPr fontId="233" type="noConversion"/>
  </si>
  <si>
    <t>楼层</t>
    <phoneticPr fontId="233" type="noConversion"/>
  </si>
  <si>
    <t>地下1至6</t>
    <phoneticPr fontId="233" type="noConversion"/>
  </si>
  <si>
    <t>正常操作</t>
  </si>
  <si>
    <t>位于通州区运河核心区，现处于开发建设阶段，目前周边大型商业较少，多为社区配套商业，商业繁华度一般。</t>
    <phoneticPr fontId="3" type="noConversion"/>
  </si>
  <si>
    <t>周边已建成及在建的综合项目有金成府写字楼、瑞都国际中心等，出租率一般，办公集聚程度一般。</t>
    <phoneticPr fontId="3" type="noConversion"/>
  </si>
  <si>
    <t>周边路网较为密集。周边有322路、342路、589路、626路等公交线路，紧邻地铁6号线，公交便捷度较好。整体交通便捷度较好。</t>
    <phoneticPr fontId="3" type="noConversion"/>
  </si>
  <si>
    <t>零星有其他用地，基本不影响本宗地。</t>
  </si>
  <si>
    <t>周边约1公里范围内人文设施较少；周边约1公里范围内有运河奥体公园等，紧邻运河，自然环境较好。综合评价，综合考虑自然及人文环境较好。</t>
    <phoneticPr fontId="3" type="noConversion"/>
  </si>
  <si>
    <t>周边分布银行、购物场所、餐饮等配套设施较多，公共设施状况较好。</t>
  </si>
  <si>
    <t>周边分布银行、购物场所、餐饮等配套设施较多，公共设施状况较好。</t>
    <phoneticPr fontId="3" type="noConversion"/>
  </si>
  <si>
    <t>七通</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</si>
  <si>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东关大道</t>
    </r>
    <phoneticPr fontId="21" type="noConversion"/>
  </si>
  <si>
    <t>位于通州区运河核心区，现处于开发建设阶段，目前周边大型商业较少，多为社区配套商业，商业繁华度一般。</t>
    <phoneticPr fontId="26" type="noConversion"/>
  </si>
  <si>
    <t>办公</t>
    <phoneticPr fontId="27" type="noConversion"/>
  </si>
  <si>
    <t>40-50（含）</t>
  </si>
  <si>
    <t>周边已建成及在建的综合项目较多，出租率较好，办公集聚程度较好。</t>
    <phoneticPr fontId="27" type="noConversion"/>
  </si>
  <si>
    <r>
      <rPr>
        <sz val="11"/>
        <rFont val="宋体"/>
        <family val="3"/>
        <charset val="134"/>
      </rPr>
      <t>周边路网较为密集。周边有多条公交线路，</t>
    </r>
    <r>
      <rPr>
        <sz val="11"/>
        <rFont val="宋体"/>
        <family val="3"/>
        <charset val="134"/>
      </rPr>
      <t>公交便捷度较好。整体交通便捷度较好。</t>
    </r>
    <phoneticPr fontId="27" type="noConversion"/>
  </si>
  <si>
    <t>城市主干道－北苑南路</t>
    <phoneticPr fontId="27" type="noConversion"/>
  </si>
  <si>
    <t>城市主干道－新华北路</t>
    <phoneticPr fontId="27" type="noConversion"/>
  </si>
  <si>
    <r>
      <rPr>
        <sz val="11"/>
        <rFont val="宋体"/>
        <family val="3"/>
        <charset val="134"/>
      </rPr>
      <t>周边约</t>
    </r>
    <r>
      <rPr>
        <sz val="11"/>
        <rFont val="Arial"/>
        <family val="2"/>
      </rPr>
      <t>1</t>
    </r>
    <r>
      <rPr>
        <sz val="11"/>
        <rFont val="宋体"/>
        <family val="3"/>
        <charset val="134"/>
      </rPr>
      <t>公里范围内人文设施较少；周边约</t>
    </r>
    <r>
      <rPr>
        <sz val="11"/>
        <rFont val="Arial"/>
        <family val="2"/>
      </rPr>
      <t>1</t>
    </r>
    <r>
      <rPr>
        <sz val="11"/>
        <rFont val="宋体"/>
        <family val="3"/>
        <charset val="134"/>
      </rPr>
      <t>公里范围内有公园等绿化设施，自然环境较好。综合评价，综合考虑自然及人文环境较好。</t>
    </r>
    <phoneticPr fontId="27" type="noConversion"/>
  </si>
  <si>
    <t>北京市通州区中山大街61号</t>
    <phoneticPr fontId="3" type="noConversion"/>
  </si>
  <si>
    <t>北京市通州区新华北路东侧</t>
    <phoneticPr fontId="3" type="noConversion"/>
  </si>
  <si>
    <t>北京市通州区新华西街58号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</si>
</sst>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1"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181" fontId="71" fillId="9" borderId="12" xfId="0" applyNumberFormat="1" applyFont="1" applyFill="1" applyBorder="1" applyAlignment="1" applyProtection="1">
      <alignment horizontal="center" vertical="center"/>
      <protection locked="0"/>
    </xf>
    <xf numFmtId="0" fontId="145" fillId="0" borderId="0" xfId="0" applyFon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58"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20" fillId="2" borderId="18" xfId="0" applyNumberFormat="1" applyFont="1" applyFill="1" applyBorder="1" applyAlignment="1" applyProtection="1">
      <alignment horizontal="center" vertical="center" wrapText="1"/>
      <protection locked="0"/>
    </xf>
    <xf numFmtId="0" fontId="144" fillId="0" borderId="5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2662</v>
      </c>
      <c r="B1" s="2921" t="s">
        <v>2759</v>
      </c>
    </row>
    <row r="2" spans="1:55" s="2925" customFormat="1" ht="15" thickTop="1">
      <c r="A2" s="2923" t="s">
        <v>2666</v>
      </c>
      <c r="B2" s="2924" t="str">
        <f>'预评函-封皮'!B37</f>
        <v>北京市通州区运河核心区Ⅷ-14-2地块F3其他类多功能用地项目商务金融（办公、商业及地下车库）用地出让国有建设用地使用权抵押价格预评估</v>
      </c>
      <c r="AX2" s="2926"/>
      <c r="AZ2" s="2926"/>
      <c r="BA2" s="2927"/>
      <c r="BC2" s="2927"/>
    </row>
    <row r="3" spans="1:55" s="2928" customFormat="1">
      <c r="A3" s="2907" t="s">
        <v>2667</v>
      </c>
      <c r="B3" s="2910" t="str">
        <f>'预评函-封皮'!B40</f>
        <v>鹏瑞利美融加一（北京）置业有限公司</v>
      </c>
    </row>
    <row r="4" spans="1:55" s="2909" customFormat="1">
      <c r="A4" s="2907" t="s">
        <v>2668</v>
      </c>
      <c r="B4" s="2908" t="str">
        <f>'预评函-封皮'!B46</f>
        <v>欧红伟、梁津</v>
      </c>
      <c r="N4" s="2909" t="str">
        <f>'预评函-1'!A28</f>
        <v/>
      </c>
    </row>
    <row r="5" spans="1:55" s="2922" customFormat="1" ht="15" thickBot="1">
      <c r="A5" s="2929" t="s">
        <v>2669</v>
      </c>
      <c r="B5" s="2930" t="str">
        <f>'预评函-封皮'!B49</f>
        <v>康正预评字2017-1-0902-F03DYGJ1号</v>
      </c>
    </row>
    <row r="6" spans="1:55" s="2931" customFormat="1" ht="15" thickTop="1">
      <c r="A6" s="2923" t="s">
        <v>2711</v>
      </c>
      <c r="B6" s="2924" t="str">
        <f>'预评函-1'!A4</f>
        <v>受贵公司委托，我公司对北京市通州区运河核心区Ⅷ-14-2地块F3其他类多功能用地项目商务金融（办公、商业及地下车库）用地出让国有建设用地使用权抵押价格进行了预评估。</v>
      </c>
      <c r="AM6" s="2932"/>
    </row>
    <row r="7" spans="1:55" s="2906" customFormat="1">
      <c r="A7" s="2907" t="s">
        <v>2663</v>
      </c>
      <c r="B7" s="2908" t="str">
        <f>'预评函-1'!A6</f>
        <v>估价对象为使用的、位于北京市通州区运河核心区Ⅷ-14-2地块F3其他类多功能用地项目商务金融（办公、商业及地下车库）用地出让国有建设用地使用权。根据《国有土地使用证》[]，估价对象（分摊）出让国有建设用地使用权面积为9969.76平方米。根据《建设工程规划许可证》[]、《出让合同》[]，估价对象规划建筑面积为130076.72平方米。</v>
      </c>
    </row>
    <row r="8" spans="1:55" s="2906" customFormat="1">
      <c r="A8" s="2907" t="s">
        <v>2664</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2714</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2665</v>
      </c>
      <c r="B10" s="2908" t="str">
        <f>'预评函-1'!A11</f>
        <v>2017年10月27日（评估专业人员勘察现场之日）</v>
      </c>
    </row>
    <row r="11" spans="1:55" s="2906" customFormat="1">
      <c r="A11" s="2907" t="s">
        <v>2671</v>
      </c>
      <c r="B11" s="2908" t="str">
        <f>'预评函-1'!A14</f>
        <v>根据《国有土地使用证》[]，本次评估估价对象证载（地类）用途为。</v>
      </c>
    </row>
    <row r="12" spans="1:55" s="2906" customFormat="1">
      <c r="A12" s="2907" t="s">
        <v>2672</v>
      </c>
      <c r="B12" s="2908" t="str">
        <f>'预评函-1'!A15</f>
        <v>本次评估设定用途即为证载用途。</v>
      </c>
    </row>
    <row r="13" spans="1:55" s="2906" customFormat="1">
      <c r="A13" s="2907" t="s">
        <v>2673</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2674</v>
      </c>
      <c r="B14" s="2908" t="str">
        <f>'预评函-1'!A18</f>
        <v>。本次评估设定土地开发程度为红线外市政基础设施达“七通”、宗地红线内场地平整。</v>
      </c>
    </row>
    <row r="15" spans="1:55" s="2906" customFormat="1">
      <c r="A15" s="2907" t="s">
        <v>2670</v>
      </c>
      <c r="B15" s="2908" t="str">
        <f>'预评函-1'!A20</f>
        <v>根据《国有土地使用证》[]，估价对象（分摊）出让国有建设用地使用权面积为9969.76平方米。根据《建设工程规划许可证》[]、《出让合同》[]，估价对象规划建筑面积为130076.72平方米。</v>
      </c>
    </row>
    <row r="16" spans="1:55" s="2906" customFormat="1">
      <c r="A16" s="2907" t="s">
        <v>2675</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17" spans="1:48" s="2906" customFormat="1">
      <c r="A17" s="2907" t="s">
        <v>2676</v>
      </c>
      <c r="B17" s="2908" t="str">
        <f>'预评函-1'!A23</f>
        <v>本次评估设定估价对象剩余土地使用年限为。</v>
      </c>
    </row>
    <row r="18" spans="1:48" s="2906" customFormat="1">
      <c r="A18" s="2907" t="s">
        <v>2677</v>
      </c>
      <c r="B18" s="2908" t="str">
        <f>'预评函-1'!A25</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19" spans="1:48" s="2906" customFormat="1">
      <c r="A19" s="2907" t="s">
        <v>2678</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2679</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2680</v>
      </c>
      <c r="B21" s="2930" t="str">
        <f>'预评函-1'!A28</f>
        <v/>
      </c>
    </row>
    <row r="22" spans="1:48" ht="15" thickTop="1">
      <c r="A22" s="2918" t="s">
        <v>2681</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2682</v>
      </c>
      <c r="B23" s="2908" t="str">
        <f>'预评函-2'!K2</f>
        <v>估价期日：2017年10月27日</v>
      </c>
    </row>
    <row r="24" spans="1:48">
      <c r="A24" s="2907" t="s">
        <v>2683</v>
      </c>
      <c r="B24" s="2908" t="str">
        <f>'预评函-2'!R2</f>
        <v>估价期日的国有建设用地使用权性质：出让</v>
      </c>
    </row>
    <row r="25" spans="1:48">
      <c r="A25" s="2907" t="s">
        <v>2739</v>
      </c>
      <c r="B25" s="2908" t="str">
        <f>'预评函-2'!A3</f>
        <v>估价期日土地使用者</v>
      </c>
    </row>
    <row r="26" spans="1:48">
      <c r="A26" s="2907" t="s">
        <v>2715</v>
      </c>
      <c r="B26" s="2908" t="str">
        <f>'预评函-2'!A5</f>
        <v>中信开发</v>
      </c>
    </row>
    <row r="27" spans="1:48">
      <c r="A27" s="2907" t="s">
        <v>2740</v>
      </c>
      <c r="B27" s="2908" t="str">
        <f>'预评函-2'!B3</f>
        <v>宗地编号/不动产单元号</v>
      </c>
    </row>
    <row r="28" spans="1:48">
      <c r="A28" s="2907" t="s">
        <v>2716</v>
      </c>
      <c r="B28" s="2908" t="str">
        <f>'预评函-2'!B5</f>
        <v>11111111111</v>
      </c>
    </row>
    <row r="29" spans="1:48">
      <c r="A29" s="2907" t="s">
        <v>2742</v>
      </c>
      <c r="B29" s="2908">
        <f>'预评函-2'!C5</f>
        <v>22</v>
      </c>
    </row>
    <row r="30" spans="1:48">
      <c r="A30" s="2907" t="s">
        <v>2743</v>
      </c>
      <c r="B30" s="2908" t="str">
        <f>'预评函-2'!D3</f>
        <v>土地使用证编号/不动产权证书编号</v>
      </c>
    </row>
    <row r="31" spans="1:48">
      <c r="A31" s="2907" t="s">
        <v>2717</v>
      </c>
      <c r="B31" s="2908" t="str">
        <f>'预评函-2'!D5</f>
        <v>京国土字第111号</v>
      </c>
    </row>
    <row r="32" spans="1:48">
      <c r="A32" s="2907" t="s">
        <v>2718</v>
      </c>
      <c r="B32" s="2908">
        <f>'预评函-2'!E5</f>
        <v>0</v>
      </c>
      <c r="AV32" s="2912"/>
    </row>
    <row r="33" spans="1:2">
      <c r="A33" s="2907" t="s">
        <v>2719</v>
      </c>
      <c r="B33" s="2908">
        <f>'预评函-2'!F5</f>
        <v>258</v>
      </c>
    </row>
    <row r="34" spans="1:2">
      <c r="A34" s="2907" t="s">
        <v>2720</v>
      </c>
      <c r="B34" s="2908">
        <f>'预评函-2'!G5</f>
        <v>0</v>
      </c>
    </row>
    <row r="35" spans="1:2">
      <c r="A35" s="2907" t="s">
        <v>2721</v>
      </c>
      <c r="B35" s="2908">
        <f>'预评函-2'!H5</f>
        <v>1.5</v>
      </c>
    </row>
    <row r="36" spans="1:2">
      <c r="A36" s="2907" t="s">
        <v>2722</v>
      </c>
      <c r="B36" s="2908">
        <f>'预评函-2'!I5</f>
        <v>1.5</v>
      </c>
    </row>
    <row r="37" spans="1:2">
      <c r="A37" s="2907" t="s">
        <v>2723</v>
      </c>
      <c r="B37" s="2908">
        <f>'预评函-2'!J5</f>
        <v>1.5</v>
      </c>
    </row>
    <row r="38" spans="1:2">
      <c r="A38" s="2907" t="s">
        <v>2724</v>
      </c>
      <c r="B38" s="2908" t="str">
        <f>'预评函-2'!K5</f>
        <v>红线外七通、宗地红线内</v>
      </c>
    </row>
    <row r="39" spans="1:2">
      <c r="A39" s="2907" t="s">
        <v>2725</v>
      </c>
      <c r="B39" s="2908" t="str">
        <f>'预评函-2'!L5</f>
        <v>红线外七通、宗地红线内场地</v>
      </c>
    </row>
    <row r="40" spans="1:2">
      <c r="A40" s="2907" t="s">
        <v>2744</v>
      </c>
      <c r="B40" s="2908" t="str">
        <f>'预评函-2'!M3</f>
        <v>（剩余）土地使用年限/年</v>
      </c>
    </row>
    <row r="41" spans="1:2">
      <c r="A41" s="2907" t="s">
        <v>2726</v>
      </c>
      <c r="B41" s="2908">
        <f>'预评函-2'!M5</f>
        <v>0</v>
      </c>
    </row>
    <row r="42" spans="1:2">
      <c r="A42" s="2907" t="s">
        <v>2745</v>
      </c>
      <c r="B42" s="2908" t="str">
        <f>'预评函-2'!N3</f>
        <v>（分摊）出让国有建设用地使用权面积/㎡</v>
      </c>
    </row>
    <row r="43" spans="1:2">
      <c r="A43" s="2907" t="s">
        <v>2727</v>
      </c>
      <c r="B43" s="2908">
        <f>'预评函-2'!N5</f>
        <v>9969.76</v>
      </c>
    </row>
    <row r="44" spans="1:2">
      <c r="A44" s="2907" t="s">
        <v>2746</v>
      </c>
      <c r="B44" s="2908" t="str">
        <f>'预评函-2'!O3</f>
        <v>规划建筑面积/㎡</v>
      </c>
    </row>
    <row r="45" spans="1:2">
      <c r="A45" s="2907" t="s">
        <v>2728</v>
      </c>
      <c r="B45" s="2908">
        <f>'预评函-2'!O5</f>
        <v>130076.72</v>
      </c>
    </row>
    <row r="46" spans="1:2">
      <c r="A46" s="2907" t="s">
        <v>2729</v>
      </c>
      <c r="B46" s="2908">
        <f ca="1">'预评函-2'!P5</f>
        <v>154845</v>
      </c>
    </row>
    <row r="47" spans="1:2">
      <c r="A47" s="2907" t="s">
        <v>2730</v>
      </c>
      <c r="B47" s="2908">
        <f ca="1">'预评函-2'!Q5</f>
        <v>11868</v>
      </c>
    </row>
    <row r="48" spans="1:2">
      <c r="A48" s="2907" t="s">
        <v>2731</v>
      </c>
      <c r="B48" s="2908">
        <f ca="1">'预评函-2'!R5</f>
        <v>154377</v>
      </c>
    </row>
    <row r="49" spans="1:2">
      <c r="A49" s="2907" t="s">
        <v>2747</v>
      </c>
      <c r="B49" s="2908" t="str">
        <f>'预评函-2'!A6</f>
        <v>抵押价格</v>
      </c>
    </row>
    <row r="50" spans="1:2">
      <c r="A50" s="2907" t="s">
        <v>2732</v>
      </c>
      <c r="B50" s="2908">
        <f ca="1">'预评函-2'!R6</f>
        <v>109577</v>
      </c>
    </row>
    <row r="51" spans="1:2">
      <c r="A51" s="2907" t="s">
        <v>2748</v>
      </c>
      <c r="B51" s="2908" t="str">
        <f>'预评函-2'!A7</f>
        <v>——</v>
      </c>
    </row>
    <row r="52" spans="1:2">
      <c r="A52" s="2907" t="s">
        <v>2733</v>
      </c>
      <c r="B52" s="2908" t="str">
        <f>'预评函-2'!R7</f>
        <v>——</v>
      </c>
    </row>
    <row r="53" spans="1:2">
      <c r="A53" s="2907" t="s">
        <v>2749</v>
      </c>
      <c r="B53" s="2908" t="str">
        <f>'预评函-2'!A8</f>
        <v>——</v>
      </c>
    </row>
    <row r="54" spans="1:2" s="2922" customFormat="1" ht="15" thickBot="1">
      <c r="A54" s="2929" t="s">
        <v>2734</v>
      </c>
      <c r="B54" s="2930" t="str">
        <f>'预评函-2'!R8</f>
        <v>——</v>
      </c>
    </row>
    <row r="55" spans="1:2" ht="15" thickTop="1">
      <c r="A55" s="2918" t="s">
        <v>2684</v>
      </c>
      <c r="B55" s="2919" t="str">
        <f>'预评函-3'!A2</f>
        <v>1.权利限制：根据估价对象《不动产权证书》原件、《国有土地使用权》复印件，截至估价期日，估价对象抵押权未见登记。未设定租赁等其他他项权利。</v>
      </c>
    </row>
    <row r="56" spans="1:2">
      <c r="A56" s="2907" t="s">
        <v>2685</v>
      </c>
      <c r="B56" s="2908" t="str">
        <f>'预评函-3'!A3</f>
        <v>2.基础设施条件：估价对象实际开发程度为红线外七通、宗地红线内；本次评估设定开发程度为红线外七通、宗地红线内场地。</v>
      </c>
    </row>
    <row r="57" spans="1:2">
      <c r="A57" s="2907" t="s">
        <v>2686</v>
      </c>
      <c r="B57" s="2908" t="str">
        <f>'预评函-3'!A4</f>
        <v>3.估价规划限制条件：详见《建设工程规划许可证》[]、《出让合同》[]。</v>
      </c>
    </row>
    <row r="58" spans="1:2" s="2922" customFormat="1" ht="15" thickBot="1">
      <c r="A58" s="2929" t="s">
        <v>2735</v>
      </c>
      <c r="B58" s="2930" t="str">
        <f>'预评函-3'!A5</f>
        <v>4.影响价格的其他限定条件：无。</v>
      </c>
    </row>
    <row r="59" spans="1:2" ht="15" thickTop="1">
      <c r="A59" s="2918" t="s">
        <v>2687</v>
      </c>
      <c r="B59" s="2919" t="str">
        <f>'预评函-3'!A8</f>
        <v>2.本《评估意见函》仅供金融机构进行内部审核使用，不做其他目的之用。</v>
      </c>
    </row>
    <row r="60" spans="1:2">
      <c r="A60" s="2907" t="s">
        <v>2688</v>
      </c>
      <c r="B60" s="2908" t="str">
        <f>'预评函-3'!A9</f>
        <v>3.抵押双方在办理抵押登记手续时，应使用本公司出具的正式《土地估价报告》，特提请报告使用者注意。</v>
      </c>
    </row>
    <row r="61" spans="1:2">
      <c r="A61" s="2907" t="s">
        <v>2690</v>
      </c>
      <c r="B61" s="2908" t="str">
        <f>'预评函-3'!A10</f>
        <v>4.估价师所知悉的法定优先受偿款情况为：</v>
      </c>
    </row>
    <row r="62" spans="1:2">
      <c r="A62" s="2907" t="s">
        <v>2689</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2691</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2692</v>
      </c>
      <c r="B64" s="2913" t="str">
        <f>'预评函-3'!A13</f>
        <v>（3）。</v>
      </c>
    </row>
    <row r="65" spans="1:2">
      <c r="A65" s="2907" t="s">
        <v>2693</v>
      </c>
      <c r="B65" s="2914" t="str">
        <f>'预评函-3'!A14</f>
        <v>综上，本次评估估价师知悉的法定优先受偿款为人民币44800万元整。</v>
      </c>
    </row>
    <row r="66" spans="1:2">
      <c r="A66" s="2907" t="s">
        <v>2694</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2695</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2698</v>
      </c>
      <c r="B68" s="2933">
        <f>'预评函-3'!D30</f>
        <v>42558</v>
      </c>
    </row>
    <row r="69" spans="1:2" ht="15" thickTop="1">
      <c r="A69" s="2918" t="s">
        <v>2696</v>
      </c>
      <c r="B69" s="2919" t="str">
        <f>'预评函-3'!A20</f>
        <v>欧红伟</v>
      </c>
    </row>
    <row r="70" spans="1:2">
      <c r="A70" s="2907" t="s">
        <v>2696</v>
      </c>
      <c r="B70" s="2914">
        <f ca="1">'预评函-3'!B20</f>
        <v>2000110082</v>
      </c>
    </row>
    <row r="71" spans="1:2">
      <c r="A71" s="2907" t="s">
        <v>2697</v>
      </c>
      <c r="B71" s="2908" t="str">
        <f>'预评函-3'!A21</f>
        <v>梁津</v>
      </c>
    </row>
    <row r="72" spans="1:2" s="2922" customFormat="1" ht="15" thickBot="1">
      <c r="A72" s="2929" t="s">
        <v>2697</v>
      </c>
      <c r="B72" s="2935">
        <f ca="1">'预评函-3'!B21</f>
        <v>96010014</v>
      </c>
    </row>
    <row r="73" spans="1:2" ht="15" thickTop="1">
      <c r="A73" s="2918" t="s">
        <v>2756</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2757</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2758</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2793</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D3" sqref="D3"/>
    </sheetView>
  </sheetViews>
  <sheetFormatPr defaultColWidth="10" defaultRowHeight="14.25"/>
  <cols>
    <col min="1" max="1" width="15.375" style="1693" customWidth="1"/>
    <col min="2" max="2" width="11.375" style="1693" customWidth="1"/>
    <col min="3" max="3" width="12.625" style="1693" customWidth="1"/>
    <col min="4" max="4" width="15.25"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1938</v>
      </c>
      <c r="B1" s="3226" t="str">
        <f>IF(B10="北京市","北京市",C10)&amp;F10&amp;B16&amp;"国有建设用地使用权"&amp;B9&amp;"预评估"</f>
        <v>北京市通州区运河核心区Ⅷ-14-2地块F3其他类多功能用地项目商务金融（办公、商业及地下车库）用地出让国有建设用地使用权抵押价格预评估</v>
      </c>
      <c r="C1" s="3227"/>
      <c r="D1" s="3227"/>
      <c r="E1" s="3227"/>
      <c r="F1" s="3227"/>
      <c r="G1" s="3227"/>
      <c r="H1" s="3227"/>
      <c r="I1" s="3228"/>
      <c r="J1" s="1696"/>
      <c r="K1" s="2482" t="str">
        <f>IF(B10="北京市","北京市",C10)&amp;F10&amp;B16&amp;"国有建设用地使用权"&amp;B9</f>
        <v>北京市通州区运河核心区Ⅷ-14-2地块F3其他类多功能用地项目商务金融（办公、商业及地下车库）用地出让国有建设用地使用权抵押价格</v>
      </c>
      <c r="L1" s="1725"/>
      <c r="M1" s="1725"/>
      <c r="N1" s="1696"/>
      <c r="O1" s="1697"/>
      <c r="P1" s="1696"/>
      <c r="Q1" s="1696"/>
      <c r="R1" s="1696"/>
      <c r="S1" s="1696"/>
      <c r="T1" s="1696"/>
      <c r="U1" s="1696"/>
    </row>
    <row r="2" spans="1:21">
      <c r="A2" s="1662" t="s">
        <v>1939</v>
      </c>
      <c r="B2" s="1844" t="s">
        <v>2975</v>
      </c>
      <c r="D2" s="1696"/>
      <c r="E2" s="1696"/>
      <c r="F2" s="1696"/>
      <c r="G2" s="1696"/>
      <c r="H2" s="1662"/>
      <c r="I2" s="1697"/>
      <c r="J2" s="1696"/>
      <c r="K2" s="2482" t="str">
        <f>IF(B10="北京市","北京市",C10)&amp;F10&amp;B16&amp;"国有建设用地使用权"</f>
        <v>北京市通州区运河核心区Ⅷ-14-2地块F3其他类多功能用地项目商务金融（办公、商业及地下车库）用地出让国有建设用地使用权</v>
      </c>
      <c r="L2" s="1725"/>
      <c r="M2" s="1725"/>
      <c r="N2" s="1696"/>
      <c r="O2" s="1697"/>
      <c r="P2" s="1696"/>
      <c r="Q2" s="1696"/>
      <c r="R2" s="1696"/>
      <c r="S2" s="1696"/>
      <c r="T2" s="1696"/>
      <c r="U2" s="1696"/>
    </row>
    <row r="3" spans="1:21">
      <c r="A3" s="1663" t="s">
        <v>1940</v>
      </c>
      <c r="B3" s="1664">
        <v>43035</v>
      </c>
      <c r="C3" s="1665" t="s">
        <v>1996</v>
      </c>
      <c r="D3" s="1664">
        <f>B3</f>
        <v>43035</v>
      </c>
      <c r="E3" s="1696"/>
      <c r="F3" s="1696"/>
      <c r="G3" s="1696"/>
      <c r="H3" s="1662"/>
      <c r="I3" s="1697"/>
      <c r="J3" s="1696"/>
      <c r="K3" s="1776"/>
      <c r="L3" s="1725"/>
      <c r="M3" s="1725"/>
      <c r="N3" s="1696"/>
      <c r="O3" s="1697"/>
      <c r="P3" s="1696"/>
      <c r="Q3" s="1696"/>
      <c r="R3" s="1696"/>
      <c r="S3" s="1696"/>
      <c r="T3" s="1696"/>
      <c r="U3" s="1696"/>
    </row>
    <row r="4" spans="1:21" ht="15" thickBot="1">
      <c r="A4" s="1666" t="s">
        <v>1941</v>
      </c>
      <c r="B4" s="1845" t="s">
        <v>2976</v>
      </c>
      <c r="C4" s="1848">
        <f ca="1">SUMIF(土地估价师,B4,估价师及机构信息!E3:E24)</f>
        <v>2000110082</v>
      </c>
      <c r="D4" s="1845" t="s">
        <v>2977</v>
      </c>
      <c r="E4" s="1848">
        <f ca="1">SUMIF(土地估价师,D4,估价师及机构信息!E3:E24)</f>
        <v>96010014</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1942</v>
      </c>
      <c r="B5" s="1791" t="s">
        <v>2978</v>
      </c>
      <c r="C5" s="1668"/>
      <c r="D5" s="1669"/>
      <c r="E5" s="1696"/>
      <c r="F5" s="1696"/>
      <c r="G5" s="1696"/>
      <c r="H5" s="1662"/>
      <c r="I5" s="1697"/>
      <c r="J5" s="1696"/>
      <c r="K5" s="1776"/>
      <c r="L5" s="1725"/>
      <c r="M5" s="1725"/>
      <c r="N5" s="1696"/>
      <c r="O5" s="1697"/>
      <c r="P5" s="1696"/>
      <c r="Q5" s="1696"/>
      <c r="R5" s="1696"/>
      <c r="S5" s="1696"/>
      <c r="T5" s="1696"/>
      <c r="U5" s="1696"/>
    </row>
    <row r="6" spans="1:21" ht="26.25">
      <c r="A6" s="1665" t="s">
        <v>2712</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2713</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1943</v>
      </c>
      <c r="B8" s="1672" t="s">
        <v>2979</v>
      </c>
      <c r="C8" s="1673"/>
      <c r="D8" s="3232" t="s">
        <v>1945</v>
      </c>
      <c r="E8" s="1846" t="s">
        <v>2980</v>
      </c>
      <c r="F8" s="1674"/>
      <c r="G8" s="1662"/>
      <c r="H8" s="1662"/>
      <c r="I8" s="1709"/>
      <c r="J8" s="1696"/>
      <c r="K8" s="1776"/>
      <c r="L8" s="1725"/>
      <c r="M8" s="1725"/>
      <c r="N8" s="1696"/>
      <c r="O8" s="1697"/>
      <c r="P8" s="1696"/>
      <c r="Q8" s="1696"/>
      <c r="R8" s="1696"/>
      <c r="S8" s="1696"/>
      <c r="T8" s="1696"/>
      <c r="U8" s="1696"/>
    </row>
    <row r="9" spans="1:21" ht="15" thickBot="1">
      <c r="A9" s="1675" t="s">
        <v>1944</v>
      </c>
      <c r="B9" s="1676" t="s">
        <v>2980</v>
      </c>
      <c r="C9" s="1677"/>
      <c r="D9" s="3233"/>
      <c r="E9" s="1676" t="s">
        <v>953</v>
      </c>
      <c r="F9" s="1749"/>
      <c r="G9" s="1744"/>
      <c r="H9" s="1744"/>
      <c r="I9" s="1745"/>
      <c r="J9" s="1696"/>
      <c r="K9" s="1776"/>
      <c r="L9" s="1725"/>
      <c r="M9" s="1725"/>
      <c r="N9" s="1696"/>
      <c r="O9" s="1697"/>
      <c r="P9" s="1696"/>
      <c r="Q9" s="1696"/>
      <c r="R9" s="1696"/>
      <c r="S9" s="1696"/>
      <c r="T9" s="1696"/>
      <c r="U9" s="1696"/>
    </row>
    <row r="10" spans="1:21" ht="15" thickTop="1">
      <c r="A10" s="1746" t="s">
        <v>2000</v>
      </c>
      <c r="B10" s="1721" t="s">
        <v>1946</v>
      </c>
      <c r="C10" s="1678"/>
      <c r="D10" s="1669"/>
      <c r="E10" s="1679" t="s">
        <v>1947</v>
      </c>
      <c r="F10" s="1680" t="s">
        <v>2981</v>
      </c>
      <c r="G10" s="1747"/>
      <c r="H10" s="1748"/>
      <c r="I10" s="1669"/>
      <c r="J10" s="1696"/>
      <c r="K10" s="1776"/>
      <c r="L10" s="1725"/>
      <c r="M10" s="1725"/>
      <c r="N10" s="1696"/>
      <c r="O10" s="1697"/>
      <c r="P10" s="1696"/>
      <c r="Q10" s="1696"/>
      <c r="R10" s="1696"/>
      <c r="S10" s="1696"/>
      <c r="T10" s="1696"/>
      <c r="U10" s="1696"/>
    </row>
    <row r="11" spans="1:21">
      <c r="A11" s="1699" t="s">
        <v>2001</v>
      </c>
      <c r="B11" s="1700" t="s">
        <v>2982</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2059</v>
      </c>
      <c r="B12" s="3229"/>
      <c r="C12" s="3230"/>
      <c r="D12" s="3231"/>
      <c r="E12" s="1701" t="s">
        <v>2062</v>
      </c>
      <c r="F12" s="3247" t="s">
        <v>2895</v>
      </c>
      <c r="G12" s="3248"/>
      <c r="H12" s="3248"/>
      <c r="I12" s="3249"/>
      <c r="J12" s="1696"/>
      <c r="K12" s="1776"/>
      <c r="L12" s="1725"/>
      <c r="M12" s="1725"/>
      <c r="N12" s="1696"/>
      <c r="O12" s="1697"/>
      <c r="P12" s="1696"/>
      <c r="Q12" s="1696"/>
      <c r="R12" s="1696"/>
      <c r="S12" s="1696"/>
      <c r="T12" s="1696"/>
      <c r="U12" s="1696"/>
    </row>
    <row r="13" spans="1:21">
      <c r="A13" s="1689" t="s">
        <v>2060</v>
      </c>
      <c r="B13" s="3229"/>
      <c r="C13" s="3230"/>
      <c r="D13" s="3231"/>
      <c r="E13" s="1701" t="s">
        <v>2062</v>
      </c>
      <c r="F13" s="3247" t="s">
        <v>2896</v>
      </c>
      <c r="G13" s="3248"/>
      <c r="H13" s="3248"/>
      <c r="I13" s="3249"/>
      <c r="J13" s="1696"/>
      <c r="K13" s="1776"/>
      <c r="L13" s="1725"/>
      <c r="M13" s="1725"/>
      <c r="N13" s="1696"/>
      <c r="O13" s="1697"/>
      <c r="P13" s="1696"/>
      <c r="Q13" s="1696"/>
      <c r="R13" s="1696"/>
      <c r="S13" s="1696"/>
      <c r="T13" s="1696"/>
      <c r="U13" s="1696"/>
    </row>
    <row r="14" spans="1:21">
      <c r="A14" s="1663" t="s">
        <v>2063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1950</v>
      </c>
      <c r="E15" s="1768" t="s">
        <v>1951</v>
      </c>
      <c r="F15" s="1768" t="s">
        <v>1952</v>
      </c>
      <c r="G15" s="1688" t="s">
        <v>1953</v>
      </c>
      <c r="H15" s="1688" t="s">
        <v>1954</v>
      </c>
      <c r="I15" s="1688" t="s">
        <v>1955</v>
      </c>
      <c r="J15" s="1696"/>
      <c r="K15" s="1776"/>
      <c r="L15" s="1725"/>
      <c r="M15" s="1725"/>
      <c r="N15" s="1696"/>
      <c r="O15" s="1697"/>
      <c r="P15" s="1696"/>
      <c r="Q15" s="1696"/>
      <c r="R15" s="1696"/>
      <c r="S15" s="1696"/>
      <c r="T15" s="1696"/>
      <c r="U15" s="1696"/>
    </row>
    <row r="16" spans="1:21" ht="42.75">
      <c r="A16" s="1682" t="s">
        <v>1948</v>
      </c>
      <c r="B16" s="1683" t="s">
        <v>2985</v>
      </c>
      <c r="C16" s="1701" t="s">
        <v>1949</v>
      </c>
      <c r="D16" s="2674" t="s">
        <v>1950</v>
      </c>
      <c r="E16" s="1724" t="s">
        <v>2983</v>
      </c>
      <c r="F16" s="1724" t="s">
        <v>1679</v>
      </c>
      <c r="G16" s="1724" t="s">
        <v>35</v>
      </c>
      <c r="H16" s="1724"/>
      <c r="I16" s="1688" t="s">
        <v>1955</v>
      </c>
      <c r="J16" s="1696"/>
      <c r="K16" s="2483" t="str">
        <f>IF(D17="","",D16&amp;TEXT(D17,"yyyy年m月d日;;"))</f>
        <v/>
      </c>
      <c r="L16" s="1701" t="str">
        <f>IF(OR(K16="",M16=""),"","、")</f>
        <v/>
      </c>
      <c r="M16" s="2483" t="str">
        <f>IF(E17="","",E16&amp;TEXT(E17,"yyyy年m月d日;;"))</f>
        <v>商业2052年11月4日</v>
      </c>
      <c r="N16" s="1701" t="str">
        <f>IF(OR(M16="",O16=""),"","、")</f>
        <v>、</v>
      </c>
      <c r="O16" s="2483" t="str">
        <f>IF(F17="","",F16&amp;TEXT(F17,"yyyy年m月d日;;"))</f>
        <v>办公2062年11月4日</v>
      </c>
      <c r="P16" s="1701" t="str">
        <f>IF(OR(O16="",Q16=""),"","、")</f>
        <v>、</v>
      </c>
      <c r="Q16" s="2483" t="str">
        <f>IF(G17="","",G16&amp;TEXT(G17,"yyyy年m月d日;;"))</f>
        <v>地下车库2062年11月4日</v>
      </c>
      <c r="R16" s="1701" t="str">
        <f>IF(OR(Q16="",S16=""),"","、")</f>
        <v/>
      </c>
      <c r="S16" s="2483" t="str">
        <f>IF(H17="","",H16&amp;TEXT(H17,"yyyy年m月d日;;"))</f>
        <v/>
      </c>
      <c r="T16" s="1701" t="str">
        <f>IF(OR(S16="",U16=""),"","、")</f>
        <v/>
      </c>
      <c r="U16" s="2483" t="str">
        <f>IF(I17="","",I16&amp;TEXT(I17,"yyyy年m月d日;;"))</f>
        <v/>
      </c>
    </row>
    <row r="17" spans="1:21">
      <c r="A17" s="1765"/>
      <c r="B17" s="1684"/>
      <c r="C17" s="1685" t="s">
        <v>1956</v>
      </c>
      <c r="D17" s="1702"/>
      <c r="E17" s="1702">
        <v>55827</v>
      </c>
      <c r="F17" s="1702">
        <v>59479</v>
      </c>
      <c r="G17" s="1702">
        <f>F17</f>
        <v>59479</v>
      </c>
      <c r="H17" s="1702"/>
      <c r="I17" s="1702"/>
      <c r="J17" s="1696"/>
      <c r="K17" s="2482" t="str">
        <f>CONCATENATE(K16,L16,M16,N16,O16,P16,Q16,R16,S16,T16,,U16)</f>
        <v>商业2052年11月4日、办公2062年11月4日、地下车库2062年11月4日</v>
      </c>
      <c r="L17" s="1725"/>
      <c r="M17" s="1725"/>
      <c r="N17" s="1696"/>
      <c r="O17" s="1697"/>
      <c r="P17" s="1696"/>
      <c r="Q17" s="1696"/>
      <c r="R17" s="1696"/>
      <c r="S17" s="1696"/>
      <c r="T17" s="1696"/>
      <c r="U17" s="1696"/>
    </row>
    <row r="18" spans="1:21">
      <c r="A18" s="1765"/>
      <c r="B18" s="1684"/>
      <c r="C18" s="1685" t="s">
        <v>1957</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1958</v>
      </c>
      <c r="D19" s="1760" t="str">
        <f>IF(B16="出让",IF(D17="","",ROUNDDOWN(MIN((D17-$D$3)/365,D18),2)),D18)</f>
        <v/>
      </c>
      <c r="E19" s="1687">
        <f>IF(B16="出让",IF(E17="","",ROUNDDOWN(MIN((E17-$D$3)/365,E18),2)),E18)</f>
        <v>35.04</v>
      </c>
      <c r="F19" s="1687">
        <f>IF(B16="出让",IF(F17="","",ROUNDDOWN(MIN((F17-$D$3)/365,F18),2)),F18)</f>
        <v>45.05</v>
      </c>
      <c r="G19" s="1687">
        <f>IF(B16="出让",IF(G17="","",ROUNDDOWN(MIN((G17-$D$3)/365,G18),2)),G18)</f>
        <v>45.05</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2061</v>
      </c>
      <c r="D20" s="3244"/>
      <c r="E20" s="3245"/>
      <c r="F20" s="3245"/>
      <c r="G20" s="3245"/>
      <c r="H20" s="3245"/>
      <c r="I20" s="3246"/>
      <c r="J20" s="1696"/>
      <c r="K20" s="1776"/>
      <c r="L20" s="1725"/>
      <c r="M20" s="1725"/>
      <c r="N20" s="1696"/>
      <c r="O20" s="1697"/>
      <c r="P20" s="1696"/>
      <c r="Q20" s="1696"/>
      <c r="R20" s="1696"/>
      <c r="S20" s="1696"/>
      <c r="T20" s="1696"/>
      <c r="U20" s="1696"/>
    </row>
    <row r="21" spans="1:21">
      <c r="A21" s="1765" t="s">
        <v>1959</v>
      </c>
      <c r="B21" s="1766" t="s">
        <v>1960</v>
      </c>
      <c r="C21" s="1761">
        <f>'数据-汇总表'!E3</f>
        <v>130076.72</v>
      </c>
      <c r="D21" s="1762" t="s">
        <v>1961</v>
      </c>
      <c r="E21" s="3234" t="s">
        <v>1999</v>
      </c>
      <c r="F21" s="3235"/>
      <c r="G21" s="3235"/>
      <c r="H21" s="3235"/>
      <c r="I21" s="3236"/>
      <c r="J21" s="1696"/>
      <c r="K21" s="1776"/>
      <c r="L21" s="1725"/>
      <c r="M21" s="1725"/>
      <c r="N21" s="1696"/>
      <c r="O21" s="1697"/>
      <c r="P21" s="1696"/>
      <c r="Q21" s="1696"/>
      <c r="R21" s="1696"/>
      <c r="S21" s="1696"/>
      <c r="T21" s="1696"/>
      <c r="U21" s="1696"/>
    </row>
    <row r="22" spans="1:21">
      <c r="A22" s="2665" t="s">
        <v>953</v>
      </c>
      <c r="B22" s="1663" t="s">
        <v>1962</v>
      </c>
      <c r="C22" s="1688">
        <f>'数据-汇总表'!D3</f>
        <v>9969.76</v>
      </c>
      <c r="D22" s="1689" t="s">
        <v>1961</v>
      </c>
      <c r="E22" s="3234" t="s">
        <v>2897</v>
      </c>
      <c r="F22" s="3235"/>
      <c r="G22" s="3235"/>
      <c r="H22" s="3235"/>
      <c r="I22" s="3236"/>
      <c r="J22" s="1696"/>
      <c r="K22" s="1776"/>
      <c r="L22" s="1725"/>
      <c r="M22" s="1725"/>
      <c r="N22" s="1696"/>
      <c r="O22" s="1697"/>
      <c r="P22" s="1696"/>
      <c r="Q22" s="1696"/>
      <c r="R22" s="1696"/>
      <c r="S22" s="1696"/>
      <c r="T22" s="1696"/>
      <c r="U22" s="1696"/>
    </row>
    <row r="23" spans="1:21" ht="43.5" thickBot="1">
      <c r="A23" s="1767" t="s">
        <v>1963</v>
      </c>
      <c r="B23" s="1703" t="s">
        <v>1964</v>
      </c>
      <c r="C23" s="1704"/>
      <c r="D23" s="1705" t="s">
        <v>1965</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1966</v>
      </c>
      <c r="B24" s="3237" t="s">
        <v>1967</v>
      </c>
      <c r="C24" s="3238"/>
      <c r="D24" s="3239" t="s">
        <v>1968</v>
      </c>
      <c r="E24" s="3240"/>
      <c r="F24" s="1710" t="s">
        <v>1969</v>
      </c>
      <c r="G24" s="1696"/>
      <c r="H24" s="1696"/>
      <c r="I24" s="1709"/>
      <c r="J24" s="1696"/>
      <c r="K24" s="3225" t="s">
        <v>1970</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2326</v>
      </c>
      <c r="C25" s="1711" t="s">
        <v>1971</v>
      </c>
      <c r="D25" s="1712"/>
      <c r="E25" s="1713" t="s">
        <v>953</v>
      </c>
      <c r="F25" s="1714"/>
      <c r="G25" s="1696"/>
      <c r="H25" s="1696"/>
      <c r="I25" s="1709"/>
      <c r="J25" s="1696"/>
      <c r="K25" s="3225"/>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1972</v>
      </c>
      <c r="C26" s="1711" t="s">
        <v>2327</v>
      </c>
      <c r="D26" s="1662"/>
      <c r="E26" s="1662"/>
      <c r="F26" s="1690"/>
      <c r="G26" s="1696"/>
      <c r="H26" s="1696"/>
      <c r="I26" s="1709"/>
      <c r="J26" s="1696"/>
      <c r="K26" s="3225"/>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52" t="s">
        <v>2002</v>
      </c>
      <c r="B31" s="1766" t="s">
        <v>2003</v>
      </c>
      <c r="C31" s="3250"/>
      <c r="D31" s="3251"/>
      <c r="E31" s="1696"/>
      <c r="F31" s="1696"/>
      <c r="G31" s="1696"/>
      <c r="H31" s="1696"/>
      <c r="I31" s="1709"/>
      <c r="J31" s="1696"/>
      <c r="K31" s="2485"/>
      <c r="L31" s="1696"/>
      <c r="M31" s="1696"/>
      <c r="N31" s="1696"/>
      <c r="O31" s="1696"/>
      <c r="P31" s="1696"/>
      <c r="Q31" s="1696"/>
      <c r="R31" s="1696"/>
      <c r="S31" s="1696"/>
      <c r="T31" s="1696"/>
      <c r="U31" s="1696"/>
    </row>
    <row r="32" spans="1:21">
      <c r="A32" s="3252"/>
      <c r="B32" s="1663" t="s">
        <v>2004</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52"/>
      <c r="B33" s="1663" t="s">
        <v>2005</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53"/>
      <c r="B34" s="1663" t="s">
        <v>2006</v>
      </c>
      <c r="C34" s="3254"/>
      <c r="D34" s="3255"/>
      <c r="E34" s="1696"/>
      <c r="F34" s="1696"/>
      <c r="G34" s="1696"/>
      <c r="H34" s="1696"/>
      <c r="I34" s="1709"/>
      <c r="J34" s="1696"/>
      <c r="K34" s="2485"/>
      <c r="L34" s="1696"/>
      <c r="M34" s="1696"/>
      <c r="N34" s="1696"/>
      <c r="O34" s="1696"/>
      <c r="P34" s="1696"/>
      <c r="Q34" s="1696"/>
      <c r="R34" s="1696"/>
      <c r="S34" s="1696"/>
      <c r="T34" s="1696"/>
      <c r="U34" s="1696"/>
    </row>
    <row r="35" spans="1:21">
      <c r="A35" s="3256" t="s">
        <v>848</v>
      </c>
      <c r="B35" s="1724"/>
      <c r="C35" s="1778" t="str">
        <f>IF(B35="场地平整","——","具体情况：")</f>
        <v>具体情况：</v>
      </c>
      <c r="D35" s="3258"/>
      <c r="E35" s="3259"/>
      <c r="F35" s="3259"/>
      <c r="G35" s="3259"/>
      <c r="H35" s="3259"/>
      <c r="I35" s="3260"/>
      <c r="J35" s="1696"/>
      <c r="K35" s="1777"/>
      <c r="L35" s="1725"/>
      <c r="M35" s="1725"/>
      <c r="N35" s="1696"/>
      <c r="O35" s="1697"/>
      <c r="P35" s="1696"/>
      <c r="Q35" s="1696"/>
      <c r="R35" s="1696"/>
      <c r="S35" s="1696"/>
      <c r="T35" s="1696"/>
      <c r="U35" s="1696"/>
    </row>
    <row r="36" spans="1:21">
      <c r="A36" s="3252"/>
      <c r="B36" s="3261" t="s">
        <v>2055</v>
      </c>
      <c r="C36" s="3262"/>
      <c r="D36" s="1794"/>
      <c r="E36" s="3263"/>
      <c r="F36" s="3263"/>
      <c r="G36" s="1689" t="str">
        <f>IF(B35="场地未平整","估价结果处理","")</f>
        <v/>
      </c>
      <c r="H36" s="3264"/>
      <c r="I36" s="3264"/>
      <c r="J36" s="1696"/>
      <c r="K36" s="1777"/>
      <c r="L36" s="1725"/>
      <c r="M36" s="1725"/>
      <c r="N36" s="1696"/>
      <c r="O36" s="1697"/>
      <c r="P36" s="1696"/>
      <c r="Q36" s="1696"/>
      <c r="R36" s="1696"/>
      <c r="S36" s="1696"/>
      <c r="T36" s="1696"/>
      <c r="U36" s="1696"/>
    </row>
    <row r="37" spans="1:21" ht="28.5">
      <c r="A37" s="3252"/>
      <c r="B37" s="3241"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52"/>
      <c r="B38" s="3242"/>
      <c r="C38" s="1671" t="s">
        <v>851</v>
      </c>
      <c r="D38" s="1793">
        <f>ROUNDDOWN(MIN(('数据-取费表'!$B$2-D37)/365,D34),1)</f>
        <v>117.9</v>
      </c>
      <c r="E38" s="1729" t="s">
        <v>852</v>
      </c>
      <c r="F38" s="1696"/>
      <c r="G38" s="1696"/>
      <c r="H38" s="1696"/>
      <c r="I38" s="1709"/>
      <c r="J38" s="1696"/>
      <c r="K38" s="1777"/>
      <c r="L38" s="1696"/>
      <c r="M38" s="1696"/>
      <c r="N38" s="1696"/>
      <c r="O38" s="1696"/>
      <c r="P38" s="1696"/>
      <c r="Q38" s="1696"/>
      <c r="R38" s="1696"/>
      <c r="S38" s="1696"/>
      <c r="T38" s="1696"/>
      <c r="U38" s="1696"/>
    </row>
    <row r="39" spans="1:21">
      <c r="A39" s="3253"/>
      <c r="B39" s="3243"/>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c r="C40" s="1692"/>
      <c r="D40" s="1692"/>
      <c r="E40" s="1692"/>
      <c r="F40" s="1692"/>
      <c r="G40" s="1692"/>
      <c r="H40" s="1692"/>
      <c r="I40" s="1709"/>
      <c r="J40" s="1696"/>
      <c r="K40" s="1732">
        <f>COUNTIF(B40:H40,"——")</f>
        <v>0</v>
      </c>
      <c r="L40" s="1701" t="s">
        <v>1979</v>
      </c>
      <c r="M40" s="1698" t="s">
        <v>1980</v>
      </c>
      <c r="N40" s="1698" t="s">
        <v>1981</v>
      </c>
      <c r="O40" s="1698" t="s">
        <v>1982</v>
      </c>
      <c r="P40" s="1698" t="s">
        <v>1983</v>
      </c>
      <c r="Q40" s="1698" t="s">
        <v>1984</v>
      </c>
      <c r="R40" s="1698" t="s">
        <v>1985</v>
      </c>
      <c r="S40" s="3224" t="s">
        <v>1986</v>
      </c>
      <c r="T40" s="1733" t="str">
        <f>NUMBERSTRING(7-K40,1)&amp;"通"</f>
        <v>七通</v>
      </c>
      <c r="U40" s="1696"/>
    </row>
    <row r="41" spans="1:21">
      <c r="A41" s="1665"/>
      <c r="B41" s="3257" t="s">
        <v>1720</v>
      </c>
      <c r="C41" s="3257"/>
      <c r="D41" s="3257"/>
      <c r="E41" s="3257"/>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24"/>
      <c r="T41" s="1735" t="str">
        <f>IF(T40="一通",L41,IF(T40="二通",M41,IF(T40="三通",N41,IF(T40="四通",O41,IF(T40="五通",P41,IF(T40="六通",Q41,R41))))))</f>
        <v>、、、、、、</v>
      </c>
      <c r="U41" s="1696"/>
    </row>
    <row r="42" spans="1:21">
      <c r="A42" s="1737"/>
      <c r="B42" s="1768" t="s">
        <v>1896</v>
      </c>
      <c r="C42" s="1768" t="s">
        <v>1897</v>
      </c>
      <c r="D42" s="1768" t="s">
        <v>1898</v>
      </c>
      <c r="E42" s="1701" t="s">
        <v>1899</v>
      </c>
      <c r="F42" s="1738"/>
      <c r="G42" s="1696"/>
      <c r="H42" s="1696"/>
      <c r="I42" s="1709"/>
      <c r="J42" s="1696"/>
      <c r="K42" s="1776"/>
      <c r="L42" s="1725"/>
      <c r="M42" s="1725"/>
      <c r="N42" s="1696"/>
      <c r="O42" s="1697"/>
      <c r="P42" s="1696"/>
      <c r="Q42" s="1696"/>
      <c r="R42" s="1696"/>
      <c r="S42" s="1696"/>
      <c r="T42" s="1696"/>
      <c r="U42" s="1696"/>
    </row>
    <row r="43" spans="1:21">
      <c r="A43" s="1739" t="s">
        <v>1705</v>
      </c>
      <c r="B43" s="3173" t="s">
        <v>1411</v>
      </c>
      <c r="C43" s="3173" t="s">
        <v>1411</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1706</v>
      </c>
      <c r="B44" s="3174" t="s">
        <v>2986</v>
      </c>
      <c r="C44" s="3174" t="s">
        <v>2986</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2898</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2008</v>
      </c>
      <c r="B48" s="1688" t="s">
        <v>2009</v>
      </c>
      <c r="C48" s="1688" t="s">
        <v>2010</v>
      </c>
      <c r="D48" s="1688" t="s">
        <v>2011</v>
      </c>
      <c r="E48" s="1688" t="s">
        <v>2012</v>
      </c>
      <c r="F48" s="1688" t="s">
        <v>2013</v>
      </c>
      <c r="G48" s="1688" t="s">
        <v>2014</v>
      </c>
      <c r="H48" s="1688" t="s">
        <v>2015</v>
      </c>
      <c r="I48" s="1688" t="s">
        <v>2016</v>
      </c>
      <c r="J48" s="1774" t="s">
        <v>2017</v>
      </c>
      <c r="K48" s="1768" t="s">
        <v>2018</v>
      </c>
      <c r="L48" s="1768" t="s">
        <v>2019</v>
      </c>
      <c r="M48" s="1768" t="s">
        <v>2020</v>
      </c>
      <c r="N48" s="1688" t="s">
        <v>2021</v>
      </c>
      <c r="O48" s="1688" t="s">
        <v>2022</v>
      </c>
      <c r="P48" s="1688" t="s">
        <v>2023</v>
      </c>
      <c r="Q48" s="1701" t="s">
        <v>2024</v>
      </c>
      <c r="R48" s="1701" t="s">
        <v>2025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0" sqref="O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2334</v>
      </c>
      <c r="BA2" s="2364" t="s">
        <v>2333</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11349</v>
      </c>
      <c r="B3" s="22">
        <f>IF(C3="否",G5-AT5,G5)</f>
        <v>148071.81</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148071.81</v>
      </c>
      <c r="H5" s="27">
        <f t="shared" ref="H5:AT5" si="0">SUM(H13:H641)</f>
        <v>118643.01</v>
      </c>
      <c r="I5" s="27">
        <f t="shared" si="0"/>
        <v>90798.46</v>
      </c>
      <c r="J5" s="27">
        <f t="shared" si="0"/>
        <v>0</v>
      </c>
      <c r="K5" s="27">
        <f t="shared" si="0"/>
        <v>17189.560000000001</v>
      </c>
      <c r="L5" s="27">
        <f t="shared" si="0"/>
        <v>0</v>
      </c>
      <c r="M5" s="27">
        <f t="shared" si="0"/>
        <v>3365.76</v>
      </c>
      <c r="N5" s="27">
        <f t="shared" si="0"/>
        <v>0</v>
      </c>
      <c r="O5" s="27">
        <f t="shared" si="0"/>
        <v>7289.2300000000014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11433.710000000001</v>
      </c>
      <c r="AD5" s="27">
        <f t="shared" si="0"/>
        <v>0</v>
      </c>
      <c r="AE5" s="27">
        <f t="shared" si="0"/>
        <v>0</v>
      </c>
      <c r="AF5" s="27">
        <f t="shared" si="0"/>
        <v>0</v>
      </c>
      <c r="AG5" s="27">
        <f t="shared" si="0"/>
        <v>0</v>
      </c>
      <c r="AH5" s="27">
        <f t="shared" si="0"/>
        <v>0</v>
      </c>
      <c r="AI5" s="27">
        <f t="shared" si="0"/>
        <v>0</v>
      </c>
      <c r="AJ5" s="27">
        <f t="shared" si="0"/>
        <v>0</v>
      </c>
      <c r="AK5" s="27">
        <f t="shared" si="0"/>
        <v>0</v>
      </c>
      <c r="AL5" s="27">
        <f t="shared" si="0"/>
        <v>1972.1100000000001</v>
      </c>
      <c r="AM5" s="27">
        <f t="shared" si="0"/>
        <v>0</v>
      </c>
      <c r="AN5" s="27">
        <f t="shared" si="0"/>
        <v>9461.6</v>
      </c>
      <c r="AO5" s="27">
        <f t="shared" si="0"/>
        <v>0</v>
      </c>
      <c r="AP5" s="27">
        <f t="shared" si="0"/>
        <v>0</v>
      </c>
      <c r="AQ5" s="27">
        <f t="shared" si="0"/>
        <v>0</v>
      </c>
      <c r="AR5" s="27">
        <f t="shared" si="0"/>
        <v>0</v>
      </c>
      <c r="AS5" s="27">
        <f t="shared" si="0"/>
        <v>0</v>
      </c>
      <c r="AT5" s="27">
        <f t="shared" si="0"/>
        <v>17995.09</v>
      </c>
      <c r="AU5" s="990"/>
      <c r="AV5" s="26" t="s">
        <v>168</v>
      </c>
      <c r="AW5" s="991"/>
      <c r="AX5" s="991"/>
      <c r="AY5" s="28" t="s">
        <v>3</v>
      </c>
      <c r="AZ5" s="29">
        <f t="shared" ref="AZ5:BT5" si="1">SUM(AZ13:AZ641)</f>
        <v>130076.72</v>
      </c>
      <c r="BA5" s="29">
        <f t="shared" si="1"/>
        <v>118643.01</v>
      </c>
      <c r="BB5" s="29">
        <f t="shared" si="1"/>
        <v>90798.46</v>
      </c>
      <c r="BC5" s="29">
        <f t="shared" si="1"/>
        <v>17189.560000000001</v>
      </c>
      <c r="BD5" s="29">
        <f t="shared" si="1"/>
        <v>3365.76</v>
      </c>
      <c r="BE5" s="29">
        <f t="shared" si="1"/>
        <v>7289.2300000000014</v>
      </c>
      <c r="BF5" s="29">
        <f t="shared" si="1"/>
        <v>0</v>
      </c>
      <c r="BG5" s="29">
        <f t="shared" si="1"/>
        <v>0</v>
      </c>
      <c r="BH5" s="29">
        <f t="shared" si="1"/>
        <v>0</v>
      </c>
      <c r="BI5" s="29">
        <f t="shared" si="1"/>
        <v>0</v>
      </c>
      <c r="BJ5" s="29">
        <f t="shared" si="1"/>
        <v>0</v>
      </c>
      <c r="BK5" s="29">
        <f t="shared" si="1"/>
        <v>0</v>
      </c>
      <c r="BL5" s="29">
        <f t="shared" si="1"/>
        <v>11433.710000000001</v>
      </c>
      <c r="BM5" s="29">
        <f t="shared" si="1"/>
        <v>0</v>
      </c>
      <c r="BN5" s="29">
        <f t="shared" si="1"/>
        <v>0</v>
      </c>
      <c r="BO5" s="29">
        <f t="shared" si="1"/>
        <v>0</v>
      </c>
      <c r="BP5" s="29">
        <f t="shared" si="1"/>
        <v>0</v>
      </c>
      <c r="BQ5" s="29">
        <f t="shared" si="1"/>
        <v>1972.1100000000001</v>
      </c>
      <c r="BR5" s="29">
        <f t="shared" si="1"/>
        <v>9461.6</v>
      </c>
      <c r="BS5" s="29">
        <f t="shared" si="1"/>
        <v>0</v>
      </c>
      <c r="BT5" s="30">
        <f t="shared" si="1"/>
        <v>0</v>
      </c>
    </row>
    <row r="6" spans="1:72" s="37" customFormat="1" ht="12.75">
      <c r="A6" s="26" t="s">
        <v>169</v>
      </c>
      <c r="B6" s="31"/>
      <c r="C6" s="31"/>
      <c r="D6" s="32"/>
      <c r="E6" s="27">
        <f>H6+AC6+AT6</f>
        <v>11349</v>
      </c>
      <c r="F6" s="27" t="s">
        <v>1</v>
      </c>
      <c r="G6" s="27" t="s">
        <v>2</v>
      </c>
      <c r="H6" s="33">
        <f>SUMIF(I$12:AB$12,"总值",I6:AB6)</f>
        <v>9093.42</v>
      </c>
      <c r="I6" s="27">
        <f t="shared" ref="I6:AB6" si="2">ROUND($A$3*I5/$B$3,2)</f>
        <v>6959.27</v>
      </c>
      <c r="J6" s="27">
        <f t="shared" si="2"/>
        <v>0</v>
      </c>
      <c r="K6" s="27">
        <f t="shared" si="2"/>
        <v>1317.5</v>
      </c>
      <c r="L6" s="27">
        <f t="shared" si="2"/>
        <v>0</v>
      </c>
      <c r="M6" s="27">
        <f t="shared" si="2"/>
        <v>257.97000000000003</v>
      </c>
      <c r="N6" s="27">
        <f t="shared" si="2"/>
        <v>0</v>
      </c>
      <c r="O6" s="27">
        <f t="shared" si="2"/>
        <v>558.67999999999995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876.34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151.15</v>
      </c>
      <c r="AM6" s="27">
        <f t="shared" si="3"/>
        <v>0</v>
      </c>
      <c r="AN6" s="27">
        <f t="shared" si="3"/>
        <v>725.19</v>
      </c>
      <c r="AO6" s="27">
        <f t="shared" si="3"/>
        <v>0</v>
      </c>
      <c r="AP6" s="27">
        <f t="shared" si="3"/>
        <v>0</v>
      </c>
      <c r="AQ6" s="27">
        <f t="shared" si="3"/>
        <v>0</v>
      </c>
      <c r="AR6" s="27">
        <f t="shared" si="3"/>
        <v>0</v>
      </c>
      <c r="AS6" s="27">
        <f t="shared" si="3"/>
        <v>0</v>
      </c>
      <c r="AT6" s="33">
        <f>IF(C3="是",ROUND($A$3*AT5/$B$3,2),0)</f>
        <v>1379.24</v>
      </c>
      <c r="AU6" s="34"/>
      <c r="AV6" s="26" t="s">
        <v>169</v>
      </c>
      <c r="AW6" s="31"/>
      <c r="AX6" s="31"/>
      <c r="AY6" s="35">
        <f>IF(AY3&gt;0,AY3,ROUND($A$3*AZ5/$B$3,2))</f>
        <v>9969.76</v>
      </c>
      <c r="AZ6" s="27" t="s">
        <v>3</v>
      </c>
      <c r="BA6" s="27">
        <f>ROUND($AY$6*BA5/$AZ$5,2)</f>
        <v>9093.42</v>
      </c>
      <c r="BB6" s="27">
        <f>ROUND($AY$6*BB5/$AZ$5,2)</f>
        <v>6959.27</v>
      </c>
      <c r="BC6" s="27">
        <f t="shared" ref="BC6:BH6" si="4">ROUND($AY$6*BC5/$AZ$5,2)</f>
        <v>1317.5</v>
      </c>
      <c r="BD6" s="27">
        <f t="shared" si="4"/>
        <v>257.97000000000003</v>
      </c>
      <c r="BE6" s="27">
        <f t="shared" si="4"/>
        <v>558.67999999999995</v>
      </c>
      <c r="BF6" s="27">
        <f t="shared" si="4"/>
        <v>0</v>
      </c>
      <c r="BG6" s="27">
        <f t="shared" si="4"/>
        <v>0</v>
      </c>
      <c r="BH6" s="27">
        <f t="shared" si="4"/>
        <v>0</v>
      </c>
      <c r="BI6" s="27">
        <f t="shared" ref="BI6:BT6" si="5">ROUND($AY$6*BI5/$AZ$5,2)</f>
        <v>0</v>
      </c>
      <c r="BJ6" s="27">
        <f t="shared" si="5"/>
        <v>0</v>
      </c>
      <c r="BK6" s="27">
        <f t="shared" si="5"/>
        <v>0</v>
      </c>
      <c r="BL6" s="27">
        <f t="shared" si="5"/>
        <v>876.34</v>
      </c>
      <c r="BM6" s="27">
        <f t="shared" si="5"/>
        <v>0</v>
      </c>
      <c r="BN6" s="27">
        <f t="shared" si="5"/>
        <v>0</v>
      </c>
      <c r="BO6" s="27">
        <f t="shared" si="5"/>
        <v>0</v>
      </c>
      <c r="BP6" s="27">
        <f t="shared" si="5"/>
        <v>0</v>
      </c>
      <c r="BQ6" s="27">
        <f t="shared" si="5"/>
        <v>151.15</v>
      </c>
      <c r="BR6" s="27">
        <f t="shared" si="5"/>
        <v>725.19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2987</v>
      </c>
      <c r="J9" s="51"/>
      <c r="K9" s="3048" t="s">
        <v>2987</v>
      </c>
      <c r="L9" s="51"/>
      <c r="M9" s="3048" t="s">
        <v>2990</v>
      </c>
      <c r="N9" s="51"/>
      <c r="O9" s="59" t="s">
        <v>2990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1679</v>
      </c>
      <c r="J10" s="51"/>
      <c r="K10" s="3050" t="s">
        <v>2983</v>
      </c>
      <c r="L10" s="51"/>
      <c r="M10" s="3050" t="s">
        <v>2983</v>
      </c>
      <c r="N10" s="51"/>
      <c r="O10" s="66" t="s">
        <v>3130</v>
      </c>
      <c r="P10" s="51"/>
      <c r="Q10" s="66"/>
      <c r="R10" s="51"/>
      <c r="S10" s="66"/>
      <c r="T10" s="51"/>
      <c r="U10" s="66"/>
      <c r="V10" s="51"/>
      <c r="W10" s="66"/>
      <c r="X10" s="51"/>
      <c r="Y10" s="66"/>
      <c r="Z10" s="51"/>
      <c r="AA10" s="66"/>
      <c r="AB10" s="51"/>
      <c r="AC10" s="55"/>
      <c r="AD10" s="2317" t="s">
        <v>2318</v>
      </c>
      <c r="AE10" s="2339"/>
      <c r="AF10" s="2317" t="s">
        <v>2318</v>
      </c>
      <c r="AG10" s="2339"/>
      <c r="AH10" s="2317" t="s">
        <v>2319</v>
      </c>
      <c r="AI10" s="2339"/>
      <c r="AJ10" s="26" t="s">
        <v>2332</v>
      </c>
      <c r="AK10" s="2336"/>
      <c r="AL10" s="2317" t="s">
        <v>2320</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2988</v>
      </c>
      <c r="J11" s="71"/>
      <c r="K11" s="3049" t="s">
        <v>2989</v>
      </c>
      <c r="L11" s="71"/>
      <c r="M11" s="70" t="s">
        <v>2989</v>
      </c>
      <c r="N11" s="71"/>
      <c r="O11" s="70" t="s">
        <v>2984</v>
      </c>
      <c r="P11" s="71"/>
      <c r="Q11" s="70"/>
      <c r="R11" s="71"/>
      <c r="S11" s="70"/>
      <c r="T11" s="71"/>
      <c r="U11" s="70"/>
      <c r="V11" s="71"/>
      <c r="W11" s="70"/>
      <c r="X11" s="71"/>
      <c r="Y11" s="70"/>
      <c r="Z11" s="71"/>
      <c r="AA11" s="70"/>
      <c r="AB11" s="71"/>
      <c r="AC11" s="55"/>
      <c r="AD11" s="2337" t="s">
        <v>2331</v>
      </c>
      <c r="AE11" s="1004"/>
      <c r="AF11" s="2337" t="s">
        <v>2331</v>
      </c>
      <c r="AG11" s="1004"/>
      <c r="AH11" s="2337" t="s">
        <v>2330</v>
      </c>
      <c r="AI11" s="2338"/>
      <c r="AJ11" s="2337" t="s">
        <v>2330</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1680</v>
      </c>
      <c r="E13" s="27">
        <f t="shared" ref="E13:E20" si="6">IF($C$3="是",ROUND($A$3*G13/$B$3,2),ROUND($A$3*(G13-AT13)/$B$3,2))</f>
        <v>11349</v>
      </c>
      <c r="F13" s="81"/>
      <c r="G13" s="82">
        <f t="shared" ref="G13:G20" si="7">H13+AC13+AT13</f>
        <v>148071.81</v>
      </c>
      <c r="H13" s="33">
        <f t="shared" ref="H13:H20" si="8">SUMIF(I$12:AB$12,"总值",I13:AB13)</f>
        <v>118643.01</v>
      </c>
      <c r="I13" s="3047">
        <v>90798.46</v>
      </c>
      <c r="J13" s="3047"/>
      <c r="K13" s="3047">
        <v>17189.560000000001</v>
      </c>
      <c r="L13" s="3047"/>
      <c r="M13" s="3047">
        <v>3365.76</v>
      </c>
      <c r="N13" s="83"/>
      <c r="O13" s="83">
        <f>22701.97-17563.89+2151.15</f>
        <v>7289.2300000000014</v>
      </c>
      <c r="P13" s="83"/>
      <c r="Q13" s="83"/>
      <c r="R13" s="83"/>
      <c r="S13" s="83"/>
      <c r="T13" s="83"/>
      <c r="U13" s="83"/>
      <c r="V13" s="83"/>
      <c r="W13" s="83"/>
      <c r="X13" s="83"/>
      <c r="Y13" s="83"/>
      <c r="Z13" s="83"/>
      <c r="AA13" s="83"/>
      <c r="AB13" s="83"/>
      <c r="AC13" s="27">
        <f t="shared" ref="AC13:AC20" si="9">SUMIF(AD$12:AS$12,"总值",AD13:AS13)</f>
        <v>11433.710000000001</v>
      </c>
      <c r="AD13" s="3051"/>
      <c r="AE13" s="3051"/>
      <c r="AF13" s="3051"/>
      <c r="AG13" s="3051"/>
      <c r="AH13" s="3051"/>
      <c r="AI13" s="3051"/>
      <c r="AJ13" s="3051"/>
      <c r="AK13" s="3051"/>
      <c r="AL13" s="3051">
        <f>202+384.94+318.4+266.2+229.81+174.9+395.86</f>
        <v>1972.1100000000001</v>
      </c>
      <c r="AM13" s="3051"/>
      <c r="AN13" s="3051">
        <f>2083.92+4208.92+3168.76</f>
        <v>9461.6</v>
      </c>
      <c r="AO13" s="3051"/>
      <c r="AP13" s="3051"/>
      <c r="AQ13" s="3051"/>
      <c r="AR13" s="3051"/>
      <c r="AS13" s="3051"/>
      <c r="AT13" s="3052">
        <f>431.2+17563.89</f>
        <v>17995.09</v>
      </c>
      <c r="AU13" s="3053"/>
      <c r="AV13" s="17">
        <f t="shared" ref="AV13:AX20" si="10">A13</f>
        <v>0</v>
      </c>
      <c r="AW13" s="17">
        <f t="shared" si="10"/>
        <v>0</v>
      </c>
      <c r="AX13" s="17">
        <f t="shared" si="10"/>
        <v>0</v>
      </c>
      <c r="AY13" s="998">
        <f t="shared" ref="AY13:AY20" si="11">ROUND($AY$6*AZ13/$AZ$5,2)</f>
        <v>9969.76</v>
      </c>
      <c r="AZ13" s="27">
        <f t="shared" ref="AZ13:AZ20" si="12">BA13+BL13</f>
        <v>130076.72</v>
      </c>
      <c r="BA13" s="27">
        <f t="shared" ref="BA13:BA20" si="13">SUM(BB13:BK13)</f>
        <v>118643.01</v>
      </c>
      <c r="BB13" s="27">
        <f t="shared" ref="BB13:BB20" si="14">IF($D13="是",I13-J13,0)</f>
        <v>90798.46</v>
      </c>
      <c r="BC13" s="27">
        <f t="shared" ref="BC13:BC20" si="15">IF($D13="是",K13-L13,0)</f>
        <v>17189.560000000001</v>
      </c>
      <c r="BD13" s="27">
        <f t="shared" ref="BD13:BD20" si="16">IF($D13="是",M13-N13,0)</f>
        <v>3365.76</v>
      </c>
      <c r="BE13" s="27">
        <f t="shared" ref="BE13:BE20" si="17">IF($D13="是",O13-P13,0)</f>
        <v>7289.2300000000014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11433.710000000001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1972.1100000000001</v>
      </c>
      <c r="BR13" s="27">
        <f t="shared" ref="BR13:BR20" si="30">IF($D13="是",AN13-AO13,0)</f>
        <v>9461.6</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1" sqref="H31"/>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6" t="s">
        <v>203</v>
      </c>
      <c r="B2" s="3276"/>
      <c r="C2" s="3276"/>
      <c r="D2" s="1978" t="s">
        <v>204</v>
      </c>
      <c r="E2" s="106" t="s">
        <v>205</v>
      </c>
      <c r="F2" s="1987"/>
      <c r="G2" s="1200"/>
      <c r="H2" s="1201"/>
      <c r="I2" s="1202" t="s">
        <v>858</v>
      </c>
      <c r="J2" s="1987"/>
      <c r="K2" s="1987"/>
      <c r="L2" s="1987"/>
    </row>
    <row r="3" spans="1:16" ht="15.75" thickBot="1">
      <c r="A3" s="3277" t="s">
        <v>206</v>
      </c>
      <c r="B3" s="3277"/>
      <c r="C3" s="3277"/>
      <c r="D3" s="107">
        <f>'数据-基础表'!AY6</f>
        <v>9969.76</v>
      </c>
      <c r="E3" s="107">
        <f>'数据-基础表'!AZ5</f>
        <v>130076.72</v>
      </c>
      <c r="F3" s="1987"/>
      <c r="G3" s="279" t="s">
        <v>859</v>
      </c>
      <c r="H3" s="274" t="s">
        <v>860</v>
      </c>
      <c r="I3" s="1979">
        <f>ROUND('数据-基础表'!B3/'数据-基础表'!A3,2)</f>
        <v>13.05</v>
      </c>
      <c r="J3" s="1987"/>
      <c r="K3" s="1987"/>
      <c r="L3" s="1987"/>
    </row>
    <row r="4" spans="1:16" ht="15">
      <c r="A4" s="3278"/>
      <c r="B4" s="3279"/>
      <c r="C4" s="3280"/>
      <c r="D4" s="108" t="s">
        <v>204</v>
      </c>
      <c r="E4" s="109" t="s">
        <v>205</v>
      </c>
      <c r="F4" s="1987"/>
      <c r="G4" s="1203"/>
      <c r="H4" s="274" t="s">
        <v>861</v>
      </c>
      <c r="I4" s="1979">
        <f>ROUND(SUMIF('数据-基础表'!I9:AS9,"地上",'数据-基础表'!I5:AS5)/'数据-基础表'!A3,2)</f>
        <v>9.69</v>
      </c>
      <c r="J4" s="1987"/>
      <c r="K4" s="1987"/>
      <c r="L4" s="1987"/>
    </row>
    <row r="5" spans="1:16">
      <c r="A5" s="110" t="s">
        <v>207</v>
      </c>
      <c r="B5" s="3281" t="s">
        <v>230</v>
      </c>
      <c r="C5" s="3281"/>
      <c r="D5" s="111">
        <f>ROUND($D$3*E5/$E$3,2)</f>
        <v>0</v>
      </c>
      <c r="E5" s="112">
        <f>SUMIF('数据-基础表'!$11:$11,"住宅",'数据-基础表'!$5:$5)</f>
        <v>0</v>
      </c>
      <c r="F5" s="1987"/>
      <c r="G5" s="279" t="s">
        <v>862</v>
      </c>
      <c r="H5" s="274" t="s">
        <v>860</v>
      </c>
      <c r="I5" s="1979">
        <f>ROUND(E31/D31,2)</f>
        <v>13.05</v>
      </c>
      <c r="J5" s="1987"/>
      <c r="K5" s="1987"/>
      <c r="L5" s="1987"/>
    </row>
    <row r="6" spans="1:16" ht="15" thickBot="1">
      <c r="A6" s="113"/>
      <c r="B6" s="3281" t="s">
        <v>208</v>
      </c>
      <c r="C6" s="3281"/>
      <c r="D6" s="111">
        <f>ROUND($D$3*E6/$E$3,2)</f>
        <v>9969.76</v>
      </c>
      <c r="E6" s="112">
        <f>E3-E5</f>
        <v>130076.72</v>
      </c>
      <c r="F6" s="1987"/>
      <c r="G6" s="1203"/>
      <c r="H6" s="274" t="s">
        <v>861</v>
      </c>
      <c r="I6" s="1979">
        <f>ROUND(F31/D31,2)</f>
        <v>11.03</v>
      </c>
      <c r="J6" s="1987"/>
      <c r="K6" s="1987"/>
      <c r="L6" s="1987"/>
    </row>
    <row r="7" spans="1:16" ht="15">
      <c r="A7" s="3273"/>
      <c r="B7" s="3274"/>
      <c r="C7" s="3275"/>
      <c r="D7" s="108" t="s">
        <v>204</v>
      </c>
      <c r="E7" s="114" t="s">
        <v>231</v>
      </c>
      <c r="F7" s="1987"/>
      <c r="G7" s="1158" t="s">
        <v>1647</v>
      </c>
      <c r="H7" s="1159"/>
      <c r="I7" s="1849"/>
      <c r="J7" s="1987"/>
      <c r="K7" s="1987"/>
      <c r="L7" s="1987"/>
    </row>
    <row r="8" spans="1:16">
      <c r="A8" s="110" t="s">
        <v>209</v>
      </c>
      <c r="B8" s="115" t="s">
        <v>210</v>
      </c>
      <c r="C8" s="111" t="s">
        <v>211</v>
      </c>
      <c r="D8" s="111">
        <f t="shared" ref="D8:D15" si="0">ROUND($D$3*E8/$E$3,2)</f>
        <v>8276.77</v>
      </c>
      <c r="E8" s="116">
        <f>SUMIF('数据-基础表'!BB10:BK10,"地上",'数据-基础表'!BB5:BK5)</f>
        <v>107988.02</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257.97000000000003</v>
      </c>
      <c r="E10" s="116">
        <f>SUMPRODUCT(('数据-基础表'!BB10:BK10="地下")*('数据-基础表'!BB11:BK11="商业")*('数据-基础表'!BB5:BK5))</f>
        <v>3365.76</v>
      </c>
      <c r="F10" s="1987"/>
      <c r="G10" s="1989"/>
      <c r="H10" s="1989"/>
      <c r="I10" s="1987"/>
      <c r="J10" s="1987"/>
      <c r="K10" s="1987"/>
      <c r="L10" s="1987"/>
    </row>
    <row r="11" spans="1:16">
      <c r="A11" s="117"/>
      <c r="B11" s="118"/>
      <c r="C11" s="2334" t="s">
        <v>2328</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2335</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558.67999999999995</v>
      </c>
      <c r="E15" s="116">
        <f>SUMPRODUCT(('数据-基础表'!BB10:BK10="地下")*('数据-基础表'!BB11:BK11="车库—办公")*('数据-基础表'!BB5:BK5))</f>
        <v>7289.2300000000014</v>
      </c>
      <c r="F15" s="1987"/>
      <c r="G15" s="1989"/>
      <c r="H15" s="1989"/>
      <c r="I15" s="1987"/>
      <c r="J15" s="1987"/>
      <c r="K15" s="1987"/>
      <c r="L15" s="1987"/>
    </row>
    <row r="16" spans="1:16" ht="15.75" thickBot="1">
      <c r="A16" s="113"/>
      <c r="B16" s="118"/>
      <c r="C16" s="115" t="s">
        <v>215</v>
      </c>
      <c r="D16" s="115">
        <f>SUM(D8:D15)</f>
        <v>9093.42</v>
      </c>
      <c r="E16" s="120">
        <f>SUM(E8:E15)</f>
        <v>118643.01</v>
      </c>
      <c r="F16" s="1987"/>
      <c r="G16" s="1989"/>
      <c r="H16" s="970" t="s">
        <v>219</v>
      </c>
      <c r="I16" s="971"/>
      <c r="J16" s="1987"/>
      <c r="K16" s="3267" t="s">
        <v>2570</v>
      </c>
      <c r="L16" s="3268"/>
      <c r="M16" s="3268"/>
      <c r="N16" s="3268"/>
      <c r="O16" s="3268"/>
      <c r="P16" s="3269"/>
    </row>
    <row r="17" spans="1:19" ht="15">
      <c r="A17" s="121" t="s">
        <v>216</v>
      </c>
      <c r="B17" s="122" t="s">
        <v>217</v>
      </c>
      <c r="C17" s="2301" t="s">
        <v>2314</v>
      </c>
      <c r="D17" s="108" t="s">
        <v>204</v>
      </c>
      <c r="E17" s="124" t="s">
        <v>205</v>
      </c>
      <c r="F17" s="125"/>
      <c r="G17" s="1368"/>
      <c r="H17" s="972" t="s">
        <v>218</v>
      </c>
      <c r="I17" s="973" t="s">
        <v>2313</v>
      </c>
      <c r="J17" s="1987"/>
      <c r="K17" s="3270" t="s">
        <v>2571</v>
      </c>
      <c r="L17" s="3271"/>
      <c r="M17" s="3272"/>
      <c r="N17" s="3270" t="s">
        <v>2572</v>
      </c>
      <c r="O17" s="3271"/>
      <c r="P17" s="3272"/>
      <c r="R17" s="2302" t="s">
        <v>2312</v>
      </c>
      <c r="S17" s="144"/>
    </row>
    <row r="18" spans="1:19" ht="15">
      <c r="A18" s="117"/>
      <c r="B18" s="128"/>
      <c r="C18" s="129"/>
      <c r="D18" s="2670"/>
      <c r="E18" s="130" t="s">
        <v>220</v>
      </c>
      <c r="F18" s="131" t="s">
        <v>221</v>
      </c>
      <c r="G18" s="1369" t="s">
        <v>222</v>
      </c>
      <c r="H18" s="974" t="s">
        <v>223</v>
      </c>
      <c r="I18" s="975" t="s">
        <v>224</v>
      </c>
      <c r="J18" s="1987"/>
      <c r="K18" s="2632" t="s">
        <v>2573</v>
      </c>
      <c r="L18" s="2633" t="s">
        <v>2574</v>
      </c>
      <c r="M18" s="2634" t="s">
        <v>2575</v>
      </c>
      <c r="N18" s="2632" t="s">
        <v>2573</v>
      </c>
      <c r="O18" s="2633" t="s">
        <v>2574</v>
      </c>
      <c r="P18" s="2634" t="s">
        <v>2575</v>
      </c>
      <c r="R18" s="2303" t="s">
        <v>2310</v>
      </c>
      <c r="S18" s="2303" t="s">
        <v>2311</v>
      </c>
    </row>
    <row r="19" spans="1:19">
      <c r="A19" s="133"/>
      <c r="B19" s="115" t="s">
        <v>225</v>
      </c>
      <c r="C19" s="3054" t="s">
        <v>2991</v>
      </c>
      <c r="D19" s="111">
        <f t="shared" ref="D19:D26" si="1">ROUND($D$3*E19/$E$3,2)</f>
        <v>6959.27</v>
      </c>
      <c r="E19" s="134">
        <f t="shared" ref="E19:E26" si="2">SUM(F19:G19)</f>
        <v>90798.46</v>
      </c>
      <c r="F19" s="135">
        <f>'数据-基础表'!I13</f>
        <v>90798.46</v>
      </c>
      <c r="G19" s="1370"/>
      <c r="H19" s="976">
        <f>ROUND($D$3*I19/$E$3,2)</f>
        <v>670.67</v>
      </c>
      <c r="I19" s="116">
        <f>IF($I$17="自定义",P19,M19)</f>
        <v>8750.31</v>
      </c>
      <c r="J19" s="1987"/>
      <c r="K19" s="2635">
        <f t="shared" ref="K19:K26" si="3">ROUND(E$28*E19/E$27,2)</f>
        <v>8750.31</v>
      </c>
      <c r="L19" s="274">
        <f t="shared" ref="L19:L26" si="4">ROUND(IF(COUNTIF(C19,"*住宅*")&gt;0,E$29*E19/E$32,0),2)</f>
        <v>0</v>
      </c>
      <c r="M19" s="2636">
        <f>K19+L19</f>
        <v>8750.31</v>
      </c>
      <c r="N19" s="2637"/>
      <c r="O19" s="2638"/>
      <c r="P19" s="2639">
        <f>N19+O19</f>
        <v>0</v>
      </c>
      <c r="R19" s="274">
        <f t="shared" ref="R19:S26" si="5">D19+H19</f>
        <v>7629.9400000000005</v>
      </c>
      <c r="S19" s="2304">
        <f t="shared" si="5"/>
        <v>99548.77</v>
      </c>
    </row>
    <row r="20" spans="1:19">
      <c r="A20" s="138"/>
      <c r="B20" s="115" t="s">
        <v>226</v>
      </c>
      <c r="C20" s="3054" t="s">
        <v>2992</v>
      </c>
      <c r="D20" s="111">
        <f t="shared" si="1"/>
        <v>1575.47</v>
      </c>
      <c r="E20" s="134">
        <f t="shared" si="2"/>
        <v>20555.32</v>
      </c>
      <c r="F20" s="135">
        <f>'数据-基础表'!K13</f>
        <v>17189.560000000001</v>
      </c>
      <c r="G20" s="1370">
        <f>'数据-基础表'!M13</f>
        <v>3365.76</v>
      </c>
      <c r="H20" s="976">
        <f t="shared" ref="H20:H26" si="6">ROUND($D$3*I20/$E$3,2)</f>
        <v>151.83000000000001</v>
      </c>
      <c r="I20" s="116">
        <f t="shared" ref="I20:I26" si="7">IF($I$17="自定义",P20,M20)</f>
        <v>1980.93</v>
      </c>
      <c r="J20" s="1987"/>
      <c r="K20" s="2635">
        <f t="shared" si="3"/>
        <v>1980.93</v>
      </c>
      <c r="L20" s="274">
        <f t="shared" si="4"/>
        <v>0</v>
      </c>
      <c r="M20" s="2636">
        <f t="shared" ref="M20:M26" si="8">K20+L20</f>
        <v>1980.93</v>
      </c>
      <c r="N20" s="2637"/>
      <c r="O20" s="2638"/>
      <c r="P20" s="2639">
        <f t="shared" ref="P20:P26" si="9">N20+O20</f>
        <v>0</v>
      </c>
      <c r="R20" s="274">
        <f t="shared" si="5"/>
        <v>1727.3</v>
      </c>
      <c r="S20" s="2304">
        <f t="shared" si="5"/>
        <v>22536.25</v>
      </c>
    </row>
    <row r="21" spans="1:19">
      <c r="A21" s="138"/>
      <c r="B21" s="115" t="s">
        <v>226</v>
      </c>
      <c r="C21" s="3054" t="s">
        <v>2993</v>
      </c>
      <c r="D21" s="111">
        <f t="shared" si="1"/>
        <v>558.67999999999995</v>
      </c>
      <c r="E21" s="134">
        <f t="shared" si="2"/>
        <v>7289.2300000000014</v>
      </c>
      <c r="F21" s="135"/>
      <c r="G21" s="1370">
        <f>'数据-基础表'!O13</f>
        <v>7289.2300000000014</v>
      </c>
      <c r="H21" s="976">
        <f t="shared" si="6"/>
        <v>53.84</v>
      </c>
      <c r="I21" s="116">
        <f t="shared" si="7"/>
        <v>702.47</v>
      </c>
      <c r="J21" s="1987"/>
      <c r="K21" s="2635">
        <f t="shared" si="3"/>
        <v>702.47</v>
      </c>
      <c r="L21" s="274">
        <f t="shared" si="4"/>
        <v>0</v>
      </c>
      <c r="M21" s="2636">
        <f t="shared" si="8"/>
        <v>702.47</v>
      </c>
      <c r="N21" s="2637"/>
      <c r="O21" s="2638"/>
      <c r="P21" s="2639">
        <f t="shared" si="9"/>
        <v>0</v>
      </c>
      <c r="R21" s="274">
        <f t="shared" si="5"/>
        <v>612.52</v>
      </c>
      <c r="S21" s="2304">
        <f t="shared" si="5"/>
        <v>7991.7000000000016</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15.75" thickBot="1">
      <c r="A27" s="138"/>
      <c r="B27" s="111"/>
      <c r="C27" s="127" t="s">
        <v>215</v>
      </c>
      <c r="D27" s="134">
        <f>SUM(D19:D26)</f>
        <v>9093.42</v>
      </c>
      <c r="E27" s="143">
        <f>IF(SUM(E19:E26)='数据-基础表'!BA5,SUM(E19:E26),IF(F27="地上面积有误","面积有误","地下面积有误"))</f>
        <v>118643.01</v>
      </c>
      <c r="F27" s="134">
        <f>IF(SUM(F19:F26)=E8,SUM(F19:F26),"地上面积有误")</f>
        <v>107988.02</v>
      </c>
      <c r="G27" s="112">
        <f>SUM(G19:G26)</f>
        <v>10654.990000000002</v>
      </c>
      <c r="H27" s="977">
        <f>SUM(H19:H26)</f>
        <v>876.34</v>
      </c>
      <c r="I27" s="978">
        <f>SUM(I19:I26)</f>
        <v>11433.71</v>
      </c>
      <c r="J27" s="1987"/>
      <c r="K27" s="2644">
        <f>SUM(K19:K26)</f>
        <v>11433.71</v>
      </c>
      <c r="L27" s="2645">
        <f>SUM(L19:L26)</f>
        <v>0</v>
      </c>
      <c r="M27" s="2646">
        <f>SUM(M19:M26)</f>
        <v>11433.71</v>
      </c>
      <c r="N27" s="2644">
        <f t="shared" ref="N27:O27" si="10">SUM(N19:N26)</f>
        <v>0</v>
      </c>
      <c r="O27" s="2645">
        <f t="shared" si="10"/>
        <v>0</v>
      </c>
      <c r="P27" s="2647">
        <f>SUM(P19:P26)</f>
        <v>0</v>
      </c>
      <c r="R27" s="2308">
        <f>IF(SUM(R19:R26)=$D$3,SUM(R19:R26),SUM(R19:R26)&amp;"误差"&amp;ROUND(SUM(R19:R26)-$D$3,2))</f>
        <v>9969.76</v>
      </c>
      <c r="S27" s="274">
        <f>IF(SUM(S19:S26)=$E$3,SUM(S19:S26),SUM(S19:S26)&amp;"误差"&amp;ROUND(SUM(S19:S26)-E3,2))</f>
        <v>130076.72</v>
      </c>
    </row>
    <row r="28" spans="1:19">
      <c r="A28" s="138"/>
      <c r="B28" s="115" t="s">
        <v>227</v>
      </c>
      <c r="C28" s="136" t="s">
        <v>228</v>
      </c>
      <c r="D28" s="111">
        <f>ROUND($D$3*E28/$E$3,2)</f>
        <v>876.34</v>
      </c>
      <c r="E28" s="134">
        <f>SUM(F28:G28)</f>
        <v>11433.710000000001</v>
      </c>
      <c r="F28" s="144">
        <f>'数据-基础表'!BQ5+'数据-基础表'!BS5</f>
        <v>1972.1100000000001</v>
      </c>
      <c r="G28" s="145">
        <f>'数据-基础表'!BR5+'数据-基础表'!BT5</f>
        <v>9461.6</v>
      </c>
      <c r="H28" s="1987"/>
      <c r="I28" s="1987"/>
      <c r="J28" s="1987"/>
      <c r="K28" s="1987"/>
      <c r="L28" s="1987"/>
    </row>
    <row r="29" spans="1:19">
      <c r="A29" s="138"/>
      <c r="B29" s="115" t="s">
        <v>227</v>
      </c>
      <c r="C29" s="2316" t="s">
        <v>2321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876.34</v>
      </c>
      <c r="E30" s="134">
        <f>SUM(E28:E29)</f>
        <v>11433.710000000001</v>
      </c>
      <c r="F30" s="134">
        <f>SUM(F28:F29)</f>
        <v>1972.1100000000001</v>
      </c>
      <c r="G30" s="112">
        <f>SUM(G28:G29)</f>
        <v>9461.6</v>
      </c>
      <c r="H30" s="1987"/>
      <c r="I30" s="1987"/>
      <c r="J30" s="1987"/>
      <c r="K30" s="1987"/>
      <c r="L30" s="1987"/>
    </row>
    <row r="31" spans="1:19" ht="32.25" customHeight="1" thickBot="1">
      <c r="A31" s="1372"/>
      <c r="B31" s="1373" t="s">
        <v>229</v>
      </c>
      <c r="C31" s="2333" t="s">
        <v>2323</v>
      </c>
      <c r="D31" s="1374">
        <f>D27+D30</f>
        <v>9969.76</v>
      </c>
      <c r="E31" s="1374">
        <f>E27+E30</f>
        <v>130076.72</v>
      </c>
      <c r="F31" s="1375">
        <f>F27+F30</f>
        <v>109960.13</v>
      </c>
      <c r="G31" s="1376">
        <f>G27+G30</f>
        <v>20116.590000000004</v>
      </c>
      <c r="H31" s="1987"/>
      <c r="I31" s="1987"/>
      <c r="J31" s="1987"/>
      <c r="K31" s="1987"/>
      <c r="L31" s="1987"/>
    </row>
    <row r="32" spans="1:19">
      <c r="A32" s="1987"/>
      <c r="B32" s="2366" t="s">
        <v>2322</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43035</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2834</v>
      </c>
      <c r="O5" s="163" t="s">
        <v>246</v>
      </c>
      <c r="P5" s="165" t="s">
        <v>247</v>
      </c>
      <c r="Q5" s="166" t="s">
        <v>248</v>
      </c>
      <c r="R5" s="167" t="s">
        <v>249</v>
      </c>
      <c r="S5" s="2648" t="s">
        <v>2576</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2324</v>
      </c>
      <c r="AI5" s="171" t="s">
        <v>2293</v>
      </c>
      <c r="AJ5" s="171" t="s">
        <v>258</v>
      </c>
      <c r="AK5" s="159" t="s">
        <v>259</v>
      </c>
      <c r="AL5" s="159" t="s">
        <v>260</v>
      </c>
      <c r="AM5" s="172" t="s">
        <v>261</v>
      </c>
      <c r="AN5" s="2418" t="s">
        <v>2375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1679</v>
      </c>
      <c r="D6" s="2311">
        <f>SUMIF(项目基本情况!D$15:I$15,C6,项目基本情况!D$18:I$18)</f>
        <v>50</v>
      </c>
      <c r="E6" s="2312">
        <f>IF(B6="","",SUMIF(项目基本情况!D$15:I$15,C6,项目基本情况!D$17:I$17))</f>
        <v>59479</v>
      </c>
      <c r="F6" s="174">
        <f>SUMIF(项目基本情况!D$15:I$15,C6,项目基本情况!D$19:I$19)</f>
        <v>45.05</v>
      </c>
      <c r="G6" s="175">
        <f>IF(ISERROR(ROUND(POWER(1+H6,D6-F6)*(POWER(1+H6,F6)-1)/(POWER(1+H6,D6)-1),3)),0,ROUND(POWER(1+H6,D6-F6)*(POWER(1+H6,F6)-1)/(POWER(1+H6,D6)-1),3))</f>
        <v>0.97</v>
      </c>
      <c r="H6" s="3175">
        <f>I6-0.5%</f>
        <v>4.5000000000000005E-2</v>
      </c>
      <c r="I6" s="3175">
        <v>0.05</v>
      </c>
      <c r="J6" s="176">
        <v>8.5000000000000006E-2</v>
      </c>
      <c r="K6" s="179">
        <f>SUMIF('数据-汇总表'!C$19:C$33,'数据-取费表'!A6,'数据-汇总表'!E$19:E$33)</f>
        <v>90798.46</v>
      </c>
      <c r="L6" s="193">
        <v>4000</v>
      </c>
      <c r="M6" s="177">
        <f t="shared" ref="M6:M14" si="0">ROUND(K6*L6/10000,0)</f>
        <v>36319</v>
      </c>
      <c r="N6" s="3056">
        <v>0</v>
      </c>
      <c r="O6" s="177">
        <f>IF($N$5="成新度","——",ROUND(M6*N6,0))</f>
        <v>0</v>
      </c>
      <c r="P6" s="178">
        <f>IF($N$5="成新度","——",M6-O6)</f>
        <v>36319</v>
      </c>
      <c r="Q6" s="3192">
        <v>0.25</v>
      </c>
      <c r="R6" s="179">
        <f>SUMIF('数据-汇总表'!C$19:C$33,A6,'数据-汇总表'!R$19:R$33)</f>
        <v>7629.9400000000005</v>
      </c>
      <c r="S6" s="132">
        <f>IF('数据-汇总表'!$I$17="按面积比例",SUMIF('数据-汇总表'!C$19:C$33,A6,'数据-汇总表'!K$19:K$33),SUMIF('数据-汇总表'!C$19:C$33,A6,'数据-汇总表'!N$19:N$33))</f>
        <v>8750.31</v>
      </c>
      <c r="T6" s="2237">
        <f>IF($T$4="按面积比例",IF(ISERROR(ROUND($M$14*S6/S$16,0)),"0",ROUND($M$14*S6/S$16,0)),"需自行计算录入")</f>
        <v>2187</v>
      </c>
      <c r="U6" s="3176"/>
      <c r="V6" s="181"/>
      <c r="W6" s="181"/>
      <c r="X6" s="2324"/>
      <c r="Y6" s="182"/>
      <c r="Z6" s="183"/>
      <c r="AA6" s="176"/>
      <c r="AB6" s="176"/>
      <c r="AC6" s="2327"/>
      <c r="AD6" s="184"/>
      <c r="AE6" s="974">
        <f ca="1">IF(AN6="",0,SUMIF(INDIRECT("'"&amp;AN6&amp;"'"&amp;"!E:E"),$AE$5,INDIRECT("'"&amp;AN6&amp;"'"&amp;"!F:F")))</f>
        <v>0</v>
      </c>
      <c r="AF6" s="141"/>
      <c r="AG6" s="1215">
        <f>IF(AF6="",0,AE6-AF6)</f>
        <v>0</v>
      </c>
      <c r="AH6" s="185"/>
      <c r="AI6" s="187">
        <v>365</v>
      </c>
      <c r="AJ6" s="188"/>
      <c r="AK6" s="189">
        <v>1.4999999999999999E-2</v>
      </c>
      <c r="AL6" s="190">
        <v>2E-3</v>
      </c>
      <c r="AM6" s="3068">
        <v>0.02</v>
      </c>
      <c r="AN6" s="2419" t="s">
        <v>3152</v>
      </c>
      <c r="AO6" s="2003"/>
      <c r="AP6" s="1206">
        <f>ROUND(1-1/(1+H6)^F6,3)</f>
        <v>0.86199999999999999</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2983</v>
      </c>
      <c r="D7" s="2311">
        <f>SUMIF(项目基本情况!D$15:I$15,C7,项目基本情况!D$18:I$18)</f>
        <v>40</v>
      </c>
      <c r="E7" s="2312">
        <f>IF(B7="","",SUMIF(项目基本情况!D$15:I$15,C7,项目基本情况!D$17:I$17))</f>
        <v>55827</v>
      </c>
      <c r="F7" s="174">
        <f>SUMIF(项目基本情况!D$15:I$15,C7,项目基本情况!D$19:I$19)</f>
        <v>35.04</v>
      </c>
      <c r="G7" s="175">
        <f t="shared" ref="G7:G11" si="2">IF(ISERROR(ROUND(POWER(1+H7,D7-F7)*(POWER(1+H7,F7)-1)/(POWER(1+H7,D7)-1),3)),0,ROUND(POWER(1+H7,D7-F7)*(POWER(1+H7,F7)-1)/(POWER(1+H7,D7)-1),3))</f>
        <v>0.95499999999999996</v>
      </c>
      <c r="H7" s="3175">
        <f t="shared" ref="H7:H8" si="3">I7-0.5%</f>
        <v>0.05</v>
      </c>
      <c r="I7" s="3175">
        <v>5.5E-2</v>
      </c>
      <c r="J7" s="176">
        <v>8.5000000000000006E-2</v>
      </c>
      <c r="K7" s="179">
        <f>SUMIF('数据-汇总表'!C$19:C$33,'数据-取费表'!A7,'数据-汇总表'!E$19:E$33)</f>
        <v>20555.32</v>
      </c>
      <c r="L7" s="193">
        <v>4000</v>
      </c>
      <c r="M7" s="177">
        <f t="shared" si="0"/>
        <v>8222</v>
      </c>
      <c r="N7" s="3056">
        <v>0</v>
      </c>
      <c r="O7" s="177">
        <f t="shared" ref="O7:O14" si="4">IF($N$5="成新度","——",ROUND(M7*N7,0))</f>
        <v>0</v>
      </c>
      <c r="P7" s="178">
        <f t="shared" ref="P7:P14" si="5">IF($N$5="成新度","——",M7-O7)</f>
        <v>8222</v>
      </c>
      <c r="Q7" s="3057">
        <v>0.25</v>
      </c>
      <c r="R7" s="179">
        <f>SUMIF('数据-汇总表'!C$19:C$33,A7,'数据-汇总表'!R$19:R$33)</f>
        <v>1727.3</v>
      </c>
      <c r="S7" s="132">
        <f>IF('数据-汇总表'!$I$17="按面积比例",SUMIF('数据-汇总表'!C$19:C$33,A7,'数据-汇总表'!K$19:K$33),SUMIF('数据-汇总表'!C$19:C$33,A7,'数据-汇总表'!N$19:N$33))</f>
        <v>1980.93</v>
      </c>
      <c r="T7" s="2237">
        <f t="shared" ref="T7:T13" si="6">IF($T$4="按面积比例",IF(ISERROR(ROUND($M$14*S7/S$16,0)),"0",ROUND($M$14*S7/S$16,0)),"需自行计算录入")</f>
        <v>495</v>
      </c>
      <c r="U7" s="3193">
        <f>租金核算!C10</f>
        <v>4.95</v>
      </c>
      <c r="V7" s="181">
        <v>0</v>
      </c>
      <c r="W7" s="181">
        <v>0.1</v>
      </c>
      <c r="X7" s="2324"/>
      <c r="Y7" s="182">
        <v>1</v>
      </c>
      <c r="Z7" s="183"/>
      <c r="AA7" s="176"/>
      <c r="AB7" s="176"/>
      <c r="AC7" s="2327"/>
      <c r="AD7" s="184"/>
      <c r="AE7" s="974">
        <f t="shared" ref="AE7:AE13" ca="1" si="7">IF(AN7="",0,SUMIF(INDIRECT("'"&amp;AN7&amp;"'"&amp;"!E:E"),$AE$5,INDIRECT("'"&amp;AN7&amp;"'"&amp;"!F:F")))</f>
        <v>35.04</v>
      </c>
      <c r="AF7" s="141"/>
      <c r="AG7" s="1215">
        <f t="shared" ref="AG7:AG13" si="8">IF(AF7="",0,AE7-AF7)</f>
        <v>0</v>
      </c>
      <c r="AH7" s="185"/>
      <c r="AI7" s="187">
        <v>365</v>
      </c>
      <c r="AJ7" s="188"/>
      <c r="AK7" s="189">
        <v>1.4999999999999999E-2</v>
      </c>
      <c r="AL7" s="190">
        <v>2E-3</v>
      </c>
      <c r="AM7" s="3194">
        <v>1.4999999999999999E-2</v>
      </c>
      <c r="AN7" s="2419" t="s">
        <v>3131</v>
      </c>
      <c r="AO7" s="2003"/>
      <c r="AP7" s="1206">
        <f t="shared" ref="AP7:AP13" si="9">ROUND(1-1/(1+H7)^F7,3)</f>
        <v>0.81899999999999995</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2984</v>
      </c>
      <c r="D8" s="2311">
        <f>SUMIF(项目基本情况!D$15:I$15,C8,项目基本情况!D$18:I$18)</f>
        <v>50</v>
      </c>
      <c r="E8" s="2312">
        <f>IF(B8="","",SUMIF(项目基本情况!D$15:I$15,C8,项目基本情况!D$17:I$17))</f>
        <v>59479</v>
      </c>
      <c r="F8" s="174">
        <f>SUMIF(项目基本情况!D$15:I$15,C8,项目基本情况!D$19:I$19)</f>
        <v>45.05</v>
      </c>
      <c r="G8" s="175">
        <f t="shared" si="2"/>
        <v>0.97</v>
      </c>
      <c r="H8" s="3175">
        <f t="shared" si="3"/>
        <v>4.5000000000000005E-2</v>
      </c>
      <c r="I8" s="3175">
        <v>0.05</v>
      </c>
      <c r="J8" s="176">
        <v>8.5000000000000006E-2</v>
      </c>
      <c r="K8" s="179">
        <f>SUMIF('数据-汇总表'!C$19:C$33,'数据-取费表'!A8,'数据-汇总表'!E$19:E$33)</f>
        <v>7289.2300000000014</v>
      </c>
      <c r="L8" s="193">
        <v>3000</v>
      </c>
      <c r="M8" s="177">
        <f>ROUND(K8*L8/10000,0)</f>
        <v>2187</v>
      </c>
      <c r="N8" s="3056">
        <v>0</v>
      </c>
      <c r="O8" s="177">
        <f t="shared" si="4"/>
        <v>0</v>
      </c>
      <c r="P8" s="178">
        <f t="shared" si="5"/>
        <v>2187</v>
      </c>
      <c r="Q8" s="3057">
        <v>0.1</v>
      </c>
      <c r="R8" s="179">
        <f>SUMIF('数据-汇总表'!C$19:C$33,A8,'数据-汇总表'!R$19:R$33)</f>
        <v>612.52</v>
      </c>
      <c r="S8" s="132">
        <f>IF('数据-汇总表'!$I$17="按面积比例",SUMIF('数据-汇总表'!C$19:C$33,A8,'数据-汇总表'!K$19:K$33),SUMIF('数据-汇总表'!C$19:C$33,A8,'数据-汇总表'!N$19:N$33))</f>
        <v>702.47</v>
      </c>
      <c r="T8" s="2237">
        <f t="shared" si="6"/>
        <v>176</v>
      </c>
      <c r="U8" s="3193">
        <v>1000</v>
      </c>
      <c r="V8" s="181">
        <v>0</v>
      </c>
      <c r="W8" s="181">
        <v>0.05</v>
      </c>
      <c r="X8" s="2324"/>
      <c r="Y8" s="182">
        <v>1</v>
      </c>
      <c r="Z8" s="183"/>
      <c r="AA8" s="176"/>
      <c r="AB8" s="176"/>
      <c r="AC8" s="2327"/>
      <c r="AD8" s="184"/>
      <c r="AE8" s="974">
        <f t="shared" ca="1" si="7"/>
        <v>45.05</v>
      </c>
      <c r="AF8" s="141"/>
      <c r="AG8" s="1215">
        <f t="shared" si="8"/>
        <v>0</v>
      </c>
      <c r="AH8" s="3177">
        <v>208</v>
      </c>
      <c r="AI8" s="187">
        <v>12</v>
      </c>
      <c r="AJ8" s="188"/>
      <c r="AK8" s="189">
        <v>1.4999999999999999E-2</v>
      </c>
      <c r="AL8" s="190">
        <v>1.5E-3</v>
      </c>
      <c r="AM8" s="3194">
        <v>0.01</v>
      </c>
      <c r="AN8" s="2419" t="s">
        <v>3134</v>
      </c>
      <c r="AO8" s="2003"/>
      <c r="AP8" s="1206">
        <f t="shared" si="9"/>
        <v>0.86199999999999999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4"/>
        <v>0</v>
      </c>
      <c r="P9" s="178">
        <f t="shared" si="5"/>
        <v>0</v>
      </c>
      <c r="Q9" s="192"/>
      <c r="R9" s="179">
        <f>SUMIF('数据-汇总表'!C$19:C$33,A9,'数据-汇总表'!R$19:R$33)</f>
        <v>0</v>
      </c>
      <c r="S9" s="132">
        <f>IF('数据-汇总表'!$I$17="按面积比例",SUMIF('数据-汇总表'!C$19:C$33,A9,'数据-汇总表'!K$19:K$33),SUMIF('数据-汇总表'!C$19:C$33,A9,'数据-汇总表'!N$19:N$33))</f>
        <v>0</v>
      </c>
      <c r="T9" s="2237">
        <f t="shared" si="6"/>
        <v>0</v>
      </c>
      <c r="U9" s="180"/>
      <c r="V9" s="181"/>
      <c r="W9" s="181"/>
      <c r="X9" s="2324"/>
      <c r="Y9" s="182"/>
      <c r="Z9" s="183"/>
      <c r="AA9" s="176"/>
      <c r="AB9" s="176"/>
      <c r="AC9" s="2327"/>
      <c r="AD9" s="184"/>
      <c r="AE9" s="974">
        <f t="shared" ca="1" si="7"/>
        <v>0</v>
      </c>
      <c r="AF9" s="141"/>
      <c r="AG9" s="1215">
        <f t="shared" si="8"/>
        <v>0</v>
      </c>
      <c r="AH9" s="141"/>
      <c r="AI9" s="187"/>
      <c r="AJ9" s="188"/>
      <c r="AK9" s="189"/>
      <c r="AL9" s="190"/>
      <c r="AM9" s="2417"/>
      <c r="AN9" s="2419"/>
      <c r="AO9" s="2003"/>
      <c r="AP9" s="1206">
        <f t="shared" si="9"/>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37">
        <f t="shared" si="6"/>
        <v>0</v>
      </c>
      <c r="U10" s="180"/>
      <c r="V10" s="181"/>
      <c r="W10" s="181"/>
      <c r="X10" s="2324"/>
      <c r="Y10" s="182"/>
      <c r="Z10" s="183"/>
      <c r="AA10" s="176"/>
      <c r="AB10" s="176"/>
      <c r="AC10" s="2327"/>
      <c r="AD10" s="184"/>
      <c r="AE10" s="974">
        <f t="shared" ca="1" si="7"/>
        <v>0</v>
      </c>
      <c r="AF10" s="141"/>
      <c r="AG10" s="1215">
        <f t="shared" si="8"/>
        <v>0</v>
      </c>
      <c r="AH10" s="141"/>
      <c r="AI10" s="187"/>
      <c r="AJ10" s="188"/>
      <c r="AK10" s="189"/>
      <c r="AL10" s="190"/>
      <c r="AM10" s="2417"/>
      <c r="AN10" s="2419"/>
      <c r="AO10" s="2003"/>
      <c r="AP10" s="1206">
        <f t="shared" si="9"/>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37">
        <f t="shared" si="6"/>
        <v>0</v>
      </c>
      <c r="U11" s="185"/>
      <c r="V11" s="176"/>
      <c r="W11" s="176"/>
      <c r="X11" s="2327"/>
      <c r="Y11" s="182"/>
      <c r="Z11" s="195"/>
      <c r="AA11" s="176"/>
      <c r="AB11" s="176"/>
      <c r="AC11" s="2327"/>
      <c r="AD11" s="184"/>
      <c r="AE11" s="974">
        <f t="shared" ca="1" si="7"/>
        <v>0</v>
      </c>
      <c r="AF11" s="141"/>
      <c r="AG11" s="1215">
        <f t="shared" si="8"/>
        <v>0</v>
      </c>
      <c r="AH11" s="141"/>
      <c r="AI11" s="187"/>
      <c r="AJ11" s="188"/>
      <c r="AK11" s="196"/>
      <c r="AL11" s="197"/>
      <c r="AM11" s="1820"/>
      <c r="AN11" s="2419"/>
      <c r="AO11" s="2003"/>
      <c r="AP11" s="1206">
        <f t="shared" si="9"/>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37">
        <f t="shared" si="6"/>
        <v>0</v>
      </c>
      <c r="U12" s="185"/>
      <c r="V12" s="176"/>
      <c r="W12" s="176"/>
      <c r="X12" s="2327"/>
      <c r="Y12" s="182"/>
      <c r="Z12" s="195"/>
      <c r="AA12" s="176"/>
      <c r="AB12" s="176"/>
      <c r="AC12" s="2327"/>
      <c r="AD12" s="184"/>
      <c r="AE12" s="974">
        <f t="shared" ca="1" si="7"/>
        <v>0</v>
      </c>
      <c r="AF12" s="141"/>
      <c r="AG12" s="1215">
        <f t="shared" si="8"/>
        <v>0</v>
      </c>
      <c r="AH12" s="141"/>
      <c r="AI12" s="187"/>
      <c r="AJ12" s="188"/>
      <c r="AK12" s="196"/>
      <c r="AL12" s="197"/>
      <c r="AM12" s="1820"/>
      <c r="AN12" s="2419"/>
      <c r="AO12" s="2003"/>
      <c r="AP12" s="1206">
        <f t="shared" si="9"/>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37">
        <f t="shared" si="6"/>
        <v>0</v>
      </c>
      <c r="U13" s="180"/>
      <c r="V13" s="181"/>
      <c r="W13" s="181"/>
      <c r="X13" s="2324"/>
      <c r="Y13" s="182"/>
      <c r="Z13" s="183"/>
      <c r="AA13" s="176"/>
      <c r="AB13" s="176"/>
      <c r="AC13" s="2327"/>
      <c r="AD13" s="184"/>
      <c r="AE13" s="974">
        <f t="shared" ca="1" si="7"/>
        <v>0</v>
      </c>
      <c r="AF13" s="141"/>
      <c r="AG13" s="1215">
        <f t="shared" si="8"/>
        <v>0</v>
      </c>
      <c r="AH13" s="141"/>
      <c r="AI13" s="187"/>
      <c r="AJ13" s="188"/>
      <c r="AK13" s="189"/>
      <c r="AL13" s="190"/>
      <c r="AM13" s="2417"/>
      <c r="AN13" s="2419"/>
      <c r="AO13" s="2003"/>
      <c r="AP13" s="1206">
        <f t="shared" si="9"/>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2315</v>
      </c>
      <c r="B14" s="2309" t="s">
        <v>1681</v>
      </c>
      <c r="C14" s="2310" t="s">
        <v>2315</v>
      </c>
      <c r="D14" s="2311"/>
      <c r="E14" s="2312"/>
      <c r="F14" s="174"/>
      <c r="G14" s="175"/>
      <c r="H14" s="2313"/>
      <c r="I14" s="2313"/>
      <c r="J14" s="2313"/>
      <c r="K14" s="179">
        <f>SUMIF('数据-汇总表'!C$19:C$33,'数据-取费表'!A14,'数据-汇总表'!E$19:E$33)</f>
        <v>11433.710000000001</v>
      </c>
      <c r="L14" s="193">
        <v>2500</v>
      </c>
      <c r="M14" s="177">
        <f t="shared" si="0"/>
        <v>2858</v>
      </c>
      <c r="N14" s="194">
        <v>0</v>
      </c>
      <c r="O14" s="177">
        <f t="shared" si="4"/>
        <v>0</v>
      </c>
      <c r="P14" s="178">
        <f t="shared" si="5"/>
        <v>2858</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2317</v>
      </c>
      <c r="B15" s="2309" t="s">
        <v>1681</v>
      </c>
      <c r="C15" s="2310" t="s">
        <v>2316</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0.96699999999999997</v>
      </c>
      <c r="H16" s="203">
        <f>ROUND(SUMPRODUCT(H6:H13,K6:K13)/SUMPRODUCT((H6:H13&gt;0)*(K6:K13)),3)</f>
        <v>4.5999999999999999E-2</v>
      </c>
      <c r="I16" s="204"/>
      <c r="J16" s="204"/>
      <c r="K16" s="205">
        <f>SUM(K6:K15)</f>
        <v>130076.72</v>
      </c>
      <c r="L16" s="206">
        <f>ROUND(M16*10000/SUM(K6:K14),0)</f>
        <v>3812</v>
      </c>
      <c r="M16" s="206">
        <f>SUM(M6:M14)</f>
        <v>49586</v>
      </c>
      <c r="N16" s="207">
        <f>ROUND(SUMPRODUCT(M6:M14,N6:N14)/M16,3)</f>
        <v>0</v>
      </c>
      <c r="O16" s="206">
        <f>SUM(O6:O14)</f>
        <v>0</v>
      </c>
      <c r="P16" s="206">
        <f>SUM(P6:P14)</f>
        <v>49586</v>
      </c>
      <c r="Q16" s="208">
        <f>ROUND(SUMPRODUCT(Q6:Q13,K6:K13)/SUMPRODUCT((Q6:Q13&gt;0)*(K6:K13)),2)</f>
        <v>0.24</v>
      </c>
      <c r="R16" s="2314">
        <f>SUM(R6:R13)</f>
        <v>9969.76</v>
      </c>
      <c r="S16" s="209">
        <f>SUM(S6:S13)</f>
        <v>11433.71</v>
      </c>
      <c r="T16" s="210">
        <f>IF(SUMIF(T6:T13,"&lt;9E307")=M14,SUMIF(T6:T13,"&lt;9E307"),"有误，请检查")</f>
        <v>2858</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0.85499999999999998</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2339</v>
      </c>
      <c r="B27" s="227"/>
      <c r="C27" s="2370" t="s">
        <v>2343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2340</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2338</v>
      </c>
      <c r="B29" s="232"/>
      <c r="C29" s="1555" t="s">
        <v>2341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2899</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2900</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2901</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2902</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2903</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2903</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2459</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2460</v>
      </c>
      <c r="B40" s="2508">
        <f ca="1">存贷款利率!E2</f>
        <v>4.7500000000000001E-2</v>
      </c>
      <c r="C40" s="2368" t="s">
        <v>2342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8">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2904</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2905</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2906</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2907</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2908</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2909</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8" t="s">
        <v>1411</v>
      </c>
      <c r="C53" s="3105" t="s">
        <v>2910</v>
      </c>
      <c r="D53" s="3106" t="s">
        <v>2911</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2912</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2913</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2914</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2915</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2916</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2917</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2918</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2919</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2920</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2921</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H16" sqref="H16"/>
    </sheetView>
  </sheetViews>
  <sheetFormatPr defaultRowHeight="13.5"/>
  <sheetData>
    <row r="1" spans="1:9">
      <c r="A1" t="s">
        <v>2994</v>
      </c>
      <c r="B1" t="s">
        <v>2995</v>
      </c>
      <c r="C1" t="s">
        <v>2996</v>
      </c>
      <c r="D1" t="s">
        <v>2997</v>
      </c>
      <c r="F1" s="3195" t="s">
        <v>3154</v>
      </c>
      <c r="G1" s="3195" t="s">
        <v>3153</v>
      </c>
    </row>
    <row r="2" spans="1:9">
      <c r="A2">
        <v>1</v>
      </c>
      <c r="B2">
        <f>'数据-汇总表'!F20/6</f>
        <v>2864.9266666666667</v>
      </c>
      <c r="C2">
        <v>8</v>
      </c>
      <c r="D2">
        <f>B2*C2</f>
        <v>22919.413333333334</v>
      </c>
      <c r="F2" s="3195">
        <v>1</v>
      </c>
      <c r="G2">
        <v>1</v>
      </c>
      <c r="I2" s="3195" t="s">
        <v>3155</v>
      </c>
    </row>
    <row r="3" spans="1:9">
      <c r="A3">
        <v>2</v>
      </c>
      <c r="B3">
        <f>B2</f>
        <v>2864.9266666666667</v>
      </c>
      <c r="C3">
        <f>$C$2*G3</f>
        <v>5.6</v>
      </c>
      <c r="D3">
        <f t="shared" ref="D3:D8" si="0">B3*C3</f>
        <v>16043.589333333333</v>
      </c>
      <c r="F3">
        <v>2</v>
      </c>
      <c r="G3">
        <v>0.7</v>
      </c>
    </row>
    <row r="4" spans="1:9">
      <c r="A4">
        <v>3</v>
      </c>
      <c r="B4">
        <f>B3</f>
        <v>2864.9266666666667</v>
      </c>
      <c r="C4">
        <f t="shared" ref="C4:C8" si="1">$C$2*G4</f>
        <v>4.8</v>
      </c>
      <c r="D4">
        <f t="shared" si="0"/>
        <v>13751.647999999999</v>
      </c>
      <c r="F4" s="3195">
        <v>3</v>
      </c>
      <c r="G4">
        <v>0.6</v>
      </c>
    </row>
    <row r="5" spans="1:9">
      <c r="A5">
        <v>4</v>
      </c>
      <c r="B5">
        <f>B4</f>
        <v>2864.9266666666667</v>
      </c>
      <c r="C5">
        <f t="shared" si="1"/>
        <v>4.4000000000000004</v>
      </c>
      <c r="D5">
        <f t="shared" si="0"/>
        <v>12605.677333333335</v>
      </c>
      <c r="F5">
        <v>4</v>
      </c>
      <c r="G5">
        <v>0.55000000000000004</v>
      </c>
    </row>
    <row r="6" spans="1:9">
      <c r="A6">
        <v>5</v>
      </c>
      <c r="B6">
        <f>B5</f>
        <v>2864.9266666666667</v>
      </c>
      <c r="C6">
        <f t="shared" si="1"/>
        <v>4</v>
      </c>
      <c r="D6">
        <f t="shared" si="0"/>
        <v>11459.706666666667</v>
      </c>
      <c r="F6" s="3195">
        <v>5</v>
      </c>
      <c r="G6">
        <v>0.5</v>
      </c>
    </row>
    <row r="7" spans="1:9">
      <c r="A7">
        <v>6</v>
      </c>
      <c r="B7">
        <f>B6</f>
        <v>2864.9266666666667</v>
      </c>
      <c r="C7">
        <f t="shared" si="1"/>
        <v>4</v>
      </c>
      <c r="D7">
        <f t="shared" si="0"/>
        <v>11459.706666666667</v>
      </c>
      <c r="F7">
        <v>6</v>
      </c>
      <c r="G7">
        <f>G6</f>
        <v>0.5</v>
      </c>
    </row>
    <row r="8" spans="1:9">
      <c r="A8">
        <v>-1</v>
      </c>
      <c r="B8">
        <f>'数据-汇总表'!G20</f>
        <v>3365.76</v>
      </c>
      <c r="C8">
        <f t="shared" si="1"/>
        <v>4</v>
      </c>
      <c r="D8">
        <f t="shared" si="0"/>
        <v>13463.04</v>
      </c>
      <c r="F8">
        <v>-1</v>
      </c>
      <c r="G8">
        <f>G6</f>
        <v>0.5</v>
      </c>
    </row>
    <row r="9" spans="1:9">
      <c r="A9" t="s">
        <v>2998</v>
      </c>
      <c r="B9">
        <f>SUM(B2:B8)</f>
        <v>20555.32</v>
      </c>
      <c r="D9">
        <f>SUM(D2:D8)</f>
        <v>101702.78133333335</v>
      </c>
      <c r="F9">
        <v>-2</v>
      </c>
      <c r="G9">
        <v>0.4</v>
      </c>
    </row>
    <row r="10" spans="1:9">
      <c r="C10">
        <f>ROUND(D9/B9,2)</f>
        <v>4.95</v>
      </c>
    </row>
  </sheetData>
  <phoneticPr fontId="23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2" t="s">
        <v>1665</v>
      </c>
      <c r="B1" s="3283"/>
      <c r="C1" s="3283"/>
      <c r="D1" s="3283"/>
      <c r="E1" s="3283"/>
      <c r="F1" s="3283"/>
      <c r="G1" s="3283"/>
      <c r="H1" s="2005"/>
      <c r="I1" s="2006"/>
      <c r="J1" s="2007"/>
      <c r="K1" s="2005"/>
      <c r="L1" s="2006"/>
      <c r="M1" s="2007"/>
      <c r="N1" s="2005"/>
      <c r="O1" s="2006"/>
      <c r="P1" s="2007"/>
      <c r="Q1" s="2008"/>
      <c r="R1" s="2009"/>
    </row>
    <row r="2" spans="1:18" ht="14.25" thickBot="1">
      <c r="A2" s="1223"/>
      <c r="B2" s="1224"/>
      <c r="C2" s="1225" t="s">
        <v>1666</v>
      </c>
      <c r="D2" s="1226"/>
      <c r="E2" s="1227"/>
      <c r="F2" s="1228"/>
      <c r="G2" s="1225" t="s">
        <v>1667</v>
      </c>
      <c r="H2" s="2011"/>
      <c r="I2" s="2011"/>
      <c r="J2" s="2011"/>
      <c r="K2" s="2011"/>
      <c r="L2" s="2011"/>
      <c r="M2" s="2011"/>
      <c r="N2" s="2011"/>
      <c r="O2" s="2011"/>
      <c r="P2" s="2011"/>
      <c r="Q2" s="2011"/>
      <c r="R2" s="2011"/>
    </row>
    <row r="3" spans="1:18" ht="42.75">
      <c r="A3" s="1229" t="s">
        <v>1668</v>
      </c>
      <c r="B3" s="1230" t="s">
        <v>1655</v>
      </c>
      <c r="C3" s="3110"/>
      <c r="D3" s="2012"/>
      <c r="E3" s="1231" t="s">
        <v>1668</v>
      </c>
      <c r="F3" s="1232" t="s">
        <v>1656</v>
      </c>
      <c r="G3" s="3113" t="s">
        <v>2926</v>
      </c>
      <c r="H3" s="2011"/>
      <c r="I3" s="2011"/>
      <c r="J3" s="2011"/>
      <c r="K3" s="2011"/>
      <c r="L3" s="2011"/>
      <c r="M3" s="2011"/>
      <c r="N3" s="2011"/>
      <c r="O3" s="2011"/>
      <c r="P3" s="2011"/>
      <c r="Q3" s="2011"/>
      <c r="R3" s="2011"/>
    </row>
    <row r="4" spans="1:18" ht="67.5">
      <c r="A4" s="1231"/>
      <c r="B4" s="1233" t="s">
        <v>1669</v>
      </c>
      <c r="C4" s="3493" t="s">
        <v>3157</v>
      </c>
      <c r="D4" s="2012"/>
      <c r="E4" s="1234"/>
      <c r="F4" s="1235" t="s">
        <v>1670</v>
      </c>
      <c r="G4" s="3111" t="s">
        <v>2923</v>
      </c>
      <c r="H4" s="2011"/>
      <c r="I4" s="2011"/>
      <c r="J4" s="2011"/>
      <c r="K4" s="2011"/>
      <c r="L4" s="2011"/>
      <c r="M4" s="2011"/>
      <c r="N4" s="2011"/>
      <c r="O4" s="2011"/>
      <c r="P4" s="2011"/>
      <c r="Q4" s="2011"/>
      <c r="R4" s="2011"/>
    </row>
    <row r="5" spans="1:18" ht="54">
      <c r="A5" s="1231"/>
      <c r="B5" s="1233" t="s">
        <v>1671</v>
      </c>
      <c r="C5" s="3493" t="s">
        <v>3158</v>
      </c>
      <c r="D5" s="2012"/>
      <c r="E5" s="1234"/>
      <c r="F5" s="1233" t="s">
        <v>2550</v>
      </c>
      <c r="G5" s="3111" t="s">
        <v>2924</v>
      </c>
      <c r="H5" s="2011"/>
      <c r="I5" s="2011"/>
      <c r="J5" s="2011"/>
      <c r="K5" s="2011"/>
      <c r="L5" s="2011"/>
      <c r="M5" s="2011"/>
      <c r="N5" s="2011"/>
      <c r="O5" s="2011"/>
      <c r="P5" s="2011"/>
      <c r="Q5" s="2011"/>
      <c r="R5" s="2011"/>
    </row>
    <row r="6" spans="1:18" ht="67.5">
      <c r="A6" s="1231"/>
      <c r="B6" s="1233" t="s">
        <v>1657</v>
      </c>
      <c r="C6" s="3494" t="s">
        <v>3159</v>
      </c>
      <c r="D6" s="2012"/>
      <c r="E6" s="1234"/>
      <c r="F6" s="1233" t="s">
        <v>2551</v>
      </c>
      <c r="G6" s="3111" t="s">
        <v>2922</v>
      </c>
      <c r="H6" s="2011"/>
      <c r="I6" s="2011"/>
      <c r="J6" s="2011"/>
      <c r="K6" s="2011"/>
      <c r="L6" s="2011"/>
      <c r="M6" s="2011"/>
      <c r="N6" s="2011"/>
      <c r="O6" s="2011"/>
      <c r="P6" s="2011"/>
      <c r="Q6" s="2011"/>
      <c r="R6" s="2011"/>
    </row>
    <row r="7" spans="1:18" ht="41.25" thickBot="1">
      <c r="A7" s="1231"/>
      <c r="B7" s="1233" t="s">
        <v>2550</v>
      </c>
      <c r="C7" s="3494" t="s">
        <v>3163</v>
      </c>
      <c r="D7" s="2013"/>
      <c r="E7" s="1236"/>
      <c r="F7" s="1237" t="s">
        <v>1672</v>
      </c>
      <c r="G7" s="3114" t="s">
        <v>2925</v>
      </c>
      <c r="H7" s="2011"/>
      <c r="I7" s="2011"/>
      <c r="J7" s="2011"/>
      <c r="K7" s="2011"/>
      <c r="L7" s="2011"/>
      <c r="M7" s="2011"/>
      <c r="N7" s="2011"/>
      <c r="O7" s="2011"/>
      <c r="P7" s="2011"/>
      <c r="Q7" s="2011"/>
      <c r="R7" s="2011"/>
    </row>
    <row r="8" spans="1:18">
      <c r="A8" s="1231"/>
      <c r="B8" s="1233" t="s">
        <v>2551</v>
      </c>
      <c r="C8" s="3494" t="s">
        <v>3164</v>
      </c>
      <c r="D8" s="2013"/>
      <c r="E8" s="2013"/>
      <c r="F8" s="1556"/>
      <c r="G8" s="1556"/>
      <c r="H8" s="2011"/>
      <c r="I8" s="2011"/>
      <c r="J8" s="2011"/>
      <c r="K8" s="2011"/>
      <c r="L8" s="2011"/>
      <c r="M8" s="2011"/>
      <c r="N8" s="2011"/>
      <c r="O8" s="2011"/>
      <c r="P8" s="2011"/>
      <c r="Q8" s="2011"/>
      <c r="R8" s="2011"/>
    </row>
    <row r="9" spans="1:18" ht="81">
      <c r="A9" s="1231"/>
      <c r="B9" s="1233" t="s">
        <v>1658</v>
      </c>
      <c r="C9" s="3493" t="s">
        <v>3161</v>
      </c>
      <c r="D9" s="2012"/>
      <c r="E9" s="2013"/>
      <c r="F9" s="1556"/>
      <c r="G9" s="1556"/>
      <c r="H9" s="2011"/>
      <c r="I9" s="2011"/>
      <c r="J9" s="2011"/>
      <c r="K9" s="2011"/>
      <c r="L9" s="2011"/>
      <c r="M9" s="2011"/>
      <c r="N9" s="2011"/>
      <c r="O9" s="2011"/>
      <c r="P9" s="2011"/>
      <c r="Q9" s="2011"/>
      <c r="R9" s="2011"/>
    </row>
    <row r="10" spans="1:18" s="2019" customFormat="1" ht="15" thickBot="1">
      <c r="A10" s="1238"/>
      <c r="B10" s="1239" t="s">
        <v>1673</v>
      </c>
      <c r="C10" s="3112" t="s">
        <v>3165</v>
      </c>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6"/>
      <c r="E13" s="2605"/>
      <c r="F13" s="2605"/>
      <c r="G13" s="2605"/>
    </row>
    <row r="14" spans="1:18" ht="14.25" thickBot="1">
      <c r="A14" s="1240"/>
      <c r="B14" s="1241"/>
      <c r="C14" s="1242" t="s">
        <v>1666</v>
      </c>
      <c r="D14" s="2012"/>
      <c r="E14" s="1243"/>
      <c r="F14" s="1243"/>
      <c r="G14" s="1225" t="s">
        <v>1667</v>
      </c>
    </row>
    <row r="15" spans="1:18" ht="54">
      <c r="A15" s="2615" t="s">
        <v>1659</v>
      </c>
      <c r="B15" s="1244" t="s">
        <v>1655</v>
      </c>
      <c r="C15" s="1245">
        <f>C3</f>
        <v>0</v>
      </c>
      <c r="D15" s="2012"/>
      <c r="E15" s="2612" t="s">
        <v>1660</v>
      </c>
      <c r="F15" s="1244" t="s">
        <v>1675</v>
      </c>
      <c r="G15" s="1246" t="str">
        <f>G3</f>
        <v>估价对象位于XX开发区，园区建设成熟度XX，产业集聚程度XX</v>
      </c>
    </row>
    <row r="16" spans="1:18" ht="40.5">
      <c r="A16" s="2616"/>
      <c r="B16" s="1247" t="s">
        <v>1669</v>
      </c>
      <c r="C16" s="1248" t="str">
        <f>C4</f>
        <v>位于通州区运河核心区，现处于开发建设阶段，目前周边大型商业较少，多为社区配套商业，商业繁华度一般。</v>
      </c>
      <c r="D16" s="2012"/>
      <c r="E16" s="2613"/>
      <c r="F16" s="1249" t="s">
        <v>1670</v>
      </c>
      <c r="G16" s="1007" t="str">
        <f>G4</f>
        <v>估价对象周边道路状况、公共交通通达情况、停车便捷程度，综合评价交通便捷度较好</v>
      </c>
    </row>
    <row r="17" spans="1:7" ht="40.5">
      <c r="A17" s="2616"/>
      <c r="B17" s="1247" t="s">
        <v>1671</v>
      </c>
      <c r="C17" s="1248" t="str">
        <f>C5</f>
        <v>周边已建成及在建的综合项目有金成府写字楼、瑞都国际中心等，出租率一般，办公集聚程度一般。</v>
      </c>
      <c r="D17" s="2013"/>
      <c r="E17" s="2613"/>
      <c r="F17" s="1249" t="s">
        <v>1676</v>
      </c>
      <c r="G17" s="2823"/>
    </row>
    <row r="18" spans="1:7" ht="67.5">
      <c r="A18" s="2616"/>
      <c r="B18" s="1249" t="s">
        <v>1657</v>
      </c>
      <c r="C18" s="1007" t="str">
        <f>C6</f>
        <v>周边路网较为密集。周边有322路、342路、589路、626路等公交线路，紧邻地铁6号线，公交便捷度较好。整体交通便捷度较好。</v>
      </c>
      <c r="D18" s="2013"/>
      <c r="E18" s="2613"/>
      <c r="F18" s="1249" t="s">
        <v>1672</v>
      </c>
      <c r="G18" s="1007" t="str">
        <f>G7</f>
        <v>该园区内是否有污染型企业，绿化情况，卫生条件，整体环境状况判断</v>
      </c>
    </row>
    <row r="19" spans="1:7" ht="28.5">
      <c r="A19" s="2616"/>
      <c r="B19" s="1249" t="s">
        <v>1661</v>
      </c>
      <c r="C19" s="2823" t="s">
        <v>3160</v>
      </c>
      <c r="D19" s="2012"/>
      <c r="E19" s="2613"/>
      <c r="F19" s="1233" t="s">
        <v>2550</v>
      </c>
      <c r="G19" s="1007" t="str">
        <f>G5</f>
        <v>估价对象所在区域公共配套设施齐备情况</v>
      </c>
    </row>
    <row r="20" spans="1:7" ht="40.5">
      <c r="A20" s="2616"/>
      <c r="B20" s="1249" t="s">
        <v>1662</v>
      </c>
      <c r="C20" s="1248" t="str">
        <f>C9</f>
        <v>周边约1公里范围内人文设施较少；周边约1公里范围内有运河奥体公园等，紧邻运河，自然环境较好。综合评价，综合考虑自然及人文环境较好。</v>
      </c>
      <c r="D20" s="2013"/>
      <c r="E20" s="2613"/>
      <c r="F20" s="1233" t="s">
        <v>2551</v>
      </c>
      <c r="G20" s="1007" t="str">
        <f>G6</f>
        <v>估价对象所在区域基础设施水平</v>
      </c>
    </row>
    <row r="21" spans="1:7" ht="27">
      <c r="A21" s="2616"/>
      <c r="B21" s="1233" t="s">
        <v>2550</v>
      </c>
      <c r="C21" s="1007" t="str">
        <f>C7</f>
        <v>周边分布银行、购物场所、餐饮等配套设施较多，公共设施状况较好。</v>
      </c>
      <c r="D21" s="2012"/>
      <c r="E21" s="2613"/>
      <c r="F21" s="1249" t="s">
        <v>1663</v>
      </c>
      <c r="G21" s="3115"/>
    </row>
    <row r="22" spans="1:7" ht="27">
      <c r="A22" s="2616"/>
      <c r="B22" s="1233" t="s">
        <v>2551</v>
      </c>
      <c r="C22" s="1007" t="str">
        <f>C8</f>
        <v>七通</v>
      </c>
      <c r="D22" s="2012"/>
      <c r="E22" s="2613"/>
      <c r="F22" s="1249" t="s">
        <v>1673</v>
      </c>
      <c r="G22" s="2823"/>
    </row>
    <row r="23" spans="1:7" ht="15" thickBot="1">
      <c r="A23" s="2616"/>
      <c r="B23" s="1249" t="s">
        <v>1663</v>
      </c>
      <c r="C23" s="3115"/>
      <c r="E23" s="2614"/>
      <c r="F23" s="1250" t="s">
        <v>1677</v>
      </c>
      <c r="G23" s="3116"/>
    </row>
    <row r="24" spans="1:7" ht="14.25" thickBot="1">
      <c r="A24" s="2617"/>
      <c r="B24" s="1250" t="s">
        <v>1664</v>
      </c>
      <c r="C24" s="1251" t="str">
        <f>C10</f>
        <v>城市次干道——东关大道</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2850</v>
      </c>
      <c r="B1" s="3074">
        <f>SUM(B14:B23)</f>
        <v>130076.72</v>
      </c>
      <c r="C1" s="3075"/>
      <c r="D1" s="3075"/>
      <c r="E1" s="3075"/>
      <c r="F1" s="3075"/>
    </row>
    <row r="2" spans="1:9" ht="16.5">
      <c r="A2" s="3074" t="s">
        <v>2851</v>
      </c>
      <c r="B2" s="3074">
        <f>SUM(C14:C23)</f>
        <v>9969.76</v>
      </c>
      <c r="C2" s="3075"/>
      <c r="D2" s="3075"/>
      <c r="E2" s="3075"/>
      <c r="F2" s="3075"/>
    </row>
    <row r="3" spans="1:9" ht="16.5">
      <c r="A3" s="3074" t="s">
        <v>2852</v>
      </c>
      <c r="B3" s="3076">
        <f>项目基本情况!D3</f>
        <v>43035</v>
      </c>
      <c r="C3" s="3075"/>
      <c r="D3" s="3075"/>
      <c r="E3" s="3075"/>
      <c r="F3" s="3075"/>
    </row>
    <row r="4" spans="1:9" ht="33">
      <c r="A4" s="3074" t="s">
        <v>2853</v>
      </c>
      <c r="B4" s="3074" t="s">
        <v>2854</v>
      </c>
      <c r="C4" s="3074" t="s">
        <v>2855</v>
      </c>
      <c r="D4" s="3074" t="s">
        <v>2856</v>
      </c>
      <c r="E4" s="3075"/>
      <c r="F4" s="3075"/>
    </row>
    <row r="5" spans="1:9" ht="16.5">
      <c r="A5" s="3074" t="s">
        <v>2857</v>
      </c>
      <c r="B5" s="3074">
        <f ca="1">SUM(D14:D23)</f>
        <v>154377</v>
      </c>
      <c r="C5" s="3074">
        <f ca="1">ROUND(B5*10000/$B$1,0)</f>
        <v>11868</v>
      </c>
      <c r="D5" s="3074">
        <f ca="1">ROUND(B5*10000/$B$2,0)</f>
        <v>154845</v>
      </c>
      <c r="E5" s="3075"/>
      <c r="F5" s="3075"/>
    </row>
    <row r="6" spans="1:9" ht="16.5">
      <c r="A6" s="3074" t="s">
        <v>2858</v>
      </c>
      <c r="B6" s="3074">
        <f ca="1">SUM(G14:G23)</f>
        <v>109577</v>
      </c>
      <c r="C6" s="3074">
        <f t="shared" ref="C6:C8" ca="1" si="0">ROUND(B6*10000/$B$1,0)</f>
        <v>8424</v>
      </c>
      <c r="D6" s="3074">
        <f t="shared" ref="D6:D8" ca="1" si="1">ROUND(B6*10000/$B$2,0)</f>
        <v>109909</v>
      </c>
      <c r="E6" s="3075"/>
      <c r="F6" s="3075"/>
    </row>
    <row r="7" spans="1:9" ht="16.5">
      <c r="A7" s="3074" t="s">
        <v>2859</v>
      </c>
      <c r="B7" s="3074">
        <f>SUM(H14:H23)</f>
        <v>0</v>
      </c>
      <c r="C7" s="3074">
        <f t="shared" si="0"/>
        <v>0</v>
      </c>
      <c r="D7" s="3074">
        <f t="shared" si="1"/>
        <v>0</v>
      </c>
      <c r="E7" s="3075"/>
      <c r="F7" s="3075"/>
    </row>
    <row r="8" spans="1:9" ht="16.5">
      <c r="A8" s="3074" t="s">
        <v>2860</v>
      </c>
      <c r="B8" s="3074">
        <f>SUM(I14:I23)</f>
        <v>0</v>
      </c>
      <c r="C8" s="3074">
        <f t="shared" si="0"/>
        <v>0</v>
      </c>
      <c r="D8" s="3074">
        <f t="shared" si="1"/>
        <v>0</v>
      </c>
      <c r="E8" s="3075"/>
      <c r="F8" s="3075"/>
    </row>
    <row r="9" spans="1:9" ht="16.5">
      <c r="A9" s="3074" t="s">
        <v>2861</v>
      </c>
      <c r="B9" s="3077"/>
      <c r="C9" s="3075"/>
      <c r="D9" s="3075"/>
      <c r="E9" s="3075"/>
      <c r="F9" s="3075"/>
    </row>
    <row r="10" spans="1:9" ht="16.5">
      <c r="A10" s="3074" t="s">
        <v>2862</v>
      </c>
      <c r="B10" s="3077"/>
      <c r="C10" s="3075"/>
      <c r="D10" s="3075"/>
      <c r="E10" s="3075"/>
      <c r="F10" s="3075"/>
    </row>
    <row r="11" spans="1:9" ht="16.5">
      <c r="A11" s="3074" t="s">
        <v>2879</v>
      </c>
      <c r="B11" s="3077"/>
      <c r="C11" s="3075"/>
      <c r="D11" s="3075"/>
      <c r="E11" s="3075"/>
      <c r="F11" s="3075"/>
    </row>
    <row r="12" spans="1:9" ht="16.5">
      <c r="A12" s="3075"/>
      <c r="B12" s="3075"/>
      <c r="C12" s="3075"/>
      <c r="D12" s="3075"/>
      <c r="E12" s="3075"/>
      <c r="F12" s="3075"/>
    </row>
    <row r="13" spans="1:9" ht="33">
      <c r="A13" s="3080" t="s">
        <v>2878</v>
      </c>
      <c r="B13" s="3078" t="s">
        <v>2850</v>
      </c>
      <c r="C13" s="3078" t="s">
        <v>2851</v>
      </c>
      <c r="D13" s="3078" t="s">
        <v>2863</v>
      </c>
      <c r="E13" s="3074" t="s">
        <v>2877</v>
      </c>
      <c r="F13" s="3074" t="s">
        <v>2856</v>
      </c>
      <c r="G13" s="3078" t="s">
        <v>2864</v>
      </c>
      <c r="H13" s="3078" t="s">
        <v>2865</v>
      </c>
      <c r="I13" s="3078" t="s">
        <v>2866</v>
      </c>
    </row>
    <row r="14" spans="1:9" ht="16.5">
      <c r="A14" s="3081" t="s">
        <v>2876</v>
      </c>
      <c r="B14" s="3078">
        <f>'数据-汇总表'!E3</f>
        <v>130076.72</v>
      </c>
      <c r="C14" s="3078">
        <f>'数据-汇总表'!D3</f>
        <v>9969.76</v>
      </c>
      <c r="D14" s="3078">
        <f ca="1">结果表!C42</f>
        <v>154377</v>
      </c>
      <c r="E14" s="3078">
        <f ca="1">ROUND(D14*10000/B14,0)</f>
        <v>11868</v>
      </c>
      <c r="F14" s="3078">
        <f ca="1">ROUND(D14*10000/C14,0)</f>
        <v>154845</v>
      </c>
      <c r="G14" s="3078">
        <f ca="1">结果表!C44</f>
        <v>109577</v>
      </c>
      <c r="H14" s="3078" t="str">
        <f>结果表!C45</f>
        <v>——</v>
      </c>
      <c r="I14" s="3078" t="str">
        <f>结果表!C46</f>
        <v>——</v>
      </c>
    </row>
    <row r="15" spans="1:9" ht="16.5">
      <c r="A15" s="3081" t="s">
        <v>2867</v>
      </c>
      <c r="B15" s="3082"/>
      <c r="C15" s="3082"/>
      <c r="D15" s="3082"/>
      <c r="E15" s="3078" t="e">
        <f t="shared" ref="E15:E23" si="2">ROUND(D15*10000/B15,0)</f>
        <v>#DIV/0!</v>
      </c>
      <c r="F15" s="3078" t="e">
        <f t="shared" ref="F15:F23" si="3">ROUND(D15*10000/C15,0)</f>
        <v>#DIV/0!</v>
      </c>
      <c r="G15" s="3079"/>
      <c r="H15" s="3079"/>
      <c r="I15" s="3082"/>
    </row>
    <row r="16" spans="1:9" ht="16.5">
      <c r="A16" s="3081" t="s">
        <v>2868</v>
      </c>
      <c r="B16" s="3082"/>
      <c r="C16" s="3082"/>
      <c r="D16" s="3082"/>
      <c r="E16" s="3078" t="e">
        <f t="shared" si="2"/>
        <v>#DIV/0!</v>
      </c>
      <c r="F16" s="3078" t="e">
        <f t="shared" si="3"/>
        <v>#DIV/0!</v>
      </c>
      <c r="G16" s="3079"/>
      <c r="H16" s="3079"/>
      <c r="I16" s="3082"/>
    </row>
    <row r="17" spans="1:9" ht="16.5">
      <c r="A17" s="3081" t="s">
        <v>2869</v>
      </c>
      <c r="B17" s="3082"/>
      <c r="C17" s="3082"/>
      <c r="D17" s="3082"/>
      <c r="E17" s="3078" t="e">
        <f t="shared" si="2"/>
        <v>#DIV/0!</v>
      </c>
      <c r="F17" s="3078" t="e">
        <f t="shared" si="3"/>
        <v>#DIV/0!</v>
      </c>
      <c r="G17" s="3079"/>
      <c r="H17" s="3079"/>
      <c r="I17" s="3082"/>
    </row>
    <row r="18" spans="1:9" ht="16.5">
      <c r="A18" s="3081" t="s">
        <v>2870</v>
      </c>
      <c r="B18" s="3082"/>
      <c r="C18" s="3082"/>
      <c r="D18" s="3082"/>
      <c r="E18" s="3078" t="e">
        <f t="shared" si="2"/>
        <v>#DIV/0!</v>
      </c>
      <c r="F18" s="3078" t="e">
        <f t="shared" si="3"/>
        <v>#DIV/0!</v>
      </c>
      <c r="G18" s="3082"/>
      <c r="H18" s="3082"/>
      <c r="I18" s="3082"/>
    </row>
    <row r="19" spans="1:9" ht="16.5">
      <c r="A19" s="3081" t="s">
        <v>2871</v>
      </c>
      <c r="B19" s="3082"/>
      <c r="C19" s="3082"/>
      <c r="D19" s="3082"/>
      <c r="E19" s="3078" t="e">
        <f t="shared" si="2"/>
        <v>#DIV/0!</v>
      </c>
      <c r="F19" s="3078" t="e">
        <f t="shared" si="3"/>
        <v>#DIV/0!</v>
      </c>
      <c r="G19" s="3082"/>
      <c r="H19" s="3082"/>
      <c r="I19" s="3082"/>
    </row>
    <row r="20" spans="1:9" ht="16.5">
      <c r="A20" s="3081" t="s">
        <v>2872</v>
      </c>
      <c r="B20" s="3082"/>
      <c r="C20" s="3082"/>
      <c r="D20" s="3082"/>
      <c r="E20" s="3078" t="e">
        <f t="shared" si="2"/>
        <v>#DIV/0!</v>
      </c>
      <c r="F20" s="3078" t="e">
        <f t="shared" si="3"/>
        <v>#DIV/0!</v>
      </c>
      <c r="G20" s="3082"/>
      <c r="H20" s="3082"/>
      <c r="I20" s="3082"/>
    </row>
    <row r="21" spans="1:9" ht="16.5">
      <c r="A21" s="3081" t="s">
        <v>2873</v>
      </c>
      <c r="B21" s="3082"/>
      <c r="C21" s="3082"/>
      <c r="D21" s="3082"/>
      <c r="E21" s="3078" t="e">
        <f t="shared" si="2"/>
        <v>#DIV/0!</v>
      </c>
      <c r="F21" s="3078" t="e">
        <f t="shared" si="3"/>
        <v>#DIV/0!</v>
      </c>
      <c r="G21" s="3082"/>
      <c r="H21" s="3082"/>
      <c r="I21" s="3082"/>
    </row>
    <row r="22" spans="1:9" ht="16.5">
      <c r="A22" s="3081" t="s">
        <v>2874</v>
      </c>
      <c r="B22" s="3082"/>
      <c r="C22" s="3082"/>
      <c r="D22" s="3082"/>
      <c r="E22" s="3078" t="e">
        <f t="shared" si="2"/>
        <v>#DIV/0!</v>
      </c>
      <c r="F22" s="3078" t="e">
        <f t="shared" si="3"/>
        <v>#DIV/0!</v>
      </c>
      <c r="G22" s="3082"/>
      <c r="H22" s="3082"/>
      <c r="I22" s="3082"/>
    </row>
    <row r="23" spans="1:9" ht="16.5">
      <c r="A23" s="3081" t="s">
        <v>2875</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22" zoomScaleNormal="100" zoomScaleSheetLayoutView="100" zoomScalePageLayoutView="80" workbookViewId="0">
      <selection activeCell="K47" sqref="K4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2056</v>
      </c>
      <c r="B1" s="1780"/>
      <c r="C1" s="1808" t="s">
        <v>2057</v>
      </c>
      <c r="D1" s="1809"/>
      <c r="E1" s="1808" t="s">
        <v>2058</v>
      </c>
      <c r="F1" s="1810"/>
      <c r="G1" s="313"/>
      <c r="H1" s="313"/>
      <c r="I1" s="313"/>
      <c r="J1" s="2032"/>
      <c r="K1" s="2032"/>
      <c r="L1" s="2032"/>
      <c r="M1" s="2032"/>
      <c r="N1" s="2032"/>
      <c r="O1" s="2032"/>
      <c r="P1" s="2032"/>
      <c r="Q1" s="2032"/>
      <c r="R1" s="2032"/>
      <c r="S1" s="2032"/>
      <c r="T1" s="2032"/>
      <c r="U1" s="2032"/>
      <c r="V1" s="2032"/>
    </row>
    <row r="2" spans="1:22" ht="21.75" customHeight="1" thickBot="1">
      <c r="A2" s="3329" t="str">
        <f>项目基本情况!K2</f>
        <v>北京市通州区运河核心区Ⅷ-14-2地块F3其他类多功能用地项目商务金融（办公、商业及地下车库）用地出让国有建设用地使用权</v>
      </c>
      <c r="B2" s="3330"/>
      <c r="C2" s="3331"/>
      <c r="D2" s="3331"/>
      <c r="E2" s="3331"/>
      <c r="F2" s="3331"/>
      <c r="G2" s="3330"/>
      <c r="H2" s="3330"/>
      <c r="I2" s="3332"/>
      <c r="J2" s="2033"/>
      <c r="K2" s="2032"/>
      <c r="L2" s="2032"/>
      <c r="M2" s="2032"/>
      <c r="N2" s="2032"/>
      <c r="O2" s="2032"/>
      <c r="P2" s="2032"/>
      <c r="Q2" s="2032"/>
      <c r="R2" s="2032"/>
      <c r="S2" s="2032"/>
      <c r="T2" s="2032"/>
      <c r="U2" s="2032"/>
      <c r="V2" s="2032"/>
    </row>
    <row r="3" spans="1:22" ht="14.25">
      <c r="A3" s="3340" t="s">
        <v>298</v>
      </c>
      <c r="B3" s="3341"/>
      <c r="C3" s="3341"/>
      <c r="D3" s="3341"/>
      <c r="E3" s="3341"/>
      <c r="F3" s="3341"/>
      <c r="G3" s="3341"/>
      <c r="H3" s="3341"/>
      <c r="I3" s="3341"/>
      <c r="J3" s="2033"/>
      <c r="K3" s="2032"/>
      <c r="L3" s="2032"/>
      <c r="M3" s="2032"/>
      <c r="N3" s="2032"/>
      <c r="O3" s="2032"/>
      <c r="P3" s="2032"/>
      <c r="Q3" s="2032"/>
      <c r="R3" s="2032"/>
      <c r="S3" s="2032"/>
      <c r="T3" s="2032"/>
      <c r="U3" s="2032"/>
      <c r="V3" s="2032"/>
    </row>
    <row r="4" spans="1:22" ht="14.25">
      <c r="A4" s="257" t="s">
        <v>299</v>
      </c>
      <c r="B4" s="258" t="s">
        <v>300</v>
      </c>
      <c r="C4" s="259" t="s">
        <v>3138</v>
      </c>
      <c r="D4" s="259" t="s">
        <v>3139</v>
      </c>
      <c r="E4" s="3304" t="s">
        <v>301</v>
      </c>
      <c r="F4" s="3346"/>
      <c r="G4" s="3346"/>
      <c r="H4" s="3346"/>
      <c r="I4" s="3305"/>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33" t="s">
        <v>302</v>
      </c>
      <c r="B5" s="3334">
        <v>25</v>
      </c>
      <c r="C5" s="3342"/>
      <c r="D5" s="3345"/>
      <c r="E5" s="260" t="s">
        <v>303</v>
      </c>
      <c r="F5" s="261"/>
      <c r="G5" s="261"/>
      <c r="H5" s="261"/>
      <c r="I5" s="262"/>
      <c r="J5" s="2033"/>
      <c r="K5" s="2032"/>
      <c r="L5" s="2032"/>
      <c r="M5" s="2032"/>
      <c r="N5" s="2032"/>
      <c r="O5" s="2032"/>
      <c r="P5" s="2032"/>
      <c r="Q5" s="2032"/>
      <c r="R5" s="2032"/>
      <c r="S5" s="2032"/>
      <c r="T5" s="2032"/>
      <c r="U5" s="2032"/>
      <c r="V5" s="2032"/>
    </row>
    <row r="6" spans="1:22" ht="14.25">
      <c r="A6" s="3333"/>
      <c r="B6" s="3334"/>
      <c r="C6" s="3343"/>
      <c r="D6" s="3345"/>
      <c r="E6" s="260" t="s">
        <v>304</v>
      </c>
      <c r="F6" s="261"/>
      <c r="G6" s="261"/>
      <c r="H6" s="261"/>
      <c r="I6" s="262"/>
      <c r="J6" s="2033"/>
      <c r="K6" s="2032"/>
      <c r="L6" s="2032"/>
      <c r="M6" s="2032"/>
      <c r="N6" s="2032"/>
      <c r="O6" s="2032"/>
      <c r="P6" s="2032"/>
      <c r="Q6" s="2032"/>
      <c r="R6" s="2032"/>
      <c r="S6" s="2032"/>
      <c r="T6" s="2032"/>
      <c r="U6" s="2032"/>
      <c r="V6" s="2032"/>
    </row>
    <row r="7" spans="1:22" ht="14.25">
      <c r="A7" s="3333"/>
      <c r="B7" s="3334"/>
      <c r="C7" s="3344"/>
      <c r="D7" s="3345"/>
      <c r="E7" s="260" t="s">
        <v>305</v>
      </c>
      <c r="F7" s="261"/>
      <c r="G7" s="261"/>
      <c r="H7" s="261"/>
      <c r="I7" s="262"/>
      <c r="J7" s="2033"/>
      <c r="K7" s="2032"/>
      <c r="L7" s="2032"/>
      <c r="M7" s="2032"/>
      <c r="N7" s="2032"/>
      <c r="O7" s="2032"/>
      <c r="P7" s="2032"/>
      <c r="Q7" s="2032"/>
      <c r="R7" s="2032"/>
      <c r="S7" s="2032"/>
      <c r="T7" s="2032"/>
      <c r="U7" s="2032"/>
      <c r="V7" s="2032"/>
    </row>
    <row r="8" spans="1:22" ht="14.25">
      <c r="A8" s="3333" t="s">
        <v>306</v>
      </c>
      <c r="B8" s="3334">
        <v>15</v>
      </c>
      <c r="C8" s="3342"/>
      <c r="D8" s="3345"/>
      <c r="E8" s="260" t="s">
        <v>307</v>
      </c>
      <c r="F8" s="261"/>
      <c r="G8" s="261"/>
      <c r="H8" s="261"/>
      <c r="I8" s="262"/>
      <c r="J8" s="2033"/>
      <c r="K8" s="2032"/>
      <c r="L8" s="2032"/>
      <c r="M8" s="2032"/>
      <c r="N8" s="2032"/>
      <c r="O8" s="2032"/>
      <c r="P8" s="2032"/>
      <c r="Q8" s="2032"/>
      <c r="R8" s="2032"/>
      <c r="S8" s="2032"/>
      <c r="T8" s="2032"/>
      <c r="U8" s="2032"/>
      <c r="V8" s="2032"/>
    </row>
    <row r="9" spans="1:22" ht="14.25">
      <c r="A9" s="3333"/>
      <c r="B9" s="3334"/>
      <c r="C9" s="3344"/>
      <c r="D9" s="3345"/>
      <c r="E9" s="260" t="s">
        <v>308</v>
      </c>
      <c r="F9" s="261"/>
      <c r="G9" s="261"/>
      <c r="H9" s="261"/>
      <c r="I9" s="262"/>
      <c r="J9" s="2033"/>
      <c r="K9" s="2032"/>
      <c r="L9" s="2032"/>
      <c r="M9" s="2032"/>
      <c r="N9" s="2032"/>
      <c r="O9" s="2032"/>
      <c r="P9" s="2032"/>
      <c r="Q9" s="2032"/>
      <c r="R9" s="2032"/>
      <c r="S9" s="2032"/>
      <c r="T9" s="2032"/>
      <c r="U9" s="2032"/>
      <c r="V9" s="2032"/>
    </row>
    <row r="10" spans="1:22" ht="14.25">
      <c r="A10" s="3333" t="s">
        <v>309</v>
      </c>
      <c r="B10" s="3334">
        <v>15</v>
      </c>
      <c r="C10" s="3342"/>
      <c r="D10" s="3345"/>
      <c r="E10" s="260" t="s">
        <v>310</v>
      </c>
      <c r="F10" s="261"/>
      <c r="G10" s="261"/>
      <c r="H10" s="261"/>
      <c r="I10" s="262"/>
      <c r="J10" s="2033"/>
      <c r="K10" s="2032"/>
      <c r="L10" s="2032"/>
      <c r="M10" s="2032"/>
      <c r="N10" s="2032"/>
      <c r="O10" s="2032"/>
      <c r="P10" s="2032"/>
      <c r="Q10" s="2032"/>
      <c r="R10" s="2032"/>
      <c r="S10" s="2032"/>
      <c r="T10" s="2032"/>
      <c r="U10" s="2032"/>
      <c r="V10" s="2032"/>
    </row>
    <row r="11" spans="1:22" ht="14.25">
      <c r="A11" s="3333"/>
      <c r="B11" s="3334"/>
      <c r="C11" s="3344"/>
      <c r="D11" s="3345"/>
      <c r="E11" s="260" t="s">
        <v>311</v>
      </c>
      <c r="F11" s="261"/>
      <c r="G11" s="261"/>
      <c r="H11" s="261"/>
      <c r="I11" s="262"/>
      <c r="J11" s="2033"/>
      <c r="K11" s="2032"/>
      <c r="L11" s="2032"/>
      <c r="M11" s="2032"/>
      <c r="N11" s="2032"/>
      <c r="O11" s="2032"/>
      <c r="P11" s="2032"/>
      <c r="Q11" s="2032"/>
      <c r="R11" s="2032"/>
      <c r="S11" s="2032"/>
      <c r="T11" s="2032"/>
      <c r="U11" s="2032"/>
      <c r="V11" s="2032"/>
    </row>
    <row r="12" spans="1:22" ht="14.25">
      <c r="A12" s="3333" t="s">
        <v>312</v>
      </c>
      <c r="B12" s="3334">
        <v>15</v>
      </c>
      <c r="C12" s="3342"/>
      <c r="D12" s="3345"/>
      <c r="E12" s="260" t="s">
        <v>313</v>
      </c>
      <c r="F12" s="261"/>
      <c r="G12" s="261"/>
      <c r="H12" s="261"/>
      <c r="I12" s="262"/>
      <c r="J12" s="2033"/>
      <c r="K12" s="2032"/>
      <c r="L12" s="2032"/>
      <c r="M12" s="2032"/>
      <c r="N12" s="2032"/>
      <c r="O12" s="2032"/>
      <c r="P12" s="2032"/>
      <c r="Q12" s="2032"/>
      <c r="R12" s="2032"/>
      <c r="S12" s="2032"/>
      <c r="T12" s="2032"/>
      <c r="U12" s="2032"/>
      <c r="V12" s="2032"/>
    </row>
    <row r="13" spans="1:22" ht="14.25">
      <c r="A13" s="3333"/>
      <c r="B13" s="3334"/>
      <c r="C13" s="3344"/>
      <c r="D13" s="3345"/>
      <c r="E13" s="260" t="s">
        <v>314</v>
      </c>
      <c r="F13" s="261"/>
      <c r="G13" s="261"/>
      <c r="H13" s="261"/>
      <c r="I13" s="262"/>
      <c r="J13" s="2033"/>
      <c r="K13" s="2032"/>
      <c r="L13" s="2032"/>
      <c r="M13" s="2032"/>
      <c r="N13" s="2032"/>
      <c r="O13" s="2032"/>
      <c r="P13" s="2032"/>
      <c r="Q13" s="2032"/>
      <c r="R13" s="2032"/>
      <c r="S13" s="2032"/>
      <c r="T13" s="2032"/>
      <c r="U13" s="2032"/>
      <c r="V13" s="2032"/>
    </row>
    <row r="14" spans="1:22" ht="14.25">
      <c r="A14" s="3333" t="s">
        <v>315</v>
      </c>
      <c r="B14" s="3334">
        <v>30</v>
      </c>
      <c r="C14" s="3342">
        <v>5</v>
      </c>
      <c r="D14" s="3345">
        <f>10-C14</f>
        <v>5</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33"/>
      <c r="B15" s="3334"/>
      <c r="C15" s="3343"/>
      <c r="D15" s="3345"/>
      <c r="E15" s="260" t="s">
        <v>317</v>
      </c>
      <c r="F15" s="261"/>
      <c r="G15" s="261"/>
      <c r="H15" s="261"/>
      <c r="I15" s="262"/>
      <c r="J15" s="2033"/>
      <c r="K15" s="2032"/>
      <c r="L15" s="2032"/>
      <c r="M15" s="2032"/>
      <c r="N15" s="2032"/>
      <c r="O15" s="2032"/>
      <c r="P15" s="2032"/>
      <c r="Q15" s="2032"/>
      <c r="R15" s="2032"/>
      <c r="S15" s="2032"/>
      <c r="T15" s="2032"/>
      <c r="U15" s="2032"/>
      <c r="V15" s="2032"/>
    </row>
    <row r="16" spans="1:22" ht="14.25">
      <c r="A16" s="3333"/>
      <c r="B16" s="3334"/>
      <c r="C16" s="3344"/>
      <c r="D16" s="3345"/>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5</v>
      </c>
      <c r="D17" s="264">
        <f>SUM(D5:D16)</f>
        <v>5</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0.5</v>
      </c>
      <c r="D18" s="266">
        <f>1-C18</f>
        <v>0.5</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143824</v>
      </c>
      <c r="D19" s="270">
        <f ca="1">SUMIF(INDIRECT("'"&amp;D4&amp;"'"&amp;"!A:A"),结果表!B19,INDIRECT("'"&amp;D4&amp;"'"&amp;"!B:B"))</f>
        <v>164929</v>
      </c>
      <c r="E19" s="267" t="s">
        <v>323</v>
      </c>
      <c r="F19" s="268" t="s">
        <v>322</v>
      </c>
      <c r="G19" s="271">
        <f ca="1">ROUND(C19*$C$18+D19*$D$18,0)</f>
        <v>154377</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11057</v>
      </c>
      <c r="D20" s="276">
        <f ca="1">SUMIF(INDIRECT("'"&amp;D4&amp;"'"&amp;"!A:A"),结果表!B20,INDIRECT("'"&amp;D4&amp;"'"&amp;"!B:B"))</f>
        <v>12679</v>
      </c>
      <c r="E20" s="273"/>
      <c r="F20" s="274" t="s">
        <v>325</v>
      </c>
      <c r="G20" s="277">
        <f ca="1">ROUND(C20*$C$18+D20*$D$18,0)</f>
        <v>11868</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144260</v>
      </c>
      <c r="D21" s="151">
        <f ca="1">SUMIF(INDIRECT("'"&amp;D4&amp;"'"&amp;"!A:A"),结果表!B21,INDIRECT("'"&amp;D4&amp;"'"&amp;"!B:B"))</f>
        <v>165429</v>
      </c>
      <c r="E21" s="273"/>
      <c r="F21" s="279" t="s">
        <v>327</v>
      </c>
      <c r="G21" s="281">
        <f ca="1">ROUND(C21*$C$18+D21*$D$18,0)</f>
        <v>154845</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0.14674185115140737</v>
      </c>
      <c r="E22" s="283"/>
      <c r="F22" s="284"/>
      <c r="G22" s="285">
        <f ca="1">ROUND(G19/('数据-汇总表'!D3/666.67),0)</f>
        <v>10323</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06"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48"/>
      <c r="B25" s="1323" t="s">
        <v>331</v>
      </c>
      <c r="C25" s="289">
        <f>IF(B30=0,0,C30)</f>
        <v>0</v>
      </c>
      <c r="D25" s="290"/>
      <c r="E25" s="313"/>
      <c r="F25" s="313"/>
      <c r="G25" s="313"/>
      <c r="H25" s="313"/>
      <c r="I25" s="313"/>
      <c r="J25" s="2032"/>
      <c r="K25" s="1257" t="str">
        <f ca="1">项目基本情况!B16&amp;"国有建设用地使用权价格："&amp;O38&amp;"万元"</f>
        <v>出让国有建设用地使用权价格：154377万元</v>
      </c>
      <c r="L25" s="1258"/>
      <c r="M25" s="1258"/>
      <c r="N25" s="1258"/>
      <c r="O25" s="1259"/>
      <c r="P25" s="2032"/>
      <c r="Q25" s="2032"/>
      <c r="R25" s="2032"/>
      <c r="S25" s="2032"/>
      <c r="T25" s="2032"/>
      <c r="U25" s="2032"/>
      <c r="V25" s="2032"/>
    </row>
    <row r="26" spans="1:26" s="1256" customFormat="1" ht="18">
      <c r="A26" s="292" t="s">
        <v>332</v>
      </c>
      <c r="B26" s="293" t="s">
        <v>333</v>
      </c>
      <c r="C26" s="293" t="s">
        <v>334</v>
      </c>
      <c r="D26" s="294" t="s">
        <v>335</v>
      </c>
      <c r="E26" s="313"/>
      <c r="F26" s="313"/>
      <c r="G26" s="313"/>
      <c r="H26" s="313"/>
      <c r="I26" s="313"/>
      <c r="J26" s="2032"/>
      <c r="K26" s="1260" t="str">
        <f ca="1">"大写金额：人民币"&amp;NUMBERSTRING(INT(O38*10000),2)&amp;"元整"</f>
        <v>大写金额：人民币壹拾伍亿肆仟叁佰柒拾柒万元整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单位面积地价：154845元/平方米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楼面地价：11868元/平方米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抵押价格：109577万元</v>
      </c>
      <c r="L29" s="1254"/>
      <c r="M29" s="1254"/>
      <c r="N29" s="1254"/>
      <c r="O29" s="1253"/>
      <c r="P29" s="2032"/>
      <c r="V29" s="2032"/>
    </row>
    <row r="30" spans="1:26" ht="18.75" thickBot="1">
      <c r="A30" s="295" t="s">
        <v>336</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大写金额：人民币壹拾亿玖仟伍佰柒拾柒万元整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337</v>
      </c>
      <c r="B32" s="1384" t="s">
        <v>1687</v>
      </c>
      <c r="C32" s="1385">
        <f ca="1">G19-C24</f>
        <v>154377</v>
      </c>
      <c r="D32" s="1386" t="s">
        <v>1688</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340</v>
      </c>
      <c r="B33" s="1387" t="s">
        <v>1689</v>
      </c>
      <c r="C33" s="263">
        <f ca="1">ROUND(C32*10000/'数据-汇总表'!E3,0)</f>
        <v>11868</v>
      </c>
      <c r="D33" s="1388" t="s">
        <v>1690</v>
      </c>
      <c r="E33" s="3306" t="s">
        <v>338</v>
      </c>
      <c r="F33" s="298" t="s">
        <v>339</v>
      </c>
      <c r="G33" s="299">
        <v>44800</v>
      </c>
      <c r="H33" s="982" t="s">
        <v>3156</v>
      </c>
      <c r="I33" s="1261"/>
      <c r="J33" s="2032"/>
      <c r="K33" s="1260" t="str">
        <f>IF(项目基本情况!E9="——","——","抵押净值："&amp;C46&amp;"万元")</f>
        <v>——</v>
      </c>
      <c r="L33" s="1254"/>
      <c r="M33" s="1254"/>
      <c r="N33" s="1254"/>
      <c r="O33" s="1253"/>
      <c r="P33" s="2032"/>
      <c r="V33" s="2032"/>
    </row>
    <row r="34" spans="1:26" s="1256" customFormat="1" ht="18.75" thickBot="1">
      <c r="A34" s="302"/>
      <c r="B34" s="1389" t="s">
        <v>1691</v>
      </c>
      <c r="C34" s="263">
        <f ca="1">ROUND(C32*10000/'数据-汇总表'!D3,0)</f>
        <v>154845</v>
      </c>
      <c r="D34" s="1390" t="s">
        <v>1690</v>
      </c>
      <c r="E34" s="3307"/>
      <c r="F34" s="127" t="s">
        <v>341</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10323</v>
      </c>
      <c r="D35" s="1393" t="s">
        <v>1692</v>
      </c>
      <c r="E35" s="3308"/>
      <c r="F35" s="303" t="s">
        <v>342</v>
      </c>
      <c r="G35" s="984"/>
      <c r="H35" s="983" t="s">
        <v>343</v>
      </c>
      <c r="I35" s="313"/>
      <c r="J35" s="2032"/>
      <c r="K35" s="3312" t="s">
        <v>350</v>
      </c>
      <c r="L35" s="3312" t="s">
        <v>351</v>
      </c>
      <c r="M35" s="1266" t="s">
        <v>352</v>
      </c>
      <c r="N35" s="3312" t="s">
        <v>353</v>
      </c>
      <c r="O35" s="3312" t="s">
        <v>354</v>
      </c>
      <c r="P35" s="2032"/>
      <c r="V35" s="2032"/>
    </row>
    <row r="36" spans="1:26" ht="16.5" customHeight="1">
      <c r="A36" s="305" t="s">
        <v>344</v>
      </c>
      <c r="B36" s="306" t="s">
        <v>333</v>
      </c>
      <c r="C36" s="307" t="s">
        <v>345</v>
      </c>
      <c r="D36" s="307" t="s">
        <v>346</v>
      </c>
      <c r="E36" s="308" t="s">
        <v>347</v>
      </c>
      <c r="F36" s="313"/>
      <c r="G36" s="313"/>
      <c r="H36" s="313"/>
      <c r="I36" s="313"/>
      <c r="J36" s="2034"/>
      <c r="K36" s="3313"/>
      <c r="L36" s="3313"/>
      <c r="M36" s="1268" t="s">
        <v>355</v>
      </c>
      <c r="N36" s="3313"/>
      <c r="O36" s="3313"/>
      <c r="P36" s="2032"/>
      <c r="V36" s="2032"/>
    </row>
    <row r="37" spans="1:26" ht="16.5" customHeight="1" thickBot="1">
      <c r="A37" s="1262" t="s">
        <v>348</v>
      </c>
      <c r="B37" s="309"/>
      <c r="C37" s="293"/>
      <c r="D37" s="293"/>
      <c r="E37" s="294"/>
      <c r="F37" s="313"/>
      <c r="G37" s="313"/>
      <c r="H37" s="313"/>
      <c r="I37" s="313"/>
      <c r="J37" s="2034"/>
      <c r="K37" s="3314"/>
      <c r="L37" s="3314"/>
      <c r="M37" s="1269"/>
      <c r="N37" s="3314"/>
      <c r="O37" s="3314"/>
      <c r="P37" s="2032"/>
      <c r="V37" s="2032"/>
    </row>
    <row r="38" spans="1:26" ht="16.5" customHeight="1" thickBot="1">
      <c r="A38" s="1262" t="s">
        <v>349</v>
      </c>
      <c r="B38" s="309"/>
      <c r="C38" s="293"/>
      <c r="D38" s="293"/>
      <c r="E38" s="294"/>
      <c r="F38" s="313"/>
      <c r="G38" s="313"/>
      <c r="H38" s="313"/>
      <c r="I38" s="313"/>
      <c r="J38" s="2034"/>
      <c r="K38" s="1270">
        <f>'数据-汇总表'!D3</f>
        <v>9969.76</v>
      </c>
      <c r="L38" s="1271">
        <f>'数据-汇总表'!E3</f>
        <v>130076.72</v>
      </c>
      <c r="M38" s="1271">
        <f ca="1">C34</f>
        <v>154845</v>
      </c>
      <c r="N38" s="1271">
        <f ca="1">C33</f>
        <v>11868</v>
      </c>
      <c r="O38" s="1272">
        <f ca="1">C32</f>
        <v>154377</v>
      </c>
      <c r="P38" s="2032"/>
      <c r="V38" s="2032"/>
    </row>
    <row r="39" spans="1:26" ht="16.5" customHeight="1" thickBot="1">
      <c r="A39" s="1267"/>
      <c r="B39" s="310"/>
      <c r="C39" s="311"/>
      <c r="D39" s="311"/>
      <c r="E39" s="312"/>
      <c r="F39" s="313"/>
      <c r="G39" s="313"/>
      <c r="H39" s="313"/>
      <c r="I39" s="313"/>
      <c r="J39" s="2034"/>
      <c r="K39" s="3289" t="str">
        <f>MID(A44,3,LEN(A44)-2)</f>
        <v>抵押价格</v>
      </c>
      <c r="L39" s="3290"/>
      <c r="M39" s="3290"/>
      <c r="N39" s="3291"/>
      <c r="O39" s="1395">
        <f ca="1">C44</f>
        <v>109577</v>
      </c>
      <c r="P39" s="2032"/>
      <c r="V39" s="2032"/>
    </row>
    <row r="40" spans="1:26" ht="19.5" thickBot="1">
      <c r="A40" s="104" t="s">
        <v>874</v>
      </c>
      <c r="B40" s="313"/>
      <c r="C40" s="313"/>
      <c r="D40" s="313"/>
      <c r="E40" s="313"/>
      <c r="F40" s="313"/>
      <c r="G40" s="313"/>
      <c r="H40" s="313"/>
      <c r="I40" s="313"/>
      <c r="J40" s="2034"/>
      <c r="K40" s="3289" t="str">
        <f t="shared" ref="K40:K41" si="0">MID(A45,3,LEN(A45)-2)</f>
        <v/>
      </c>
      <c r="L40" s="3290"/>
      <c r="M40" s="3290"/>
      <c r="N40" s="3291"/>
      <c r="O40" s="1395" t="str">
        <f>C45</f>
        <v>——</v>
      </c>
      <c r="P40" s="2032"/>
      <c r="V40" s="2032"/>
    </row>
    <row r="41" spans="1:26" ht="16.5" thickBot="1">
      <c r="A41" s="314" t="s">
        <v>356</v>
      </c>
      <c r="B41" s="315"/>
      <c r="C41" s="316" t="s">
        <v>357</v>
      </c>
      <c r="D41" s="317" t="s">
        <v>358</v>
      </c>
      <c r="E41" s="317" t="s">
        <v>359</v>
      </c>
      <c r="F41" s="318" t="s">
        <v>360</v>
      </c>
      <c r="G41" s="313"/>
      <c r="H41" s="313"/>
      <c r="I41" s="313"/>
      <c r="J41" s="2034"/>
      <c r="K41" s="3289" t="str">
        <f t="shared" si="0"/>
        <v/>
      </c>
      <c r="L41" s="3290"/>
      <c r="M41" s="3290"/>
      <c r="N41" s="3291"/>
      <c r="O41" s="1395" t="str">
        <f>C46</f>
        <v>——</v>
      </c>
      <c r="P41" s="2032"/>
      <c r="V41" s="2032"/>
    </row>
    <row r="42" spans="1:26" ht="29.25">
      <c r="A42" s="3349" t="s">
        <v>2068</v>
      </c>
      <c r="B42" s="3350"/>
      <c r="C42" s="263">
        <f ca="1">C32</f>
        <v>154377</v>
      </c>
      <c r="D42" s="319">
        <f ca="1">C33</f>
        <v>11868</v>
      </c>
      <c r="E42" s="319">
        <f ca="1">C34</f>
        <v>154845</v>
      </c>
      <c r="F42" s="320">
        <f ca="1">C35</f>
        <v>10323</v>
      </c>
      <c r="G42" s="313"/>
      <c r="H42" s="313"/>
      <c r="I42" s="321"/>
      <c r="J42" s="2034"/>
      <c r="K42" s="1273" t="s">
        <v>361</v>
      </c>
      <c r="L42" s="2051" t="s">
        <v>362</v>
      </c>
      <c r="M42" s="1274" t="s">
        <v>363</v>
      </c>
      <c r="N42" s="2052" t="s">
        <v>364</v>
      </c>
      <c r="O42" s="2053" t="s">
        <v>365</v>
      </c>
      <c r="P42" s="2032"/>
      <c r="V42" s="2032"/>
    </row>
    <row r="43" spans="1:26" ht="30">
      <c r="A43" s="3359" t="s">
        <v>2736</v>
      </c>
      <c r="B43" s="3360"/>
      <c r="C43" s="263">
        <f>IF(H33="正常操作",G33+G34+G35,G34+G35)</f>
        <v>44800</v>
      </c>
      <c r="D43" s="319" t="s">
        <v>43</v>
      </c>
      <c r="E43" s="319" t="s">
        <v>44</v>
      </c>
      <c r="F43" s="320" t="s">
        <v>44</v>
      </c>
      <c r="G43" s="2896" t="s">
        <v>953</v>
      </c>
      <c r="H43" s="313"/>
      <c r="I43" s="321"/>
      <c r="J43" s="2034"/>
      <c r="K43" s="1275" t="str">
        <f>C4</f>
        <v>比较法-住宅、综合</v>
      </c>
      <c r="L43" s="1276">
        <f ca="1">IF(L42="估价结果/万元",C19,C20)</f>
        <v>143824</v>
      </c>
      <c r="M43" s="1277">
        <f>C18</f>
        <v>0.5</v>
      </c>
      <c r="N43" s="1278">
        <f ca="1">IF(N42="测算结果/万元",G19,G20)</f>
        <v>154377</v>
      </c>
      <c r="O43" s="1279">
        <f ca="1">IF(O42="最终结果/万元",C32,C33)</f>
        <v>154377</v>
      </c>
      <c r="P43" s="2032"/>
      <c r="V43" s="2032"/>
    </row>
    <row r="44" spans="1:26" ht="30.75" thickBot="1">
      <c r="A44" s="3349" t="str">
        <f>IF(OR(项目基本情况!E8="抵押价格",项目基本情况!E8="已注销及未注销"),"3.抵押价格","——")</f>
        <v>3.抵押价格</v>
      </c>
      <c r="B44" s="3350"/>
      <c r="C44" s="263">
        <f ca="1">IF(A44="——","——",C42-C43)</f>
        <v>109577</v>
      </c>
      <c r="D44" s="319">
        <f ca="1">ROUND(C44*10000/'数据-汇总表'!E3,0)</f>
        <v>8424</v>
      </c>
      <c r="E44" s="319">
        <f ca="1">ROUND(C44*10000/'数据-汇总表'!D3,0)</f>
        <v>109909</v>
      </c>
      <c r="F44" s="320">
        <f ca="1">ROUND(C44/('数据-汇总表'!D3/666.67),0)</f>
        <v>7327</v>
      </c>
      <c r="G44" s="313"/>
      <c r="H44" s="313"/>
      <c r="I44" s="321"/>
      <c r="J44" s="2034"/>
      <c r="K44" s="1280" t="str">
        <f>D4</f>
        <v>剩余法-待开发</v>
      </c>
      <c r="L44" s="1281">
        <f ca="1">IF(L42="估价结果/万元",D19,D20)</f>
        <v>164929</v>
      </c>
      <c r="M44" s="1282">
        <f>D18</f>
        <v>0.5</v>
      </c>
      <c r="N44" s="1283"/>
      <c r="O44" s="1284"/>
      <c r="P44" s="2032"/>
      <c r="V44" s="2032"/>
    </row>
    <row r="45" spans="1:26" ht="15">
      <c r="A45" s="3354" t="str">
        <f>IF(项目基本情况!E8="已注销及未注销","4.抵押担保权已注销时的抵押价格",IF(项目基本情况!E8="已注销","3.抵押担保权已注销时的抵押价格","——"))</f>
        <v>——</v>
      </c>
      <c r="B45" s="3355"/>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51" t="str">
        <f>IF(项目基本情况!E9="抵押净值",IF(A45="——","4.抵押净值","5.抵押净值"),"——")</f>
        <v>——</v>
      </c>
      <c r="B46" s="3352"/>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5"/>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本次评估估价师知悉的法定优先受偿款为人民币44800万元整。</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17" t="s">
        <v>374</v>
      </c>
      <c r="B63" s="3318"/>
      <c r="C63" s="3319"/>
      <c r="D63" s="343">
        <f ca="1">ROUND(C42*F63,0)</f>
        <v>92626</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356" t="s">
        <v>378</v>
      </c>
      <c r="B64" s="3357"/>
      <c r="C64" s="3357"/>
      <c r="D64" s="3357"/>
      <c r="E64" s="3357"/>
      <c r="F64" s="3357"/>
      <c r="G64" s="3358"/>
      <c r="H64" s="1290"/>
      <c r="I64" s="950"/>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90"/>
      <c r="I65" s="950"/>
      <c r="J65" s="1994"/>
      <c r="K65" s="1291"/>
      <c r="L65" s="1292"/>
      <c r="M65" s="1292"/>
      <c r="N65" s="1324" t="s">
        <v>379</v>
      </c>
      <c r="O65" s="1325"/>
      <c r="P65" s="1326"/>
      <c r="Q65" s="2032"/>
      <c r="R65" s="2032"/>
      <c r="S65" s="2032"/>
      <c r="T65" s="2032"/>
      <c r="U65" s="2032"/>
      <c r="V65" s="2032"/>
    </row>
    <row r="66" spans="1:22" ht="25.5">
      <c r="A66" s="3353" t="s">
        <v>386</v>
      </c>
      <c r="B66" s="3324"/>
      <c r="C66" s="3324"/>
      <c r="D66" s="260">
        <f ca="1">IF(H66="情况1",0,IF(H66="情况2",D70,IF(H66="情况3",D71,IF(H66="情况4",D72))))</f>
        <v>4852</v>
      </c>
      <c r="E66" s="995" t="str">
        <f>IF(H66="情况4","(销售额-原购置价)×税（费）率","销售额×税（费）率")</f>
        <v>销售额×税（费）率</v>
      </c>
      <c r="F66" s="352">
        <f>IF(H66="情况1","免征",'数据-取费表'!B41)</f>
        <v>5.5000000000000007E-2</v>
      </c>
      <c r="G66" s="353" t="s">
        <v>387</v>
      </c>
      <c r="H66" s="191" t="s">
        <v>388</v>
      </c>
      <c r="I66" s="1290"/>
      <c r="J66" s="2038"/>
      <c r="K66" s="1293">
        <v>1</v>
      </c>
      <c r="L66" s="3293" t="s">
        <v>385</v>
      </c>
      <c r="M66" s="3294"/>
      <c r="N66" s="2486"/>
      <c r="O66" s="2487"/>
      <c r="P66" s="2488"/>
      <c r="Q66" s="2032"/>
      <c r="R66" s="2032"/>
      <c r="S66" s="2032"/>
      <c r="T66" s="2032"/>
      <c r="U66" s="2032"/>
      <c r="V66" s="2032"/>
    </row>
    <row r="67" spans="1:22" ht="25.5" customHeight="1">
      <c r="A67" s="354" t="s">
        <v>390</v>
      </c>
      <c r="B67" s="3336" t="s">
        <v>391</v>
      </c>
      <c r="C67" s="3336"/>
      <c r="D67" s="355">
        <v>0</v>
      </c>
      <c r="E67" s="41" t="s">
        <v>392</v>
      </c>
      <c r="F67" s="62" t="s">
        <v>21</v>
      </c>
      <c r="G67" s="3320"/>
      <c r="H67" s="313"/>
      <c r="I67" s="1294"/>
      <c r="J67" s="2039"/>
      <c r="K67" s="1980">
        <v>2</v>
      </c>
      <c r="L67" s="3292" t="s">
        <v>389</v>
      </c>
      <c r="M67" s="3292"/>
      <c r="N67" s="1327">
        <f>'数据-取费表'!B2</f>
        <v>43035</v>
      </c>
      <c r="O67" s="1327"/>
      <c r="P67" s="1327"/>
      <c r="Q67" s="2032"/>
      <c r="R67" s="2032"/>
      <c r="S67" s="2032"/>
      <c r="T67" s="2032"/>
      <c r="U67" s="2032"/>
      <c r="V67" s="2032"/>
    </row>
    <row r="68" spans="1:22" ht="25.5" customHeight="1">
      <c r="A68" s="356"/>
      <c r="B68" s="3336" t="s">
        <v>394</v>
      </c>
      <c r="C68" s="3336"/>
      <c r="D68" s="357"/>
      <c r="E68" s="77"/>
      <c r="F68" s="358"/>
      <c r="G68" s="3321"/>
      <c r="H68" s="313"/>
      <c r="I68" s="1294"/>
      <c r="J68" s="2039"/>
      <c r="K68" s="1980">
        <v>3</v>
      </c>
      <c r="L68" s="3292" t="s">
        <v>393</v>
      </c>
      <c r="M68" s="3292"/>
      <c r="N68" s="1295">
        <f ca="1">C42</f>
        <v>154377</v>
      </c>
      <c r="O68" s="1295"/>
      <c r="P68" s="1295"/>
      <c r="Q68" s="2032"/>
      <c r="R68" s="2032"/>
      <c r="S68" s="2032"/>
      <c r="T68" s="2032"/>
      <c r="U68" s="2032"/>
      <c r="V68" s="2032"/>
    </row>
    <row r="69" spans="1:22" ht="12" customHeight="1">
      <c r="A69" s="359"/>
      <c r="B69" s="3336" t="s">
        <v>395</v>
      </c>
      <c r="C69" s="3336"/>
      <c r="D69" s="360"/>
      <c r="E69" s="73"/>
      <c r="F69" s="358"/>
      <c r="G69" s="3322"/>
      <c r="H69" s="313"/>
      <c r="I69" s="1294"/>
      <c r="J69" s="2039"/>
      <c r="K69" s="1296">
        <v>4</v>
      </c>
      <c r="L69" s="3298" t="s">
        <v>2889</v>
      </c>
      <c r="M69" s="3299"/>
      <c r="N69" s="1297">
        <f ca="1">C44</f>
        <v>109577</v>
      </c>
      <c r="O69" s="1297"/>
      <c r="P69" s="1297"/>
      <c r="Q69" s="2032"/>
      <c r="R69" s="2032"/>
      <c r="S69" s="2032"/>
      <c r="T69" s="2032"/>
      <c r="U69" s="2032"/>
      <c r="V69" s="2032"/>
    </row>
    <row r="70" spans="1:22" ht="24" customHeight="1">
      <c r="A70" s="361" t="s">
        <v>396</v>
      </c>
      <c r="B70" s="3336" t="s">
        <v>397</v>
      </c>
      <c r="C70" s="3336"/>
      <c r="D70" s="360">
        <f ca="1">ROUND(D63*'数据-取费表'!B41/(1+'数据-取费表'!C42),0)</f>
        <v>4852</v>
      </c>
      <c r="E70" s="17" t="s">
        <v>398</v>
      </c>
      <c r="F70" s="362">
        <f>'数据-取费表'!B41</f>
        <v>5.5000000000000007E-2</v>
      </c>
      <c r="G70" s="363"/>
      <c r="H70" s="313"/>
      <c r="I70" s="1294"/>
      <c r="J70" s="2039"/>
      <c r="K70" s="3091"/>
      <c r="L70" s="3092"/>
      <c r="M70" s="3092"/>
      <c r="N70" s="3093" t="s">
        <v>2894</v>
      </c>
      <c r="O70" s="3092"/>
      <c r="P70" s="3094"/>
      <c r="Q70" s="2032"/>
      <c r="R70" s="2032"/>
      <c r="S70" s="2032"/>
      <c r="T70" s="2032"/>
      <c r="U70" s="2032"/>
      <c r="V70" s="2032"/>
    </row>
    <row r="71" spans="1:22" ht="12" customHeight="1">
      <c r="A71" s="361" t="s">
        <v>404</v>
      </c>
      <c r="B71" s="3335" t="s">
        <v>405</v>
      </c>
      <c r="C71" s="3347"/>
      <c r="D71" s="360">
        <f ca="1">ROUND(D63*'数据-取费表'!B41/(1+'数据-取费表'!C42),0)</f>
        <v>4852</v>
      </c>
      <c r="E71" s="17" t="s">
        <v>398</v>
      </c>
      <c r="F71" s="362">
        <f>'数据-取费表'!B41</f>
        <v>5.5000000000000007E-2</v>
      </c>
      <c r="G71" s="363"/>
      <c r="H71" s="313"/>
      <c r="I71" s="1294"/>
      <c r="J71" s="2039"/>
      <c r="K71" s="3090" t="s">
        <v>399</v>
      </c>
      <c r="L71" s="3300" t="s">
        <v>400</v>
      </c>
      <c r="M71" s="3300"/>
      <c r="N71" s="3090" t="s">
        <v>401</v>
      </c>
      <c r="O71" s="3090" t="s">
        <v>402</v>
      </c>
      <c r="P71" s="3090" t="s">
        <v>403</v>
      </c>
      <c r="Q71" s="2032"/>
      <c r="R71" s="2032"/>
      <c r="S71" s="2032"/>
      <c r="T71" s="2032"/>
      <c r="U71" s="2032"/>
      <c r="V71" s="2032"/>
    </row>
    <row r="72" spans="1:22" ht="12" customHeight="1">
      <c r="A72" s="361" t="s">
        <v>407</v>
      </c>
      <c r="B72" s="3335" t="s">
        <v>408</v>
      </c>
      <c r="C72" s="3347"/>
      <c r="D72" s="360">
        <f ca="1">C86</f>
        <v>4742</v>
      </c>
      <c r="E72" s="73" t="s">
        <v>409</v>
      </c>
      <c r="F72" s="362">
        <f>'数据-取费表'!B41</f>
        <v>5.5000000000000007E-2</v>
      </c>
      <c r="G72" s="363"/>
      <c r="H72" s="1300"/>
      <c r="I72" s="1294"/>
      <c r="J72" s="2039"/>
      <c r="K72" s="1980">
        <v>1</v>
      </c>
      <c r="L72" s="3297" t="s">
        <v>406</v>
      </c>
      <c r="M72" s="3297"/>
      <c r="N72" s="1298">
        <f ca="1">D66</f>
        <v>4852</v>
      </c>
      <c r="O72" s="1863" t="str">
        <f>E66</f>
        <v>销售额×税（费）率</v>
      </c>
      <c r="P72" s="1299">
        <f>F66</f>
        <v>5.5000000000000007E-2</v>
      </c>
      <c r="Q72" s="2032"/>
      <c r="R72" s="2032"/>
      <c r="S72" s="2032"/>
      <c r="T72" s="2032"/>
      <c r="U72" s="2032"/>
      <c r="V72" s="2032"/>
    </row>
    <row r="73" spans="1:22" ht="24" customHeight="1">
      <c r="A73" s="3323" t="s">
        <v>411</v>
      </c>
      <c r="B73" s="3324"/>
      <c r="C73" s="3324"/>
      <c r="D73" s="364">
        <f>IF(H73="个人住宅",0,ROUND(D63*I73,0))</f>
        <v>0</v>
      </c>
      <c r="E73" s="17" t="s">
        <v>412</v>
      </c>
      <c r="F73" s="362" t="str">
        <f>IF(H73="正常",I73,"免征")</f>
        <v>免征</v>
      </c>
      <c r="G73" s="363"/>
      <c r="H73" s="191" t="s">
        <v>2458</v>
      </c>
      <c r="I73" s="362">
        <f>'数据-取费表'!B49</f>
        <v>5.0000000000000001E-4</v>
      </c>
      <c r="J73" s="2039"/>
      <c r="K73" s="1980">
        <v>2</v>
      </c>
      <c r="L73" s="3297" t="s">
        <v>410</v>
      </c>
      <c r="M73" s="3297"/>
      <c r="N73" s="1298">
        <f t="shared" ref="N73:P74" si="1">D73</f>
        <v>0</v>
      </c>
      <c r="O73" s="1863" t="str">
        <f t="shared" si="1"/>
        <v>销售额×税（费）率</v>
      </c>
      <c r="P73" s="1299" t="str">
        <f t="shared" si="1"/>
        <v>免征</v>
      </c>
      <c r="Q73" s="2032"/>
      <c r="R73" s="2032"/>
      <c r="S73" s="2032"/>
      <c r="T73" s="2032"/>
      <c r="U73" s="2032"/>
      <c r="V73" s="2032"/>
    </row>
    <row r="74" spans="1:22" ht="24.75">
      <c r="A74" s="3323" t="s">
        <v>415</v>
      </c>
      <c r="B74" s="3324"/>
      <c r="C74" s="3324"/>
      <c r="D74" s="364">
        <f ca="1">IF(H74="个人住宅",D75,D76)</f>
        <v>51855</v>
      </c>
      <c r="E74" s="17" t="s">
        <v>416</v>
      </c>
      <c r="F74" s="362" t="str">
        <f>IF(H74="正常",F76,"免征")</f>
        <v>——</v>
      </c>
      <c r="G74" s="985" t="s">
        <v>417</v>
      </c>
      <c r="H74" s="365" t="s">
        <v>413</v>
      </c>
      <c r="I74" s="42"/>
      <c r="J74" s="2039"/>
      <c r="K74" s="1980">
        <v>3</v>
      </c>
      <c r="L74" s="3297" t="s">
        <v>414</v>
      </c>
      <c r="M74" s="3297"/>
      <c r="N74" s="1298">
        <f t="shared" ca="1" si="1"/>
        <v>51855</v>
      </c>
      <c r="O74" s="1863" t="str">
        <f t="shared" si="1"/>
        <v>增值额×税（费）率</v>
      </c>
      <c r="P74" s="1301" t="str">
        <f t="shared" si="1"/>
        <v>——</v>
      </c>
      <c r="Q74" s="2032"/>
      <c r="R74" s="2032"/>
      <c r="S74" s="2032"/>
      <c r="T74" s="2032"/>
      <c r="U74" s="2032"/>
      <c r="V74" s="2032"/>
    </row>
    <row r="75" spans="1:22" ht="24">
      <c r="A75" s="361" t="s">
        <v>418</v>
      </c>
      <c r="B75" s="3304" t="s">
        <v>419</v>
      </c>
      <c r="C75" s="3305"/>
      <c r="D75" s="366">
        <v>0</v>
      </c>
      <c r="E75" s="41" t="s">
        <v>420</v>
      </c>
      <c r="F75" s="367"/>
      <c r="G75" s="363"/>
      <c r="H75" s="42"/>
      <c r="I75" s="42"/>
      <c r="J75" s="2039"/>
      <c r="K75" s="3083">
        <f>IF(H77="非个人房产","",4)</f>
        <v>4</v>
      </c>
      <c r="L75" s="3297" t="str">
        <f>IF(H77="非个人房产","——","个人所得税")</f>
        <v>个人所得税</v>
      </c>
      <c r="M75" s="3297"/>
      <c r="N75" s="1302">
        <f ca="1">D77</f>
        <v>926</v>
      </c>
      <c r="O75" s="1876" t="str">
        <f>E77</f>
        <v>销售额×税（费）率</v>
      </c>
      <c r="P75" s="1303">
        <f>F77</f>
        <v>0.01</v>
      </c>
      <c r="Q75" s="2032"/>
      <c r="R75" s="2032"/>
      <c r="S75" s="2032"/>
      <c r="T75" s="2032"/>
      <c r="U75" s="2032"/>
      <c r="V75" s="2032"/>
    </row>
    <row r="76" spans="1:22" ht="24.75">
      <c r="A76" s="361" t="s">
        <v>396</v>
      </c>
      <c r="B76" s="3304" t="s">
        <v>422</v>
      </c>
      <c r="C76" s="3346"/>
      <c r="D76" s="364">
        <f ca="1">IF(H76="转让取得",C99,C115)</f>
        <v>51855</v>
      </c>
      <c r="E76" s="17" t="s">
        <v>423</v>
      </c>
      <c r="F76" s="53" t="s">
        <v>21</v>
      </c>
      <c r="G76" s="363"/>
      <c r="H76" s="365" t="s">
        <v>424</v>
      </c>
      <c r="I76" s="42"/>
      <c r="J76" s="2039"/>
      <c r="K76" s="3083" t="str">
        <f>IF(项目基本情况!K6="上海银行",IF(K75="",4,K75+1),"")</f>
        <v/>
      </c>
      <c r="L76" s="3285" t="str">
        <f>IF(项目基本情况!K6="上海银行","其他处置费用","")</f>
        <v/>
      </c>
      <c r="M76" s="3286"/>
      <c r="N76" s="1298" t="str">
        <f>IF(项目基本情况!K6="上海银行",N89,"")</f>
        <v/>
      </c>
      <c r="O76" s="3287" t="str">
        <f>IF(项目基本情况!K6="上海银行","包含处置中涉及的律师、诉讼、拍卖、评估等费用","")</f>
        <v/>
      </c>
      <c r="P76" s="3288"/>
      <c r="Q76" s="2032"/>
      <c r="R76" s="2032"/>
      <c r="S76" s="2032"/>
      <c r="T76" s="2032"/>
      <c r="U76" s="2032"/>
      <c r="V76" s="2032"/>
    </row>
    <row r="77" spans="1:22" ht="26.25" thickBot="1">
      <c r="A77" s="3315" t="s">
        <v>426</v>
      </c>
      <c r="B77" s="3316"/>
      <c r="C77" s="3316"/>
      <c r="D77" s="368">
        <f ca="1">IF(H77="非个人房产","——",IF(H77="个人住宅",0,ROUND(D63*I77,0)))</f>
        <v>926</v>
      </c>
      <c r="E77" s="369" t="str">
        <f>IF(H77="非个人房产","——","销售额×税（费）率")</f>
        <v>销售额×税（费）率</v>
      </c>
      <c r="F77" s="370">
        <f>IF(H77="非个人房产","——",IF(H77="个人住宅","免征",I77))</f>
        <v>0.01</v>
      </c>
      <c r="G77" s="986" t="s">
        <v>417</v>
      </c>
      <c r="H77" s="365" t="s">
        <v>2890</v>
      </c>
      <c r="I77" s="371">
        <v>0.01</v>
      </c>
      <c r="J77" s="2039"/>
      <c r="K77" s="3311">
        <f>IF(AND(K75="",K76=""),4,IF(项目基本情况!K6="上海银行",K76+1,K75+1))</f>
        <v>5</v>
      </c>
      <c r="L77" s="3297" t="s">
        <v>2891</v>
      </c>
      <c r="M77" s="3089" t="s">
        <v>421</v>
      </c>
      <c r="N77" s="1304"/>
      <c r="O77" s="1305">
        <f ca="1">SUMIF(N72:N76,"&lt;9e307")</f>
        <v>57633</v>
      </c>
      <c r="P77" s="1306"/>
      <c r="Q77" s="3087">
        <f ca="1">O77/N69</f>
        <v>0.52595891473575662</v>
      </c>
      <c r="R77" s="2032"/>
      <c r="S77" s="2032"/>
      <c r="T77" s="2032"/>
      <c r="U77" s="2032"/>
      <c r="V77" s="2032"/>
    </row>
    <row r="78" spans="1:22" ht="12" customHeight="1">
      <c r="A78" s="1307"/>
      <c r="B78" s="313"/>
      <c r="C78" s="313"/>
      <c r="D78" s="313"/>
      <c r="E78" s="42"/>
      <c r="F78" s="42"/>
      <c r="G78" s="42"/>
      <c r="H78" s="1005"/>
      <c r="I78" s="313"/>
      <c r="J78" s="2039"/>
      <c r="K78" s="3311"/>
      <c r="L78" s="3297"/>
      <c r="M78" s="3089" t="s">
        <v>425</v>
      </c>
      <c r="N78" s="1304"/>
      <c r="O78" s="1305" t="str">
        <f ca="1">NUMBERSTRING(INT(O77*10000),2)&amp;"元整"</f>
        <v>伍亿柒仟陆佰叁拾叁万元整</v>
      </c>
      <c r="P78" s="1306"/>
      <c r="Q78" s="2032"/>
      <c r="R78" s="2032"/>
      <c r="S78" s="2032"/>
      <c r="T78" s="2032"/>
      <c r="U78" s="2032"/>
      <c r="V78" s="2032"/>
    </row>
    <row r="79" spans="1:22" ht="13.5" thickBot="1">
      <c r="A79" s="3301" t="s">
        <v>427</v>
      </c>
      <c r="B79" s="3301"/>
      <c r="C79" s="3301"/>
      <c r="D79" s="3301"/>
      <c r="E79" s="3301"/>
      <c r="F79" s="42"/>
      <c r="G79" s="42"/>
      <c r="H79" s="1005"/>
      <c r="I79" s="313"/>
      <c r="J79" s="2039"/>
      <c r="K79" s="3295">
        <f>K77+1</f>
        <v>6</v>
      </c>
      <c r="L79" s="3297" t="s">
        <v>2892</v>
      </c>
      <c r="M79" s="3089" t="s">
        <v>421</v>
      </c>
      <c r="N79" s="1304"/>
      <c r="O79" s="1305">
        <f ca="1">N69-O77</f>
        <v>51944</v>
      </c>
      <c r="P79" s="1306"/>
      <c r="Q79" s="2032"/>
      <c r="R79" s="2032"/>
      <c r="S79" s="2032"/>
      <c r="T79" s="2032"/>
      <c r="U79" s="2032"/>
      <c r="V79" s="2032"/>
    </row>
    <row r="80" spans="1:22" ht="25.5">
      <c r="A80" s="3302" t="s">
        <v>428</v>
      </c>
      <c r="B80" s="3303"/>
      <c r="C80" s="996"/>
      <c r="D80" s="996" t="s">
        <v>429</v>
      </c>
      <c r="E80" s="372" t="s">
        <v>430</v>
      </c>
      <c r="F80" s="42"/>
      <c r="G80" s="42"/>
      <c r="H80" s="1005"/>
      <c r="I80" s="313"/>
      <c r="J80" s="2032"/>
      <c r="K80" s="3296"/>
      <c r="L80" s="3297"/>
      <c r="M80" s="3089" t="s">
        <v>425</v>
      </c>
      <c r="N80" s="1304"/>
      <c r="O80" s="1305" t="str">
        <f ca="1">NUMBERSTRING(INT(O79*10000),2)&amp;"元整"</f>
        <v>伍亿壹仟玖佰肆拾肆万元整</v>
      </c>
      <c r="P80" s="1306"/>
      <c r="Q80" s="2032"/>
      <c r="R80" s="2032"/>
      <c r="S80" s="2032"/>
      <c r="T80" s="2032"/>
      <c r="U80" s="2032"/>
      <c r="V80" s="2032"/>
    </row>
    <row r="81" spans="1:26" ht="13.5" thickBot="1">
      <c r="A81" s="383" t="s">
        <v>1822</v>
      </c>
      <c r="B81" s="373" t="s">
        <v>431</v>
      </c>
      <c r="C81" s="374">
        <f ca="1">ROUND((C82+C83)/(1+'数据-取费表'!C42),0)</f>
        <v>88215</v>
      </c>
      <c r="D81" s="375"/>
      <c r="E81" s="376"/>
      <c r="F81" s="42"/>
      <c r="G81" s="42"/>
      <c r="H81" s="1005"/>
      <c r="I81" s="313"/>
      <c r="J81" s="2032"/>
      <c r="K81" s="3083">
        <f>K79+1</f>
        <v>7</v>
      </c>
      <c r="L81" s="3309" t="s">
        <v>2893</v>
      </c>
      <c r="M81" s="3310"/>
      <c r="N81" s="1308"/>
      <c r="O81" s="1309">
        <f ca="1">ROUND(O79*10000/'数据-汇总表'!E3,0)</f>
        <v>3993</v>
      </c>
      <c r="P81" s="1310"/>
      <c r="Q81" s="2032"/>
      <c r="R81" s="2032"/>
      <c r="S81" s="2032"/>
      <c r="T81" s="2032"/>
      <c r="U81" s="2032"/>
      <c r="V81" s="2032"/>
    </row>
    <row r="82" spans="1:26" ht="13.5" thickTop="1">
      <c r="A82" s="377" t="s">
        <v>1823</v>
      </c>
      <c r="B82" s="378" t="s">
        <v>432</v>
      </c>
      <c r="C82" s="379">
        <f ca="1">D63</f>
        <v>92626</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1824</v>
      </c>
      <c r="B83" s="378" t="s">
        <v>433</v>
      </c>
      <c r="C83" s="382">
        <v>0</v>
      </c>
      <c r="D83" s="380"/>
      <c r="E83" s="381"/>
      <c r="F83" s="42"/>
      <c r="G83" s="42"/>
      <c r="H83" s="1005"/>
      <c r="I83" s="313"/>
      <c r="J83" s="2032"/>
      <c r="K83" s="3284" t="s">
        <v>2880</v>
      </c>
      <c r="L83" s="3095" t="s">
        <v>2881</v>
      </c>
      <c r="M83" s="3085">
        <f ca="1">IF(N69&gt;10000,N69*0.5%,IF(AND(N69&gt;1000,N69&lt;=10000),N69*1%,IF(AND(N69&gt;100,N69&lt;=1000),N69*3%,IF(AND(N69&gt;10,N69&lt;=100),N69*5%,N69*8%))))</f>
        <v>547.88499999999999</v>
      </c>
      <c r="N83" s="53">
        <f ca="1">ROUND(M83,1)</f>
        <v>547.9</v>
      </c>
      <c r="O83" s="3088"/>
      <c r="P83" s="2032"/>
      <c r="Q83" s="2032"/>
      <c r="R83" s="2032"/>
      <c r="S83" s="2032"/>
      <c r="T83" s="2032"/>
      <c r="U83" s="2032"/>
      <c r="V83" s="2032"/>
    </row>
    <row r="84" spans="1:26" ht="12.75">
      <c r="A84" s="383" t="s">
        <v>1825</v>
      </c>
      <c r="B84" s="384" t="s">
        <v>434</v>
      </c>
      <c r="C84" s="385">
        <v>2000</v>
      </c>
      <c r="D84" s="386" t="s">
        <v>19</v>
      </c>
      <c r="E84" s="3129" t="s">
        <v>2945</v>
      </c>
      <c r="F84" s="42"/>
      <c r="G84" s="42"/>
      <c r="H84" s="1005"/>
      <c r="I84" s="313"/>
      <c r="J84" s="2032"/>
      <c r="K84" s="3284"/>
      <c r="L84" s="3095" t="s">
        <v>2882</v>
      </c>
      <c r="M84" s="3085">
        <f ca="1">IF(N69&gt;2000,N69*0.5%,IF(AND(N69&gt;1000,N69&lt;=2000),N69*0.6%,IF(AND(N69&gt;500,N69&lt;=1000),N69*0.7%,IF(AND(N69&gt;200,N69&lt;=500),N69*0.8%,IF(AND(N69&gt;100,N69&lt;=200),N69*0.9%,IF(AND(N69&gt;50,N69&lt;=100),N69*1%,IF(AND(N69&gt;20,N69&lt;=50),N69*1.5%,IF(AND(N69&gt;10,N69&lt;=20),N69*2%,IF(AND(N69&gt;1,N69&lt;=10),N69*2.5%)))))))))</f>
        <v>547.88499999999999</v>
      </c>
      <c r="N84" s="53">
        <f t="shared" ref="N84:N85" ca="1" si="2">ROUND(M84,1)</f>
        <v>547.9</v>
      </c>
      <c r="O84" s="2032" t="s">
        <v>2883</v>
      </c>
      <c r="P84" s="2032"/>
      <c r="Q84" s="2032"/>
      <c r="R84" s="2032"/>
      <c r="S84" s="2032"/>
      <c r="T84" s="2032"/>
      <c r="U84" s="2032"/>
      <c r="V84" s="2032"/>
    </row>
    <row r="85" spans="1:26" ht="12.75">
      <c r="A85" s="383" t="s">
        <v>1826</v>
      </c>
      <c r="B85" s="384" t="s">
        <v>435</v>
      </c>
      <c r="C85" s="387">
        <f ca="1">C81-C84</f>
        <v>86215</v>
      </c>
      <c r="D85" s="380" t="s">
        <v>19</v>
      </c>
      <c r="E85" s="381"/>
      <c r="F85" s="42"/>
      <c r="G85" s="42"/>
      <c r="H85" s="1005"/>
      <c r="I85" s="313"/>
      <c r="J85" s="2032"/>
      <c r="K85" s="3284"/>
      <c r="L85" s="3095" t="s">
        <v>2884</v>
      </c>
      <c r="M85" s="3085">
        <f ca="1">IF(N69&gt;1000,N69*0.1%,IF(AND(N69&gt;500,N69&lt;=1000),N69*0.5%,IF(AND(N69&gt;50,N69&lt;=500),N69*1%,IF(AND(N69&gt;1,N69&lt;=50),N69*1.5%))))</f>
        <v>109.577</v>
      </c>
      <c r="N85" s="53">
        <f t="shared" ca="1" si="2"/>
        <v>109.6</v>
      </c>
      <c r="O85" s="2032" t="s">
        <v>2883</v>
      </c>
      <c r="P85" s="2032"/>
      <c r="Q85" s="2032"/>
      <c r="R85" s="2032"/>
      <c r="S85" s="2032"/>
      <c r="T85" s="2032"/>
      <c r="U85" s="2032"/>
      <c r="V85" s="2032"/>
    </row>
    <row r="86" spans="1:26" ht="13.5" thickBot="1">
      <c r="A86" s="388" t="s">
        <v>1827</v>
      </c>
      <c r="B86" s="389" t="s">
        <v>436</v>
      </c>
      <c r="C86" s="390">
        <f ca="1">IF(C85&lt;=0,0,ROUND(C85*D86,0))</f>
        <v>4742</v>
      </c>
      <c r="D86" s="391">
        <f>'数据-取费表'!B41</f>
        <v>5.5000000000000007E-2</v>
      </c>
      <c r="E86" s="392"/>
      <c r="F86" s="42"/>
      <c r="G86" s="42"/>
      <c r="H86" s="1005"/>
      <c r="I86" s="313"/>
      <c r="J86" s="2032"/>
      <c r="K86" s="3284"/>
      <c r="L86" s="3095" t="s">
        <v>2885</v>
      </c>
      <c r="M86" s="3085">
        <f ca="1">N69*0.5%</f>
        <v>547.88499999999999</v>
      </c>
      <c r="N86" s="53">
        <f ca="1">IF(M86&gt;0.5,0.5,ROUND(M86,0))</f>
        <v>0.5</v>
      </c>
      <c r="O86" s="2032" t="s">
        <v>2886</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284"/>
      <c r="L87" s="3095" t="s">
        <v>2887</v>
      </c>
      <c r="M87" s="3085">
        <f ca="1">IF(N69&gt;=10000,(8.25+(N69-10000)*0.01%),IF(AND(N69&gt;=8000,N69&lt;10000),(7.85+(N69-8000)*0.02%),IF(AND(N69&gt;=5000,N69&lt;8000),(6.65+(N69-5000)*0.04%),IF(AND(N69&gt;=2000,N69&lt;5000),(4.25+(PN69-2000)*0.08%),IF(AND(N69&gt;=1000,N69&lt;2000),(2.75+(N69-1000)*0.15%),IF(AND(N69&gt;=100,N69&lt;1000),(0.5+(N69-100)*0.25%),IF(AND(N69&gt;0,N69&lt;100),N69*0.5%)))))))</f>
        <v>18.207700000000003</v>
      </c>
      <c r="N87" s="53">
        <f ca="1">ROUND(M87*0.9,1)</f>
        <v>16.399999999999999</v>
      </c>
      <c r="O87" s="3088"/>
      <c r="P87" s="313"/>
      <c r="Q87" s="2032"/>
      <c r="R87" s="2032"/>
      <c r="S87" s="2032"/>
      <c r="T87" s="2032"/>
      <c r="U87" s="2032"/>
      <c r="V87" s="2032"/>
      <c r="W87" s="291"/>
      <c r="X87" s="291"/>
      <c r="Y87" s="291"/>
      <c r="Z87" s="291"/>
    </row>
    <row r="88" spans="1:26" s="1316" customFormat="1" ht="15" thickBot="1">
      <c r="A88" s="3338" t="s">
        <v>437</v>
      </c>
      <c r="B88" s="3339"/>
      <c r="C88" s="3339"/>
      <c r="D88" s="3339"/>
      <c r="E88" s="3339"/>
      <c r="F88" s="3339"/>
      <c r="G88" s="3339"/>
      <c r="H88" s="3339"/>
      <c r="I88" s="1317"/>
      <c r="J88" s="2040"/>
      <c r="K88" s="3284"/>
      <c r="L88" s="3095" t="s">
        <v>2888</v>
      </c>
      <c r="M88" s="3085">
        <f ca="1">IF(N69&gt;10000,N69*0.5%,IF(AND(N69&gt;5000,N69&lt;=10000),N69*1%,IF(AND(N69&gt;1000,N69&lt;=5000),N69*2%,IF(AND(N69&gt;200,N69&lt;=1000),N69*3%,N69*5%))))</f>
        <v>547.88499999999999</v>
      </c>
      <c r="N88" s="53">
        <f ca="1">ROUND(M88,1)</f>
        <v>547.9</v>
      </c>
      <c r="O88" s="3088"/>
      <c r="P88" s="11"/>
      <c r="Q88" s="2037"/>
      <c r="R88" s="2037"/>
      <c r="S88" s="2037"/>
      <c r="T88" s="2037"/>
      <c r="U88" s="2037"/>
      <c r="V88" s="2037"/>
      <c r="W88" s="2041"/>
      <c r="X88" s="2041"/>
      <c r="Y88" s="2041"/>
      <c r="Z88" s="2041"/>
    </row>
    <row r="89" spans="1:26" s="1316" customFormat="1" ht="14.25">
      <c r="A89" s="3302" t="s">
        <v>428</v>
      </c>
      <c r="B89" s="3303"/>
      <c r="C89" s="996"/>
      <c r="D89" s="996" t="s">
        <v>429</v>
      </c>
      <c r="E89" s="393" t="s">
        <v>438</v>
      </c>
      <c r="F89" s="394"/>
      <c r="G89" s="394"/>
      <c r="H89" s="395"/>
      <c r="I89" s="1318"/>
      <c r="J89" s="2042"/>
      <c r="K89" s="3284"/>
      <c r="L89" s="3095" t="s">
        <v>27</v>
      </c>
      <c r="M89" s="3086"/>
      <c r="N89" s="53">
        <f ca="1">ROUND(SUM(N83:N88),0)</f>
        <v>1770</v>
      </c>
      <c r="O89" s="3096">
        <f ca="1">N89/N69</f>
        <v>1.6153024813601393E-2</v>
      </c>
      <c r="P89" s="2037"/>
      <c r="Q89" s="2037"/>
      <c r="R89" s="2037"/>
      <c r="S89" s="2037"/>
      <c r="T89" s="2037"/>
      <c r="U89" s="2037"/>
      <c r="V89" s="2037"/>
      <c r="W89" s="2041"/>
      <c r="X89" s="2041"/>
      <c r="Y89" s="2041"/>
      <c r="Z89" s="2041"/>
    </row>
    <row r="90" spans="1:26" s="1316" customFormat="1" ht="14.25">
      <c r="A90" s="383" t="s">
        <v>1822</v>
      </c>
      <c r="B90" s="384" t="s">
        <v>439</v>
      </c>
      <c r="C90" s="387">
        <f ca="1">ROUND(D63/(1+'数据-取费表'!C42),0)</f>
        <v>88215</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1828</v>
      </c>
      <c r="B91" s="350" t="s">
        <v>440</v>
      </c>
      <c r="C91" s="387">
        <f ca="1">C92+C96</f>
        <v>3002</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1829</v>
      </c>
      <c r="B92" s="378" t="s">
        <v>441</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1830</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1831</v>
      </c>
      <c r="B94" s="402" t="s">
        <v>446</v>
      </c>
      <c r="C94" s="380">
        <f>IF(F93="购房发票",ROUND(C93*H93*5%,0),0)</f>
        <v>500</v>
      </c>
      <c r="D94" s="403">
        <v>0.05</v>
      </c>
      <c r="E94" s="3335" t="s">
        <v>447</v>
      </c>
      <c r="F94" s="3336"/>
      <c r="G94" s="3336"/>
      <c r="H94" s="3337"/>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1832</v>
      </c>
      <c r="B95" s="378" t="s">
        <v>448</v>
      </c>
      <c r="C95" s="380">
        <f>ROUND(IF(G95="个人买卖住房",0,IF(G95="2016年5月1日前购买",C93*D95,C93*D95/(1+'数据-取费表'!C42))),0)</f>
        <v>61</v>
      </c>
      <c r="D95" s="404">
        <f>'数据-取费表'!B48+'数据-取费表'!B49</f>
        <v>3.0499999999999999E-2</v>
      </c>
      <c r="E95" s="26" t="s">
        <v>449</v>
      </c>
      <c r="F95" s="405"/>
      <c r="G95" s="406" t="s">
        <v>2431</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1833</v>
      </c>
      <c r="B96" s="378" t="s">
        <v>450</v>
      </c>
      <c r="C96" s="407">
        <f ca="1">ROUND(D63*D96/(1+'数据-取费表'!C42),0)</f>
        <v>441</v>
      </c>
      <c r="D96" s="408">
        <f>'数据-取费表'!B43</f>
        <v>5.000000000000001E-3</v>
      </c>
      <c r="E96" s="3325" t="s">
        <v>2430</v>
      </c>
      <c r="F96" s="3326"/>
      <c r="G96" s="3326"/>
      <c r="H96" s="3327"/>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1834</v>
      </c>
      <c r="B97" s="384" t="s">
        <v>451</v>
      </c>
      <c r="C97" s="387">
        <f ca="1">C90-C91</f>
        <v>85213</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1835</v>
      </c>
      <c r="B98" s="384" t="s">
        <v>452</v>
      </c>
      <c r="C98" s="409">
        <f ca="1">IF(C97&lt;=0,0,C97/C91)</f>
        <v>28.385409726848767</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1836</v>
      </c>
      <c r="B99" s="389" t="s">
        <v>453</v>
      </c>
      <c r="C99" s="410">
        <f ca="1">ROUND(IF(C97&lt;=0,0,IF(C98&gt;=200%,C97*60%-C91*35%,IF(C98&gt;=100%,C97*50%-C91*15%,IF(C98&gt;=50%,C97*40%-C91*5%,IF(C98&lt;50%,C97*30%,0))))),0)</f>
        <v>50077</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38" t="s">
        <v>454</v>
      </c>
      <c r="B101" s="3339"/>
      <c r="C101" s="3339"/>
      <c r="D101" s="3339"/>
      <c r="E101" s="3339"/>
      <c r="F101" s="3339"/>
      <c r="G101" s="3339"/>
      <c r="H101" s="3339"/>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02" t="s">
        <v>428</v>
      </c>
      <c r="B102" s="3303"/>
      <c r="C102" s="996"/>
      <c r="D102" s="996"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1822</v>
      </c>
      <c r="B103" s="384" t="s">
        <v>439</v>
      </c>
      <c r="C103" s="387">
        <f ca="1">ROUND(D63/(1+'数据-取费表'!C42),0)</f>
        <v>88215</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1828</v>
      </c>
      <c r="B104" s="350" t="s">
        <v>440</v>
      </c>
      <c r="C104" s="387">
        <f ca="1">IF(H106="仅含出让金",C105+C108+C109+C110+C111+C112,C105+C109+C110+C111+C112)</f>
        <v>1131</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1829</v>
      </c>
      <c r="B105" s="378" t="s">
        <v>455</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1830</v>
      </c>
      <c r="B106" s="378" t="s">
        <v>456</v>
      </c>
      <c r="C106" s="418">
        <v>555</v>
      </c>
      <c r="D106" s="408"/>
      <c r="E106" s="419" t="s">
        <v>457</v>
      </c>
      <c r="F106" s="988"/>
      <c r="G106" s="420" t="s">
        <v>458</v>
      </c>
      <c r="H106" s="421" t="s">
        <v>2441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1831</v>
      </c>
      <c r="B107" s="378" t="s">
        <v>448</v>
      </c>
      <c r="C107" s="407">
        <f>ROUND(C106*D107,0)</f>
        <v>17</v>
      </c>
      <c r="D107" s="408">
        <f>'数据-取费表'!B48+'数据-取费表'!B49</f>
        <v>3.0499999999999999E-2</v>
      </c>
      <c r="E107" s="419"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1833</v>
      </c>
      <c r="B108" s="378" t="s">
        <v>460</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1837</v>
      </c>
      <c r="B109" s="378" t="s">
        <v>461</v>
      </c>
      <c r="C109" s="407">
        <f>IF(H109="——",IF(F1="现房",'剩余法-现房'!C18,'剩余法-待开发'!C18),I109)</f>
        <v>55</v>
      </c>
      <c r="D109" s="408"/>
      <c r="E109" s="3328" t="s">
        <v>462</v>
      </c>
      <c r="F109" s="3326"/>
      <c r="G109" s="3326"/>
      <c r="H109" s="1945" t="s">
        <v>2280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1838</v>
      </c>
      <c r="B110" s="378" t="s">
        <v>463</v>
      </c>
      <c r="C110" s="407">
        <f>ROUND((C105+C108+C109)*D110,0)</f>
        <v>63</v>
      </c>
      <c r="D110" s="408">
        <v>0.1</v>
      </c>
      <c r="E110" s="3328" t="s">
        <v>464</v>
      </c>
      <c r="F110" s="3326"/>
      <c r="G110" s="3326"/>
      <c r="H110" s="3327"/>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1839</v>
      </c>
      <c r="B111" s="378" t="s">
        <v>450</v>
      </c>
      <c r="C111" s="407">
        <f ca="1">ROUND(D63*D111/(1+'数据-取费表'!C42),0)</f>
        <v>441</v>
      </c>
      <c r="D111" s="408">
        <f>'数据-取费表'!B43</f>
        <v>5.000000000000001E-3</v>
      </c>
      <c r="E111" s="3325" t="s">
        <v>2430</v>
      </c>
      <c r="F111" s="3326"/>
      <c r="G111" s="3326"/>
      <c r="H111" s="3327"/>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1840</v>
      </c>
      <c r="B112" s="378" t="s">
        <v>465</v>
      </c>
      <c r="C112" s="407">
        <f>ROUND(C108*D112,0)</f>
        <v>0</v>
      </c>
      <c r="D112" s="408">
        <v>0.2</v>
      </c>
      <c r="E112" s="3328" t="s">
        <v>2455</v>
      </c>
      <c r="F112" s="3326"/>
      <c r="G112" s="3326"/>
      <c r="H112" s="3327"/>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1834</v>
      </c>
      <c r="B113" s="384" t="s">
        <v>451</v>
      </c>
      <c r="C113" s="387">
        <f ca="1">ROUND(C103-C104,0)</f>
        <v>87084</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1835</v>
      </c>
      <c r="B114" s="384" t="s">
        <v>452</v>
      </c>
      <c r="C114" s="409">
        <f ca="1">IF(C113&lt;=0,0,C113/C104)</f>
        <v>76.9973474801061</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1836</v>
      </c>
      <c r="B115" s="389" t="s">
        <v>453</v>
      </c>
      <c r="C115" s="410">
        <f ca="1">ROUND(IF(C113&lt;=0,0,IF(C114&gt;=200%,C113*60%-C104*35%,IF(C114&gt;=100%,C113*50%-C104*15%,IF(C114&gt;=50%,C113*40%-C104*5%,IF(C114&lt;50%,C113*30%,0))))),0)</f>
        <v>51855</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466</v>
      </c>
      <c r="B1" s="2839"/>
      <c r="C1" s="2108"/>
      <c r="D1" s="2108"/>
      <c r="E1" s="2108"/>
      <c r="F1" s="2108"/>
      <c r="G1" s="2108"/>
      <c r="H1" s="2108"/>
      <c r="I1" s="2108"/>
      <c r="J1" s="2108"/>
      <c r="K1" s="424">
        <f>MATCH(B1,'数据-取费表'!A6:A16,0)+5</f>
        <v>9</v>
      </c>
    </row>
    <row r="2" spans="1:41" s="2045" customFormat="1" ht="18" customHeight="1">
      <c r="A2" s="425" t="s">
        <v>467</v>
      </c>
      <c r="B2" s="426">
        <f ca="1">C32</f>
        <v>0</v>
      </c>
      <c r="C2" s="2108"/>
      <c r="D2" s="2108"/>
      <c r="E2" s="2108"/>
      <c r="F2" s="2108"/>
      <c r="G2" s="2108"/>
      <c r="H2" s="2108"/>
      <c r="I2" s="2108"/>
      <c r="J2" s="2108"/>
      <c r="K2" s="2108"/>
    </row>
    <row r="3" spans="1:41" s="2045" customFormat="1" ht="18" customHeight="1">
      <c r="A3" s="1382" t="s">
        <v>1683</v>
      </c>
      <c r="B3" s="427">
        <f ca="1">ROUND(B2*10000/IF(B1="",'数据-汇总表'!E3,INDIRECT("'数据-取费表'!K"&amp;$K$1)),0)</f>
        <v>0</v>
      </c>
      <c r="C3" s="2108"/>
      <c r="D3" s="2108"/>
      <c r="E3" s="2108"/>
      <c r="F3" s="2108"/>
      <c r="G3" s="2108"/>
      <c r="H3" s="2108"/>
      <c r="I3" s="2108"/>
      <c r="J3" s="2108"/>
      <c r="K3" s="2108"/>
    </row>
    <row r="4" spans="1:41" s="2045" customFormat="1" ht="18" customHeight="1">
      <c r="A4" s="428" t="s">
        <v>468</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469</v>
      </c>
      <c r="D5" s="2108"/>
      <c r="E5" s="2108"/>
      <c r="F5" s="2108"/>
      <c r="G5" s="2108"/>
      <c r="H5" s="2108"/>
      <c r="I5" s="2108"/>
      <c r="J5" s="2108"/>
      <c r="K5" s="2108"/>
    </row>
    <row r="6" spans="1:41" s="2115" customFormat="1" ht="16.5" customHeight="1">
      <c r="A6" s="434" t="s">
        <v>2658</v>
      </c>
      <c r="B6" s="435"/>
      <c r="C6" s="1626">
        <f>SUM(C10:K10)</f>
        <v>0</v>
      </c>
      <c r="D6" s="2113"/>
      <c r="E6" s="2113"/>
      <c r="F6" s="2113"/>
      <c r="G6" s="2113"/>
      <c r="H6" s="2113"/>
      <c r="I6" s="2113"/>
      <c r="J6" s="2113"/>
      <c r="K6" s="2114"/>
    </row>
    <row r="7" spans="1:41" s="2117" customFormat="1" ht="15">
      <c r="A7" s="436" t="s">
        <v>470</v>
      </c>
      <c r="B7" s="437" t="s">
        <v>471</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1844</v>
      </c>
      <c r="B8" s="440" t="s">
        <v>472</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1845</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1846</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1863</v>
      </c>
      <c r="B11" s="1624"/>
      <c r="C11" s="1624"/>
      <c r="D11" s="1624"/>
      <c r="E11" s="1624"/>
      <c r="F11" s="1624"/>
      <c r="G11" s="1624"/>
      <c r="H11" s="1624"/>
      <c r="I11" s="1624"/>
      <c r="J11" s="1624"/>
      <c r="K11" s="1625"/>
    </row>
    <row r="12" spans="1:41" s="2089" customFormat="1" ht="13.5" customHeight="1">
      <c r="A12" s="436" t="s">
        <v>470</v>
      </c>
      <c r="B12" s="446" t="s">
        <v>471</v>
      </c>
      <c r="C12" s="447" t="s">
        <v>475</v>
      </c>
      <c r="D12" s="448" t="s">
        <v>476</v>
      </c>
      <c r="E12" s="448" t="s">
        <v>477</v>
      </c>
      <c r="F12" s="448" t="s">
        <v>478</v>
      </c>
      <c r="G12" s="446"/>
      <c r="H12" s="449"/>
      <c r="I12" s="449"/>
      <c r="J12" s="449"/>
      <c r="K12" s="450"/>
    </row>
    <row r="13" spans="1:41" s="2120" customFormat="1" ht="13.5" customHeight="1">
      <c r="A13" s="1636" t="s">
        <v>1847</v>
      </c>
      <c r="B13" s="451" t="s">
        <v>479</v>
      </c>
      <c r="C13" s="452">
        <f ca="1">IF(B1="",'数据-取费表'!M16,INDIRECT("'数据-取费表'!M"&amp;$K$1)+INDIRECT("'数据-取费表'!t"&amp;$K$1))</f>
        <v>49586</v>
      </c>
      <c r="D13" s="453"/>
      <c r="E13" s="367"/>
      <c r="F13" s="454"/>
      <c r="G13" s="446"/>
      <c r="H13" s="449"/>
      <c r="I13" s="449"/>
      <c r="J13" s="449"/>
      <c r="K13" s="450"/>
    </row>
    <row r="14" spans="1:41" s="2120" customFormat="1" ht="13.5" customHeight="1">
      <c r="A14" s="1636" t="s">
        <v>1848</v>
      </c>
      <c r="B14" s="451" t="s">
        <v>480</v>
      </c>
      <c r="C14" s="53">
        <f ca="1">ROUND(C13*F14,0)</f>
        <v>1488</v>
      </c>
      <c r="D14" s="453"/>
      <c r="E14" s="367"/>
      <c r="F14" s="455">
        <f>'数据-取费表'!B33</f>
        <v>0.03</v>
      </c>
      <c r="G14" s="446" t="s">
        <v>503</v>
      </c>
      <c r="H14" s="449"/>
      <c r="I14" s="449"/>
      <c r="J14" s="449"/>
      <c r="K14" s="450"/>
    </row>
    <row r="15" spans="1:41" s="2120" customFormat="1" ht="13.5" customHeight="1">
      <c r="A15" s="1636" t="s">
        <v>1849</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1" customFormat="1" ht="13.5" customHeight="1">
      <c r="A16" s="1636" t="s">
        <v>1850</v>
      </c>
      <c r="B16" s="451" t="s">
        <v>484</v>
      </c>
      <c r="C16" s="53">
        <f ca="1">ROUND(D16*E16/10000,0)</f>
        <v>2602</v>
      </c>
      <c r="D16" s="453">
        <f ca="1">IF(B1="",'数据-汇总表'!E3,INDIRECT("'数据-取费表'!K"&amp;$K$1)+INDIRECT("'数据-取费表'!S"&amp;$K$1))</f>
        <v>130076.72</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1851</v>
      </c>
      <c r="B17" s="451" t="s">
        <v>485</v>
      </c>
      <c r="C17" s="456">
        <f ca="1">ROUND(C13*F17,0)</f>
        <v>744</v>
      </c>
      <c r="D17" s="457"/>
      <c r="E17" s="456"/>
      <c r="F17" s="458">
        <f>'数据-取费表'!B36</f>
        <v>1.4999999999999999E-2</v>
      </c>
      <c r="G17" s="446" t="s">
        <v>503</v>
      </c>
      <c r="H17" s="459"/>
      <c r="I17" s="459"/>
      <c r="J17" s="459"/>
      <c r="K17" s="460"/>
    </row>
    <row r="18" spans="1:14" s="2123" customFormat="1" ht="13.5" customHeight="1">
      <c r="A18" s="1637" t="s">
        <v>1852</v>
      </c>
      <c r="B18" s="461" t="s">
        <v>487</v>
      </c>
      <c r="C18" s="462">
        <f ca="1">SUM(C13:C17)</f>
        <v>54420</v>
      </c>
      <c r="D18" s="463"/>
      <c r="E18" s="464"/>
      <c r="F18" s="464"/>
      <c r="G18" s="1329" t="s">
        <v>2434</v>
      </c>
      <c r="H18" s="449"/>
      <c r="I18" s="449"/>
      <c r="J18" s="449"/>
      <c r="K18" s="450"/>
    </row>
    <row r="19" spans="1:14" s="2123" customFormat="1" ht="13.5" customHeight="1">
      <c r="A19" s="1637" t="s">
        <v>1853</v>
      </c>
      <c r="B19" s="461" t="s">
        <v>493</v>
      </c>
      <c r="C19" s="462">
        <f ca="1">ROUND(C18*F19,0)</f>
        <v>1088</v>
      </c>
      <c r="D19" s="464"/>
      <c r="E19" s="464"/>
      <c r="F19" s="468">
        <f>'数据-取费表'!B37</f>
        <v>0.02</v>
      </c>
      <c r="G19" s="446" t="s">
        <v>504</v>
      </c>
      <c r="H19" s="449"/>
      <c r="I19" s="449"/>
      <c r="J19" s="449"/>
      <c r="K19" s="450"/>
      <c r="L19" s="2125"/>
      <c r="M19" s="2125"/>
      <c r="N19" s="2125"/>
    </row>
    <row r="20" spans="1:14" s="2123" customFormat="1" ht="13.5" customHeight="1">
      <c r="A20" s="1637" t="s">
        <v>1854</v>
      </c>
      <c r="B20" s="461" t="s">
        <v>505</v>
      </c>
      <c r="C20" s="3059">
        <f>F20</f>
        <v>0.02</v>
      </c>
      <c r="D20" s="471" t="s">
        <v>506</v>
      </c>
      <c r="E20" s="471"/>
      <c r="F20" s="488">
        <f>'数据-取费表'!B38</f>
        <v>0.02</v>
      </c>
      <c r="G20" s="1329" t="s">
        <v>507</v>
      </c>
      <c r="H20" s="449"/>
      <c r="I20" s="449"/>
      <c r="J20" s="449"/>
      <c r="K20" s="450"/>
      <c r="L20" s="2125"/>
      <c r="M20" s="2125"/>
      <c r="N20" s="2125"/>
    </row>
    <row r="21" spans="1:14" s="2125" customFormat="1" ht="13.5" customHeight="1">
      <c r="A21" s="1637" t="s">
        <v>1857</v>
      </c>
      <c r="B21" s="463" t="s">
        <v>494</v>
      </c>
      <c r="C21" s="472">
        <f ca="1">C22</f>
        <v>2637</v>
      </c>
      <c r="D21" s="469">
        <f ca="1">C23</f>
        <v>1E-3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2456</v>
      </c>
    </row>
    <row r="22" spans="1:14" s="2124" customFormat="1" ht="13.5" customHeight="1">
      <c r="A22" s="1636" t="s">
        <v>1847</v>
      </c>
      <c r="B22" s="1330" t="s">
        <v>2437</v>
      </c>
      <c r="C22" s="489">
        <f ca="1">ROUND(IF('数据-取费表'!B22&lt;=1,(C18+C19)*F21*'数据-取费表'!B20/2,(C18+C19)*(POWER((1+F21),'数据-取费表'!B20/2)-1)),0)</f>
        <v>2637</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1848</v>
      </c>
      <c r="B23" s="1330" t="s">
        <v>509</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1858</v>
      </c>
      <c r="B24" s="3061" t="s">
        <v>2838</v>
      </c>
      <c r="C24" s="480">
        <f ca="1">C25</f>
        <v>13322</v>
      </c>
      <c r="D24" s="491">
        <f ca="1">C26</f>
        <v>4.7999999999999996E-3</v>
      </c>
      <c r="E24" s="471" t="s">
        <v>508</v>
      </c>
      <c r="F24" s="481">
        <f ca="1">IF(B1="",'数据-取费表'!Q16,INDIRECT("'数据-取费表'!q"&amp;$K$1))</f>
        <v>0.24</v>
      </c>
      <c r="G24" s="446"/>
      <c r="H24" s="449"/>
      <c r="I24" s="449"/>
      <c r="J24" s="449"/>
      <c r="K24" s="450"/>
    </row>
    <row r="25" spans="1:14" s="2124" customFormat="1" ht="13.5" customHeight="1">
      <c r="A25" s="1636" t="s">
        <v>1847</v>
      </c>
      <c r="B25" s="1330" t="s">
        <v>2438</v>
      </c>
      <c r="C25" s="492">
        <f ca="1">ROUND((C18+C19)*F24,0)</f>
        <v>13322</v>
      </c>
      <c r="D25" s="474"/>
      <c r="E25" s="475"/>
      <c r="F25" s="482"/>
      <c r="G25" s="1328" t="s">
        <v>2435</v>
      </c>
      <c r="H25" s="459"/>
      <c r="I25" s="459"/>
      <c r="J25" s="459"/>
      <c r="K25" s="460"/>
    </row>
    <row r="26" spans="1:14" s="2124" customFormat="1" ht="13.5" customHeight="1">
      <c r="A26" s="1636" t="s">
        <v>1848</v>
      </c>
      <c r="B26" s="1330" t="s">
        <v>510</v>
      </c>
      <c r="C26" s="493">
        <f ca="1">ROUND(F20*F24,4)</f>
        <v>4.7999999999999996E-3</v>
      </c>
      <c r="D26" s="474"/>
      <c r="E26" s="483"/>
      <c r="F26" s="482"/>
      <c r="G26" s="1328" t="s">
        <v>511</v>
      </c>
      <c r="H26" s="459"/>
      <c r="I26" s="459"/>
      <c r="J26" s="459"/>
      <c r="K26" s="460"/>
    </row>
    <row r="27" spans="1:14" s="2124" customFormat="1" ht="13.5" customHeight="1">
      <c r="A27" s="1640" t="s">
        <v>1866</v>
      </c>
      <c r="B27" s="461" t="s">
        <v>512</v>
      </c>
      <c r="C27" s="3060">
        <f>ROUND(F27/(1+'数据-取费表'!C42),4)</f>
        <v>5.2400000000000002E-2</v>
      </c>
      <c r="D27" s="464" t="s">
        <v>2836</v>
      </c>
      <c r="E27" s="464"/>
      <c r="F27" s="468">
        <f>'数据-取费表'!B41</f>
        <v>5.5000000000000007E-2</v>
      </c>
      <c r="G27" s="1964" t="s">
        <v>2292</v>
      </c>
      <c r="H27" s="449"/>
      <c r="I27" s="449"/>
      <c r="J27" s="449"/>
      <c r="K27" s="450"/>
    </row>
    <row r="28" spans="1:14" s="2125" customFormat="1" ht="13.5" customHeight="1">
      <c r="A28" s="1640" t="s">
        <v>1867</v>
      </c>
      <c r="B28" s="478" t="s">
        <v>513</v>
      </c>
      <c r="C28" s="472">
        <f ca="1">ROUND((C18+C19+C21+C24)/(1-C20-D21-D24-C27),0)</f>
        <v>77530</v>
      </c>
      <c r="D28" s="479"/>
      <c r="E28" s="471"/>
      <c r="F28" s="473"/>
      <c r="G28" s="1329" t="s">
        <v>2436</v>
      </c>
      <c r="H28" s="449"/>
      <c r="I28" s="449"/>
      <c r="J28" s="449"/>
      <c r="K28" s="450"/>
    </row>
    <row r="29" spans="1:14" s="2125" customFormat="1" ht="13.5" customHeight="1">
      <c r="A29" s="1640" t="s">
        <v>1868</v>
      </c>
      <c r="B29" s="478" t="s">
        <v>514</v>
      </c>
      <c r="C29" s="494">
        <f ca="1">IF(B1="",'数据-取费表'!N16,INDIRECT("'数据-取费表'!N"&amp;$K$1))</f>
        <v>0</v>
      </c>
      <c r="D29" s="495"/>
      <c r="E29" s="496"/>
      <c r="F29" s="497"/>
      <c r="G29" s="446"/>
      <c r="H29" s="449"/>
      <c r="I29" s="449"/>
      <c r="J29" s="449"/>
      <c r="K29" s="450"/>
    </row>
    <row r="30" spans="1:14" s="2125" customFormat="1" ht="13.5" customHeight="1">
      <c r="A30" s="445">
        <v>2</v>
      </c>
      <c r="B30" s="478" t="s">
        <v>515</v>
      </c>
      <c r="C30" s="499">
        <f ca="1">ROUND(C28*C29,0)</f>
        <v>0</v>
      </c>
      <c r="D30" s="495"/>
      <c r="E30" s="500"/>
      <c r="F30" s="501"/>
      <c r="G30" s="1331" t="s">
        <v>516</v>
      </c>
      <c r="H30" s="498"/>
      <c r="I30" s="498"/>
      <c r="J30" s="449"/>
      <c r="K30" s="450"/>
    </row>
    <row r="31" spans="1:14" s="2130" customFormat="1" ht="13.5" customHeight="1">
      <c r="A31" s="2510" t="s">
        <v>1864</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1865</v>
      </c>
      <c r="B32" s="485"/>
      <c r="C32" s="486">
        <f ca="1">IF('数据-取费表'!B20&lt;=1,(C6-C30-C31)/(1+F21*'数据-取费表'!B20+F24)/(1+'数据-取费表'!B48+'数据-取费表'!B49),(C6-C30-C31)/(1+(POWER((1+F21),'数据-取费表'!B20)-1)+F24)/(1+'数据-取费表'!B48+'数据-取费表'!B49))</f>
        <v>0</v>
      </c>
      <c r="D32" s="485"/>
      <c r="E32" s="485"/>
      <c r="F32" s="485"/>
      <c r="G32" s="2511" t="s">
        <v>2457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1900</v>
      </c>
      <c r="B36" s="1657" t="s">
        <v>1901</v>
      </c>
    </row>
    <row r="37" spans="1:9" ht="28.5" customHeight="1">
      <c r="A37" s="1657"/>
      <c r="B37" s="3196" t="str">
        <f>项目基本情况!B1</f>
        <v>北京市通州区运河核心区Ⅷ-14-2地块F3其他类多功能用地项目商务金融（办公、商业及地下车库）用地出让国有建设用地使用权抵押价格预评估</v>
      </c>
      <c r="C37" s="3196"/>
      <c r="D37" s="3196"/>
      <c r="E37" s="3196"/>
      <c r="F37" s="3196"/>
      <c r="G37" s="3196"/>
      <c r="H37" s="3196"/>
      <c r="I37" s="3196"/>
    </row>
    <row r="38" spans="1:9">
      <c r="A38" s="1659"/>
      <c r="B38" s="1659"/>
    </row>
    <row r="39" spans="1:9">
      <c r="A39" s="1657" t="s">
        <v>1900</v>
      </c>
      <c r="B39" s="1657" t="s">
        <v>2047</v>
      </c>
    </row>
    <row r="40" spans="1:9">
      <c r="A40" s="1657"/>
      <c r="B40" s="1657" t="str">
        <f>项目基本情况!B5</f>
        <v>鹏瑞利美融加一（北京）置业有限公司</v>
      </c>
    </row>
    <row r="41" spans="1:9">
      <c r="A41" s="1657"/>
      <c r="B41" s="1657"/>
    </row>
    <row r="42" spans="1:9">
      <c r="A42" s="1657" t="s">
        <v>1900</v>
      </c>
      <c r="B42" s="1657" t="s">
        <v>2048</v>
      </c>
    </row>
    <row r="43" spans="1:9">
      <c r="A43" s="1657"/>
      <c r="B43" s="1657" t="s">
        <v>1902</v>
      </c>
    </row>
    <row r="44" spans="1:9">
      <c r="A44" s="1657"/>
      <c r="B44" s="1657"/>
    </row>
    <row r="45" spans="1:9">
      <c r="A45" s="1657" t="s">
        <v>1900</v>
      </c>
      <c r="B45" s="1657" t="s">
        <v>2046</v>
      </c>
    </row>
    <row r="46" spans="1:9" s="1657" customFormat="1" ht="12.75">
      <c r="B46" s="1657" t="str">
        <f>项目基本情况!K4</f>
        <v>欧红伟、梁津</v>
      </c>
    </row>
    <row r="47" spans="1:9">
      <c r="A47" s="1657"/>
      <c r="B47" s="1657"/>
    </row>
    <row r="48" spans="1:9">
      <c r="A48" s="1657" t="s">
        <v>1900</v>
      </c>
      <c r="B48" s="1657" t="s">
        <v>2049</v>
      </c>
    </row>
    <row r="49" spans="2:2">
      <c r="B49" s="1657" t="str">
        <f>"康正预评字"&amp;项目基本情况!B2&amp;"号"</f>
        <v>康正预评字2017-1-0902-F03DYGJ1号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A19" sqref="A19:XFD34"/>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467</v>
      </c>
      <c r="B2" s="510">
        <f>F68</f>
        <v>143824</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1683</v>
      </c>
      <c r="B3" s="512">
        <f>ROUND(B2*10000/'数据-汇总表'!E3,0)</f>
        <v>11057</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521</v>
      </c>
      <c r="B4" s="429">
        <f>IF(B48="单位面积地价",C50,ROUND(B2*10000/'数据-汇总表'!D3,0))</f>
        <v>144260</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9617</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522</v>
      </c>
      <c r="B6" s="515"/>
      <c r="C6" s="3383" t="s">
        <v>523</v>
      </c>
      <c r="D6" s="3384"/>
      <c r="E6" s="3383" t="s">
        <v>524</v>
      </c>
      <c r="F6" s="3384"/>
      <c r="G6" s="3383" t="s">
        <v>525</v>
      </c>
      <c r="H6" s="3384"/>
      <c r="I6" s="3383" t="s">
        <v>526</v>
      </c>
      <c r="J6" s="3384"/>
      <c r="K6" s="516" t="s">
        <v>527</v>
      </c>
      <c r="L6" s="2137"/>
      <c r="M6" s="2136"/>
      <c r="N6" s="2136"/>
      <c r="O6" s="2138"/>
      <c r="P6" s="3385" t="s">
        <v>528</v>
      </c>
      <c r="Q6" s="3386"/>
      <c r="R6" s="3371" t="s">
        <v>524</v>
      </c>
      <c r="S6" s="3372"/>
      <c r="T6" s="3371" t="s">
        <v>525</v>
      </c>
      <c r="U6" s="3372"/>
      <c r="V6" s="3391" t="s">
        <v>526</v>
      </c>
      <c r="W6" s="3391"/>
      <c r="X6" s="1570"/>
      <c r="Y6" s="3371" t="s">
        <v>528</v>
      </c>
      <c r="Z6" s="3372"/>
      <c r="AA6" s="3366" t="s">
        <v>524</v>
      </c>
      <c r="AB6" s="3367" t="s">
        <v>525</v>
      </c>
      <c r="AC6" s="3366" t="s">
        <v>526</v>
      </c>
    </row>
    <row r="7" spans="1:30" ht="21" thickBot="1">
      <c r="A7" s="517"/>
      <c r="B7" s="518"/>
      <c r="C7" s="3394" t="s">
        <v>2932</v>
      </c>
      <c r="D7" s="3395"/>
      <c r="E7" s="3394" t="str">
        <f>土地案例!A11</f>
        <v>通州区运河核心区Ⅸ-06地块F3其它类多功能用地</v>
      </c>
      <c r="F7" s="3395"/>
      <c r="G7" s="3394" t="str">
        <f>土地案例!A14</f>
        <v>通州区运河核心区Ⅸ-07地块F3其它类多功能用地</v>
      </c>
      <c r="H7" s="3395"/>
      <c r="I7" s="3394" t="str">
        <f>土地案例!A16</f>
        <v>通州区运河核心区Ⅸ-05地块F3其它类多功能用地</v>
      </c>
      <c r="J7" s="3395"/>
      <c r="K7" s="516"/>
      <c r="L7" s="2137"/>
      <c r="M7" s="2136"/>
      <c r="N7" s="2136"/>
      <c r="O7" s="2138"/>
      <c r="P7" s="3387"/>
      <c r="Q7" s="3388"/>
      <c r="R7" s="3373"/>
      <c r="S7" s="3374"/>
      <c r="T7" s="3373"/>
      <c r="U7" s="3374"/>
      <c r="V7" s="3391"/>
      <c r="W7" s="3391"/>
      <c r="X7" s="1570"/>
      <c r="Y7" s="3373"/>
      <c r="Z7" s="3374"/>
      <c r="AA7" s="3367"/>
      <c r="AB7" s="3367"/>
      <c r="AC7" s="3367"/>
    </row>
    <row r="8" spans="1:30" ht="21" hidden="1" thickBot="1">
      <c r="A8" s="517"/>
      <c r="B8" s="518"/>
      <c r="C8" s="3396" t="s">
        <v>2936</v>
      </c>
      <c r="D8" s="3397"/>
      <c r="E8" s="3396" t="s">
        <v>2936</v>
      </c>
      <c r="F8" s="3397"/>
      <c r="G8" s="3392" t="s">
        <v>2936</v>
      </c>
      <c r="H8" s="3393"/>
      <c r="I8" s="3392" t="s">
        <v>2936</v>
      </c>
      <c r="J8" s="3393"/>
      <c r="K8" s="516" t="s">
        <v>529</v>
      </c>
      <c r="L8" s="2137"/>
      <c r="M8" s="2136"/>
      <c r="N8" s="2136"/>
      <c r="O8" s="2138"/>
      <c r="P8" s="3389"/>
      <c r="Q8" s="3390"/>
      <c r="R8" s="3373"/>
      <c r="S8" s="3374"/>
      <c r="T8" s="3375"/>
      <c r="U8" s="3376"/>
      <c r="V8" s="3391"/>
      <c r="W8" s="3391"/>
      <c r="X8" s="1570"/>
      <c r="Y8" s="3375"/>
      <c r="Z8" s="3376"/>
      <c r="AA8" s="3368"/>
      <c r="AB8" s="3368"/>
      <c r="AC8" s="3368"/>
    </row>
    <row r="9" spans="1:30" s="1222" customFormat="1" ht="21" thickBot="1">
      <c r="A9" s="2942"/>
      <c r="B9" s="2949" t="s">
        <v>530</v>
      </c>
      <c r="C9" s="2941">
        <f>'数据-取费表'!B2</f>
        <v>43035</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69" t="s">
        <v>531</v>
      </c>
      <c r="Q9" s="3378"/>
      <c r="R9" s="1571" t="s">
        <v>8</v>
      </c>
      <c r="S9" s="1572">
        <f t="shared" ref="S9:S17" si="0">F9</f>
        <v>93</v>
      </c>
      <c r="T9" s="1571" t="s">
        <v>8</v>
      </c>
      <c r="U9" s="1572">
        <f t="shared" ref="U9:U17" si="1">H9</f>
        <v>93</v>
      </c>
      <c r="V9" s="1571" t="s">
        <v>8</v>
      </c>
      <c r="W9" s="1572">
        <f t="shared" ref="W9:W17" si="2">J9</f>
        <v>92.5</v>
      </c>
      <c r="X9" s="1573"/>
      <c r="Y9" s="3369" t="s">
        <v>531</v>
      </c>
      <c r="Z9" s="3370"/>
      <c r="AA9" s="1574">
        <f>D9/F9</f>
        <v>1.075268817204301</v>
      </c>
      <c r="AB9" s="1574">
        <f>D9/H9</f>
        <v>1.075268817204301</v>
      </c>
      <c r="AC9" s="1574">
        <f>D9/J9</f>
        <v>1.0810810810810811</v>
      </c>
    </row>
    <row r="10" spans="1:30" s="1222" customFormat="1" ht="21" thickBot="1">
      <c r="A10" s="2943"/>
      <c r="B10" s="2950" t="s">
        <v>532</v>
      </c>
      <c r="C10" s="858" t="s">
        <v>533</v>
      </c>
      <c r="D10" s="522">
        <v>100</v>
      </c>
      <c r="E10" s="527" t="s">
        <v>3093</v>
      </c>
      <c r="F10" s="524">
        <f>SUMIF(75:75,E10,76:76)-SUMIF(75:75,C10,76:76)+100</f>
        <v>100</v>
      </c>
      <c r="G10" s="527" t="s">
        <v>3093</v>
      </c>
      <c r="H10" s="522">
        <f>SUMIF(75:75,G10,76:76)-SUMIF(75:75,C10,76:76)+100</f>
        <v>100</v>
      </c>
      <c r="I10" s="527" t="s">
        <v>3093</v>
      </c>
      <c r="J10" s="522">
        <f>SUMIF(75:75,I10,76:76)-SUMIF(75:75,C10,76:76)+100</f>
        <v>100</v>
      </c>
      <c r="K10" s="526"/>
      <c r="L10" s="2139"/>
      <c r="M10" s="2136"/>
      <c r="N10" s="2136"/>
      <c r="O10" s="2140"/>
      <c r="P10" s="3369" t="s">
        <v>534</v>
      </c>
      <c r="Q10" s="3370"/>
      <c r="R10" s="1571" t="s">
        <v>8</v>
      </c>
      <c r="S10" s="1572">
        <f t="shared" si="0"/>
        <v>100</v>
      </c>
      <c r="T10" s="1571" t="s">
        <v>8</v>
      </c>
      <c r="U10" s="1572">
        <f t="shared" si="1"/>
        <v>100</v>
      </c>
      <c r="V10" s="1571" t="s">
        <v>8</v>
      </c>
      <c r="W10" s="1572">
        <f t="shared" si="2"/>
        <v>100</v>
      </c>
      <c r="X10" s="1573"/>
      <c r="Y10" s="3369" t="s">
        <v>534</v>
      </c>
      <c r="Z10" s="3370"/>
      <c r="AA10" s="1574">
        <f t="shared" ref="AA10:AA47" si="3">D10/F10</f>
        <v>1</v>
      </c>
      <c r="AB10" s="1574">
        <f t="shared" ref="AB10:AB47" si="4">D10/H10</f>
        <v>1</v>
      </c>
      <c r="AC10" s="1574">
        <f t="shared" ref="AC10:AC47" si="5">D10/J10</f>
        <v>1</v>
      </c>
    </row>
    <row r="11" spans="1:30" s="1222" customFormat="1" ht="20.25">
      <c r="A11" s="2944"/>
      <c r="B11" s="2951" t="s">
        <v>2762</v>
      </c>
      <c r="C11" s="2938" t="s">
        <v>3095</v>
      </c>
      <c r="D11" s="253">
        <v>100</v>
      </c>
      <c r="E11" s="528" t="s">
        <v>3095</v>
      </c>
      <c r="F11" s="253">
        <f>SUMIF(77:77,E11,78:78)-SUMIF(77:77,C11,78:78)+100</f>
        <v>100</v>
      </c>
      <c r="G11" s="528" t="s">
        <v>3095</v>
      </c>
      <c r="H11" s="253">
        <f>SUMIF(77:77,G11,78:78)-SUMIF(77:77,C11,78:78)+100</f>
        <v>100</v>
      </c>
      <c r="I11" s="528" t="s">
        <v>3095</v>
      </c>
      <c r="J11" s="253">
        <f>SUMIF(77:77,I11,78:78)-SUMIF(77:77,C11,78:78)+100</f>
        <v>100</v>
      </c>
      <c r="K11" s="526"/>
      <c r="L11" s="2139"/>
      <c r="M11" s="2136"/>
      <c r="N11" s="2136"/>
      <c r="O11" s="2141"/>
      <c r="P11" s="3377" t="s">
        <v>536</v>
      </c>
      <c r="Q11" s="1153" t="str">
        <f t="shared" ref="Q11:Q17" si="6">B11</f>
        <v>用途</v>
      </c>
      <c r="R11" s="1571" t="s">
        <v>8</v>
      </c>
      <c r="S11" s="1572">
        <f t="shared" si="0"/>
        <v>100</v>
      </c>
      <c r="T11" s="1571" t="s">
        <v>8</v>
      </c>
      <c r="U11" s="1572">
        <f t="shared" si="1"/>
        <v>100</v>
      </c>
      <c r="V11" s="1571" t="s">
        <v>8</v>
      </c>
      <c r="W11" s="1572">
        <f t="shared" si="2"/>
        <v>100</v>
      </c>
      <c r="X11" s="1573"/>
      <c r="Y11" s="3334" t="s">
        <v>537</v>
      </c>
      <c r="Z11" s="1152" t="str">
        <f t="shared" ref="Z11:Z17" si="7">Q11</f>
        <v>用途</v>
      </c>
      <c r="AA11" s="1574">
        <f t="shared" si="3"/>
        <v>1</v>
      </c>
      <c r="AB11" s="1574">
        <f t="shared" si="4"/>
        <v>1</v>
      </c>
      <c r="AC11" s="1574">
        <f t="shared" si="5"/>
        <v>1</v>
      </c>
    </row>
    <row r="12" spans="1:30" s="1340" customFormat="1" ht="28.5">
      <c r="A12" s="2945"/>
      <c r="B12" s="2950" t="s">
        <v>2763</v>
      </c>
      <c r="C12" s="531" t="s">
        <v>3097</v>
      </c>
      <c r="D12" s="254">
        <v>100</v>
      </c>
      <c r="E12" s="531" t="s">
        <v>3096</v>
      </c>
      <c r="F12" s="254">
        <f>ROUND(100/'数据-取费表'!G16,0)</f>
        <v>103</v>
      </c>
      <c r="G12" s="531" t="s">
        <v>3096</v>
      </c>
      <c r="H12" s="254">
        <f>ROUND(100/'数据-取费表'!G16,0)</f>
        <v>103</v>
      </c>
      <c r="I12" s="531" t="s">
        <v>3096</v>
      </c>
      <c r="J12" s="254">
        <f>ROUND(100/'数据-取费表'!G16,0)</f>
        <v>103</v>
      </c>
      <c r="K12" s="533"/>
      <c r="L12" s="2142"/>
      <c r="M12" s="2136"/>
      <c r="N12" s="2136"/>
      <c r="O12" s="2143"/>
      <c r="P12" s="3377"/>
      <c r="Q12" s="1153" t="str">
        <f t="shared" si="6"/>
        <v>土地使用年限（年）</v>
      </c>
      <c r="R12" s="1571" t="s">
        <v>8</v>
      </c>
      <c r="S12" s="1572">
        <f t="shared" si="0"/>
        <v>103</v>
      </c>
      <c r="T12" s="1571" t="s">
        <v>8</v>
      </c>
      <c r="U12" s="1572">
        <f t="shared" si="1"/>
        <v>103</v>
      </c>
      <c r="V12" s="1571" t="s">
        <v>8</v>
      </c>
      <c r="W12" s="1572">
        <f t="shared" si="2"/>
        <v>103</v>
      </c>
      <c r="X12" s="1573"/>
      <c r="Y12" s="3334"/>
      <c r="Z12" s="1152" t="str">
        <f t="shared" si="7"/>
        <v>土地使用年限（年）</v>
      </c>
      <c r="AA12" s="1574">
        <f t="shared" si="3"/>
        <v>0.970873786407767</v>
      </c>
      <c r="AB12" s="1574">
        <f t="shared" si="4"/>
        <v>0.970873786407767</v>
      </c>
      <c r="AC12" s="1574">
        <f t="shared" si="5"/>
        <v>0.970873786407767</v>
      </c>
    </row>
    <row r="13" spans="1:30" ht="21" thickBot="1">
      <c r="A13" s="2946"/>
      <c r="B13" s="2950" t="s">
        <v>2764</v>
      </c>
      <c r="C13" s="536">
        <f>'数据-汇总表'!I6</f>
        <v>11.03</v>
      </c>
      <c r="D13" s="254">
        <v>100</v>
      </c>
      <c r="E13" s="535">
        <f>土地案例!H11</f>
        <v>7.49</v>
      </c>
      <c r="F13" s="254">
        <f>LOOKUP(E13,82:82,83:83)-LOOKUP(C13,82:82,83:83)+100</f>
        <v>104</v>
      </c>
      <c r="G13" s="536">
        <f>土地案例!H14</f>
        <v>7.52</v>
      </c>
      <c r="H13" s="254">
        <f>LOOKUP(G13,82:82,83:83)-LOOKUP(C13,82:82,83:83)+100</f>
        <v>104</v>
      </c>
      <c r="I13" s="535">
        <f>土地案例!H16</f>
        <v>7.51</v>
      </c>
      <c r="J13" s="254">
        <f>LOOKUP(I13,82:82,83:83)-LOOKUP(C13,82:82,83:83)+100</f>
        <v>104</v>
      </c>
      <c r="K13" s="537">
        <v>1</v>
      </c>
      <c r="L13" s="2144"/>
      <c r="M13" s="2136"/>
      <c r="N13" s="2136"/>
      <c r="O13" s="2145"/>
      <c r="P13" s="3377"/>
      <c r="Q13" s="1153" t="str">
        <f t="shared" si="6"/>
        <v>容积率</v>
      </c>
      <c r="R13" s="1571" t="s">
        <v>8</v>
      </c>
      <c r="S13" s="1572">
        <f t="shared" si="0"/>
        <v>104</v>
      </c>
      <c r="T13" s="1571" t="s">
        <v>8</v>
      </c>
      <c r="U13" s="1572">
        <f t="shared" si="1"/>
        <v>104</v>
      </c>
      <c r="V13" s="1571" t="s">
        <v>8</v>
      </c>
      <c r="W13" s="1572">
        <f t="shared" si="2"/>
        <v>104</v>
      </c>
      <c r="X13" s="1573"/>
      <c r="Y13" s="3334"/>
      <c r="Z13" s="1152" t="str">
        <f t="shared" si="7"/>
        <v>容积率</v>
      </c>
      <c r="AA13" s="1574">
        <f t="shared" si="3"/>
        <v>0.96153846153846156</v>
      </c>
      <c r="AB13" s="1574">
        <f t="shared" si="4"/>
        <v>0.96153846153846156</v>
      </c>
      <c r="AC13" s="1574">
        <f t="shared" si="5"/>
        <v>0.96153846153846156</v>
      </c>
    </row>
    <row r="14" spans="1:30" s="1222" customFormat="1" ht="20.25" hidden="1">
      <c r="A14" s="2943"/>
      <c r="B14" s="2952" t="s">
        <v>2765</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77"/>
      <c r="Q14" s="1153" t="str">
        <f t="shared" si="6"/>
        <v>配建</v>
      </c>
      <c r="R14" s="1571" t="s">
        <v>8</v>
      </c>
      <c r="S14" s="1572">
        <f t="shared" si="0"/>
        <v>100</v>
      </c>
      <c r="T14" s="1571" t="s">
        <v>8</v>
      </c>
      <c r="U14" s="1572">
        <f t="shared" si="1"/>
        <v>100</v>
      </c>
      <c r="V14" s="1571" t="s">
        <v>8</v>
      </c>
      <c r="W14" s="1572">
        <f t="shared" si="2"/>
        <v>100</v>
      </c>
      <c r="X14" s="1573"/>
      <c r="Y14" s="3334"/>
      <c r="Z14" s="1152" t="str">
        <f t="shared" si="7"/>
        <v>配建</v>
      </c>
      <c r="AA14" s="1574">
        <f>D14/F14</f>
        <v>1</v>
      </c>
      <c r="AB14" s="1574">
        <f>D14/H14</f>
        <v>1</v>
      </c>
      <c r="AC14" s="1574">
        <f>D14/J14</f>
        <v>1</v>
      </c>
    </row>
    <row r="15" spans="1:30" ht="20.25" hidden="1">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77"/>
      <c r="Q15" s="1153">
        <f t="shared" si="6"/>
        <v>111</v>
      </c>
      <c r="R15" s="1571" t="s">
        <v>8</v>
      </c>
      <c r="S15" s="1572">
        <f t="shared" si="0"/>
        <v>100</v>
      </c>
      <c r="T15" s="1571" t="s">
        <v>8</v>
      </c>
      <c r="U15" s="1572">
        <f t="shared" si="1"/>
        <v>100</v>
      </c>
      <c r="V15" s="1571" t="s">
        <v>8</v>
      </c>
      <c r="W15" s="1572">
        <f t="shared" si="2"/>
        <v>100</v>
      </c>
      <c r="X15" s="1573"/>
      <c r="Y15" s="3334"/>
      <c r="Z15" s="1152">
        <f t="shared" si="7"/>
        <v>111</v>
      </c>
      <c r="AA15" s="1574">
        <f>D15/F15</f>
        <v>1</v>
      </c>
      <c r="AB15" s="1574">
        <f>D15/H15</f>
        <v>1</v>
      </c>
      <c r="AC15" s="1574">
        <f>D15/J15</f>
        <v>1</v>
      </c>
    </row>
    <row r="16" spans="1:30" ht="21" hidden="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77"/>
      <c r="Q16" s="1153">
        <f t="shared" si="6"/>
        <v>111</v>
      </c>
      <c r="R16" s="1571" t="s">
        <v>8</v>
      </c>
      <c r="S16" s="1572">
        <f t="shared" si="0"/>
        <v>100</v>
      </c>
      <c r="T16" s="1571" t="s">
        <v>8</v>
      </c>
      <c r="U16" s="1572">
        <f t="shared" si="1"/>
        <v>100</v>
      </c>
      <c r="V16" s="1571" t="s">
        <v>8</v>
      </c>
      <c r="W16" s="1572">
        <f t="shared" si="2"/>
        <v>100</v>
      </c>
      <c r="X16" s="1573"/>
      <c r="Y16" s="3334"/>
      <c r="Z16" s="1152">
        <f t="shared" si="7"/>
        <v>111</v>
      </c>
      <c r="AA16" s="1574">
        <f>D16/F16</f>
        <v>1</v>
      </c>
      <c r="AB16" s="1574">
        <f>D16/H16</f>
        <v>1</v>
      </c>
      <c r="AC16" s="1574">
        <f>D16/J16</f>
        <v>1</v>
      </c>
    </row>
    <row r="17" spans="1:29" ht="20.25" hidden="1">
      <c r="A17" s="2940" t="s">
        <v>2760</v>
      </c>
      <c r="B17" s="580" t="s">
        <v>295</v>
      </c>
      <c r="C17" s="550">
        <f>估价对象房地状况!C15</f>
        <v>0</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79" t="s">
        <v>541</v>
      </c>
      <c r="Q17" s="1575" t="str">
        <f t="shared" si="6"/>
        <v>居住社区成熟度</v>
      </c>
      <c r="R17" s="1576" t="s">
        <v>8</v>
      </c>
      <c r="S17" s="1577">
        <f t="shared" si="0"/>
        <v>100</v>
      </c>
      <c r="T17" s="1576" t="s">
        <v>8</v>
      </c>
      <c r="U17" s="1577">
        <f t="shared" si="1"/>
        <v>100</v>
      </c>
      <c r="V17" s="1576" t="s">
        <v>8</v>
      </c>
      <c r="W17" s="1577">
        <f t="shared" si="2"/>
        <v>100</v>
      </c>
      <c r="X17" s="1570"/>
      <c r="Y17" s="3379" t="s">
        <v>541</v>
      </c>
      <c r="Z17" s="1578" t="str">
        <f t="shared" si="7"/>
        <v>居住社区成熟度</v>
      </c>
      <c r="AA17" s="1579">
        <f t="shared" si="3"/>
        <v>1</v>
      </c>
      <c r="AB17" s="1579">
        <f t="shared" si="4"/>
        <v>1</v>
      </c>
      <c r="AC17" s="1579">
        <f t="shared" si="5"/>
        <v>1</v>
      </c>
    </row>
    <row r="18" spans="1:29" ht="21" hidden="1" thickBot="1">
      <c r="A18" s="534"/>
      <c r="B18" s="555"/>
      <c r="C18" s="556"/>
      <c r="D18" s="559"/>
      <c r="E18" s="560"/>
      <c r="F18" s="557"/>
      <c r="G18" s="558"/>
      <c r="H18" s="561"/>
      <c r="I18" s="560"/>
      <c r="J18" s="557"/>
      <c r="K18" s="533"/>
      <c r="L18" s="2146"/>
      <c r="M18" s="2136"/>
      <c r="N18" s="2136"/>
      <c r="O18" s="2145"/>
      <c r="P18" s="3380"/>
      <c r="Q18" s="1575"/>
      <c r="R18" s="1576"/>
      <c r="S18" s="1577"/>
      <c r="T18" s="1576"/>
      <c r="U18" s="1577"/>
      <c r="V18" s="1576"/>
      <c r="W18" s="1577"/>
      <c r="X18" s="1570"/>
      <c r="Y18" s="3380"/>
      <c r="Z18" s="1578"/>
      <c r="AA18" s="1579">
        <v>1</v>
      </c>
      <c r="AB18" s="1579">
        <v>1</v>
      </c>
      <c r="AC18" s="1579">
        <v>1</v>
      </c>
    </row>
    <row r="19" spans="1:29" ht="99.75">
      <c r="A19" s="534"/>
      <c r="B19" s="562" t="s">
        <v>542</v>
      </c>
      <c r="C19" s="563" t="str">
        <f>估价对象房地状况!C16</f>
        <v>位于通州区运河核心区，现处于开发建设阶段，目前周边大型商业较少，多为社区配套商业，商业繁华度一般。</v>
      </c>
      <c r="D19" s="565">
        <v>100</v>
      </c>
      <c r="E19" s="3498" t="s">
        <v>3166</v>
      </c>
      <c r="F19" s="561">
        <f>SUMIF(92:92,E20,93:93)-SUMIF(92:92,C20,93:93)+100</f>
        <v>100</v>
      </c>
      <c r="G19" s="3495" t="str">
        <f>E19</f>
        <v>位于通州区运河核心区，现处于开发建设阶段，目前周边大型商业较少，多为社区配套商业，商业繁华度一般。</v>
      </c>
      <c r="H19" s="567">
        <f>SUMIF(92:92,G20,93:93)-SUMIF(92:92,C20,93:93)+100</f>
        <v>100</v>
      </c>
      <c r="I19" s="3496" t="str">
        <f>G19</f>
        <v>位于通州区运河核心区，现处于开发建设阶段，目前周边大型商业较少，多为社区配套商业，商业繁华度一般。</v>
      </c>
      <c r="J19" s="567">
        <f>SUMIF(92:92,I20,93:93)-SUMIF(92:92,C20,93:93)+100</f>
        <v>100</v>
      </c>
      <c r="K19" s="537">
        <v>2</v>
      </c>
      <c r="L19" s="2146"/>
      <c r="M19" s="2136"/>
      <c r="N19" s="2136"/>
      <c r="O19" s="2145"/>
      <c r="P19" s="3380"/>
      <c r="Q19" s="1575" t="str">
        <f>B19</f>
        <v>商业繁华度</v>
      </c>
      <c r="R19" s="1576" t="s">
        <v>8</v>
      </c>
      <c r="S19" s="1577">
        <f>F19</f>
        <v>100</v>
      </c>
      <c r="T19" s="1576" t="s">
        <v>8</v>
      </c>
      <c r="U19" s="1577">
        <f>H19</f>
        <v>100</v>
      </c>
      <c r="V19" s="1576" t="s">
        <v>8</v>
      </c>
      <c r="W19" s="1577">
        <f>J19</f>
        <v>100</v>
      </c>
      <c r="X19" s="1570"/>
      <c r="Y19" s="3380"/>
      <c r="Z19" s="1578" t="str">
        <f>Q19</f>
        <v>商业繁华度</v>
      </c>
      <c r="AA19" s="1579">
        <f t="shared" si="3"/>
        <v>1</v>
      </c>
      <c r="AB19" s="1579">
        <f t="shared" si="4"/>
        <v>1</v>
      </c>
      <c r="AC19" s="1579">
        <f t="shared" si="5"/>
        <v>1</v>
      </c>
    </row>
    <row r="20" spans="1:29" ht="20.25">
      <c r="A20" s="534"/>
      <c r="B20" s="568"/>
      <c r="C20" s="569" t="s">
        <v>3098</v>
      </c>
      <c r="D20" s="565"/>
      <c r="E20" s="3497" t="s">
        <v>3098</v>
      </c>
      <c r="F20" s="561"/>
      <c r="G20" s="3497" t="s">
        <v>3098</v>
      </c>
      <c r="H20" s="557"/>
      <c r="I20" s="3497" t="s">
        <v>3098</v>
      </c>
      <c r="J20" s="557"/>
      <c r="K20" s="533"/>
      <c r="L20" s="2146"/>
      <c r="M20" s="2136"/>
      <c r="N20" s="2136"/>
      <c r="O20" s="2145"/>
      <c r="P20" s="3380"/>
      <c r="Q20" s="1575"/>
      <c r="R20" s="1576"/>
      <c r="S20" s="1577"/>
      <c r="T20" s="1576"/>
      <c r="U20" s="1577"/>
      <c r="V20" s="1576"/>
      <c r="W20" s="1577"/>
      <c r="X20" s="1570"/>
      <c r="Y20" s="3380"/>
      <c r="Z20" s="1578"/>
      <c r="AA20" s="1579">
        <v>1</v>
      </c>
      <c r="AB20" s="1579">
        <v>1</v>
      </c>
      <c r="AC20" s="1579">
        <v>1</v>
      </c>
    </row>
    <row r="21" spans="1:29" ht="99.75">
      <c r="A21" s="534"/>
      <c r="B21" s="562" t="s">
        <v>543</v>
      </c>
      <c r="C21" s="563" t="str">
        <f>估价对象房地状况!C17</f>
        <v>周边已建成及在建的综合项目有金成府写字楼、瑞都国际中心等，出租率一般，办公集聚程度一般。</v>
      </c>
      <c r="D21" s="573">
        <v>100</v>
      </c>
      <c r="E21" s="572" t="str">
        <f>C21</f>
        <v>周边已建成及在建的综合项目有金成府写字楼、瑞都国际中心等，出租率一般，办公集聚程度一般。</v>
      </c>
      <c r="F21" s="567">
        <f>SUMIF(94:94,E22,95:95)-SUMIF(94:94,C22,95:95)+100</f>
        <v>100</v>
      </c>
      <c r="G21" s="572" t="str">
        <f>E21</f>
        <v>周边已建成及在建的综合项目有金成府写字楼、瑞都国际中心等，出租率一般，办公集聚程度一般。</v>
      </c>
      <c r="H21" s="561">
        <f>SUMIF(94:94,G22,95:95)-SUMIF(94:94,C22,95:95)+100</f>
        <v>100</v>
      </c>
      <c r="I21" s="572" t="str">
        <f>G21</f>
        <v>周边已建成及在建的综合项目有金成府写字楼、瑞都国际中心等，出租率一般，办公集聚程度一般。</v>
      </c>
      <c r="J21" s="561">
        <f>SUMIF(94:94,I22,95:95)-SUMIF(94:94,C22,95:95)+100</f>
        <v>100</v>
      </c>
      <c r="K21" s="537">
        <v>2</v>
      </c>
      <c r="L21" s="2146"/>
      <c r="M21" s="2136"/>
      <c r="N21" s="2136"/>
      <c r="O21" s="2145"/>
      <c r="P21" s="3380"/>
      <c r="Q21" s="1575" t="str">
        <f>B21</f>
        <v>办公集聚程度</v>
      </c>
      <c r="R21" s="1576" t="s">
        <v>8</v>
      </c>
      <c r="S21" s="1577">
        <f>F21</f>
        <v>100</v>
      </c>
      <c r="T21" s="1576" t="s">
        <v>8</v>
      </c>
      <c r="U21" s="1577">
        <f>H21</f>
        <v>100</v>
      </c>
      <c r="V21" s="1576" t="s">
        <v>8</v>
      </c>
      <c r="W21" s="1577">
        <f>J21</f>
        <v>100</v>
      </c>
      <c r="X21" s="1570"/>
      <c r="Y21" s="3380"/>
      <c r="Z21" s="1578" t="str">
        <f>Q21</f>
        <v>办公集聚程度</v>
      </c>
      <c r="AA21" s="1579">
        <f t="shared" si="3"/>
        <v>1</v>
      </c>
      <c r="AB21" s="1579">
        <f t="shared" si="4"/>
        <v>1</v>
      </c>
      <c r="AC21" s="1579">
        <f t="shared" si="5"/>
        <v>1</v>
      </c>
    </row>
    <row r="22" spans="1:29" ht="20.25">
      <c r="A22" s="534"/>
      <c r="B22" s="568"/>
      <c r="C22" s="556" t="s">
        <v>3098</v>
      </c>
      <c r="D22" s="559"/>
      <c r="E22" s="3183" t="s">
        <v>3098</v>
      </c>
      <c r="F22" s="557"/>
      <c r="G22" s="3183" t="s">
        <v>3098</v>
      </c>
      <c r="H22" s="557"/>
      <c r="I22" s="3183" t="s">
        <v>3098</v>
      </c>
      <c r="J22" s="557"/>
      <c r="K22" s="533"/>
      <c r="L22" s="2146"/>
      <c r="M22" s="2136"/>
      <c r="N22" s="2136"/>
      <c r="O22" s="2145"/>
      <c r="P22" s="3380"/>
      <c r="Q22" s="1575"/>
      <c r="R22" s="1576"/>
      <c r="S22" s="1577"/>
      <c r="T22" s="1576"/>
      <c r="U22" s="1577"/>
      <c r="V22" s="1576"/>
      <c r="W22" s="1577"/>
      <c r="X22" s="1570"/>
      <c r="Y22" s="3380"/>
      <c r="Z22" s="1578"/>
      <c r="AA22" s="1579">
        <v>1</v>
      </c>
      <c r="AB22" s="1579">
        <v>1</v>
      </c>
      <c r="AC22" s="1579">
        <v>1</v>
      </c>
    </row>
    <row r="23" spans="1:29" ht="114">
      <c r="A23" s="534"/>
      <c r="B23" s="562" t="s">
        <v>544</v>
      </c>
      <c r="C23" s="575" t="str">
        <f>估价对象房地状况!C18</f>
        <v>周边路网较为密集。周边有322路、342路、589路、626路等公交线路，紧邻地铁6号线，公交便捷度较好。整体交通便捷度较好。</v>
      </c>
      <c r="D23" s="565">
        <v>100</v>
      </c>
      <c r="E23" s="3495" t="str">
        <f>C23</f>
        <v>周边路网较为密集。周边有322路、342路、589路、626路等公交线路，紧邻地铁6号线，公交便捷度较好。整体交通便捷度较好。</v>
      </c>
      <c r="F23" s="567">
        <f>SUMIF(96:96,E24,97:97)-SUMIF(96:96,C24,97:97)+100</f>
        <v>100</v>
      </c>
      <c r="G23" s="3495" t="str">
        <f>E23</f>
        <v>周边路网较为密集。周边有322路、342路、589路、626路等公交线路，紧邻地铁6号线，公交便捷度较好。整体交通便捷度较好。</v>
      </c>
      <c r="H23" s="561">
        <f>SUMIF(96:96,G24,97:97)-SUMIF(96:96,C24,97:97)+100</f>
        <v>100</v>
      </c>
      <c r="I23" s="3495" t="str">
        <f>G23</f>
        <v>周边路网较为密集。周边有322路、342路、589路、626路等公交线路，紧邻地铁6号线，公交便捷度较好。整体交通便捷度较好。</v>
      </c>
      <c r="J23" s="561">
        <f>SUMIF(96:96,I24,97:97)-SUMIF(96:96,C24,97:97)+100</f>
        <v>100</v>
      </c>
      <c r="K23" s="537">
        <v>2</v>
      </c>
      <c r="L23" s="2146"/>
      <c r="M23" s="2136"/>
      <c r="N23" s="2136"/>
      <c r="O23" s="2145"/>
      <c r="P23" s="3380"/>
      <c r="Q23" s="1575" t="str">
        <f>B23</f>
        <v>交通便捷度</v>
      </c>
      <c r="R23" s="1576" t="s">
        <v>8</v>
      </c>
      <c r="S23" s="1577">
        <f>F23</f>
        <v>100</v>
      </c>
      <c r="T23" s="1576" t="s">
        <v>8</v>
      </c>
      <c r="U23" s="1577">
        <f>H23</f>
        <v>100</v>
      </c>
      <c r="V23" s="1576" t="s">
        <v>8</v>
      </c>
      <c r="W23" s="1577">
        <f>J23</f>
        <v>100</v>
      </c>
      <c r="X23" s="1570"/>
      <c r="Y23" s="3380"/>
      <c r="Z23" s="1578" t="str">
        <f>Q23</f>
        <v>交通便捷度</v>
      </c>
      <c r="AA23" s="1579">
        <f t="shared" si="3"/>
        <v>1</v>
      </c>
      <c r="AB23" s="1579">
        <f t="shared" si="4"/>
        <v>1</v>
      </c>
      <c r="AC23" s="1579">
        <f t="shared" si="5"/>
        <v>1</v>
      </c>
    </row>
    <row r="24" spans="1:29" ht="20.25">
      <c r="A24" s="534"/>
      <c r="B24" s="580"/>
      <c r="C24" s="556" t="s">
        <v>3099</v>
      </c>
      <c r="D24" s="559"/>
      <c r="E24" s="3183" t="s">
        <v>3099</v>
      </c>
      <c r="F24" s="557"/>
      <c r="G24" s="3183" t="s">
        <v>3099</v>
      </c>
      <c r="H24" s="557"/>
      <c r="I24" s="3183" t="s">
        <v>3099</v>
      </c>
      <c r="J24" s="557"/>
      <c r="K24" s="533"/>
      <c r="L24" s="2146"/>
      <c r="M24" s="2136"/>
      <c r="N24" s="2136"/>
      <c r="O24" s="2145"/>
      <c r="P24" s="3380"/>
      <c r="Q24" s="1575"/>
      <c r="R24" s="1576"/>
      <c r="S24" s="1577"/>
      <c r="T24" s="1576"/>
      <c r="U24" s="1577"/>
      <c r="V24" s="1576"/>
      <c r="W24" s="1577"/>
      <c r="X24" s="1570"/>
      <c r="Y24" s="3380"/>
      <c r="Z24" s="1578"/>
      <c r="AA24" s="1579">
        <v>1</v>
      </c>
      <c r="AB24" s="1579">
        <v>1</v>
      </c>
      <c r="AC24" s="1579">
        <v>1</v>
      </c>
    </row>
    <row r="25" spans="1:29" ht="42.75">
      <c r="A25" s="517"/>
      <c r="B25" s="258" t="s">
        <v>545</v>
      </c>
      <c r="C25" s="575" t="str">
        <f>估价对象房地状况!C19</f>
        <v>零星有其他用地，基本不影响本宗地。</v>
      </c>
      <c r="D25" s="565">
        <v>100</v>
      </c>
      <c r="E25" s="3495" t="str">
        <f>C25</f>
        <v>零星有其他用地，基本不影响本宗地。</v>
      </c>
      <c r="F25" s="567">
        <f>SUMIF(98:98,E26,99:99)-SUMIF(98:98,C26,99:99)+100</f>
        <v>100</v>
      </c>
      <c r="G25" s="3495" t="str">
        <f>E25</f>
        <v>零星有其他用地，基本不影响本宗地。</v>
      </c>
      <c r="H25" s="561">
        <f>SUMIF(98:98,G26,99:99)-SUMIF(98:98,C26,99:99)+100</f>
        <v>100</v>
      </c>
      <c r="I25" s="3495" t="str">
        <f>G25</f>
        <v>零星有其他用地，基本不影响本宗地。</v>
      </c>
      <c r="J25" s="561">
        <f>SUMIF(98:98,I26,99:99)-SUMIF(98:98,C26,99:99)+100</f>
        <v>100</v>
      </c>
      <c r="K25" s="537">
        <v>2</v>
      </c>
      <c r="L25" s="2146"/>
      <c r="M25" s="2136"/>
      <c r="N25" s="2136"/>
      <c r="O25" s="2145"/>
      <c r="P25" s="3380"/>
      <c r="Q25" s="1575" t="str">
        <f t="shared" ref="Q25:Q39" si="8">B25</f>
        <v>区域土地利用方向</v>
      </c>
      <c r="R25" s="1576" t="s">
        <v>8</v>
      </c>
      <c r="S25" s="1577">
        <f>F25</f>
        <v>100</v>
      </c>
      <c r="T25" s="1576" t="s">
        <v>8</v>
      </c>
      <c r="U25" s="1577">
        <f>H25</f>
        <v>100</v>
      </c>
      <c r="V25" s="1576" t="s">
        <v>8</v>
      </c>
      <c r="W25" s="1577">
        <f>J25</f>
        <v>100</v>
      </c>
      <c r="X25" s="1570"/>
      <c r="Y25" s="3380"/>
      <c r="Z25" s="1578" t="str">
        <f>Q25</f>
        <v>区域土地利用方向</v>
      </c>
      <c r="AA25" s="1579">
        <f t="shared" si="3"/>
        <v>1</v>
      </c>
      <c r="AB25" s="1579">
        <f t="shared" si="4"/>
        <v>1</v>
      </c>
      <c r="AC25" s="1579">
        <f t="shared" si="5"/>
        <v>1</v>
      </c>
    </row>
    <row r="26" spans="1:29" ht="20.25">
      <c r="A26" s="517"/>
      <c r="B26" s="1009"/>
      <c r="C26" s="556" t="s">
        <v>3099</v>
      </c>
      <c r="D26" s="559"/>
      <c r="E26" s="3183" t="s">
        <v>3099</v>
      </c>
      <c r="F26" s="557"/>
      <c r="G26" s="3183" t="s">
        <v>3099</v>
      </c>
      <c r="H26" s="557"/>
      <c r="I26" s="3183" t="s">
        <v>3099</v>
      </c>
      <c r="J26" s="557"/>
      <c r="K26" s="533"/>
      <c r="L26" s="2146"/>
      <c r="M26" s="2136"/>
      <c r="N26" s="2136"/>
      <c r="O26" s="2145"/>
      <c r="P26" s="3380"/>
      <c r="Q26" s="1575"/>
      <c r="R26" s="1576"/>
      <c r="S26" s="1577"/>
      <c r="T26" s="1576"/>
      <c r="U26" s="1577"/>
      <c r="V26" s="1576"/>
      <c r="W26" s="1577"/>
      <c r="X26" s="1570"/>
      <c r="Y26" s="3380"/>
      <c r="Z26" s="1578"/>
      <c r="AA26" s="1579"/>
      <c r="AB26" s="1579"/>
      <c r="AC26" s="1579"/>
    </row>
    <row r="27" spans="1:29" ht="142.5">
      <c r="A27" s="517"/>
      <c r="B27" s="580" t="s">
        <v>546</v>
      </c>
      <c r="C27" s="563" t="str">
        <f>估价对象房地状况!C20</f>
        <v>周边约1公里范围内人文设施较少；周边约1公里范围内有运河奥体公园等，紧邻运河，自然环境较好。综合评价，综合考虑自然及人文环境较好。</v>
      </c>
      <c r="D27" s="565">
        <v>100</v>
      </c>
      <c r="E27" s="564" t="str">
        <f>C27</f>
        <v>周边约1公里范围内人文设施较少；周边约1公里范围内有运河奥体公园等，紧邻运河，自然环境较好。综合评价，综合考虑自然及人文环境较好。</v>
      </c>
      <c r="F27" s="561">
        <f>SUMIF(100:100,E28,101:101)-SUMIF(100:100,C28,101:101)+100</f>
        <v>100</v>
      </c>
      <c r="G27" s="564" t="str">
        <f>E27</f>
        <v>周边约1公里范围内人文设施较少；周边约1公里范围内有运河奥体公园等，紧邻运河，自然环境较好。综合评价，综合考虑自然及人文环境较好。</v>
      </c>
      <c r="H27" s="561">
        <f>SUMIF(100:100,G28,101:101)-SUMIF(100:100,C28,101:101)+100</f>
        <v>100</v>
      </c>
      <c r="I27" s="564" t="str">
        <f>G27</f>
        <v>周边约1公里范围内人文设施较少；周边约1公里范围内有运河奥体公园等，紧邻运河，自然环境较好。综合评价，综合考虑自然及人文环境较好。</v>
      </c>
      <c r="J27" s="561">
        <f>SUMIF(100:100,I28,101:101)-SUMIF(100:100,C28,101:101)+100</f>
        <v>100</v>
      </c>
      <c r="K27" s="537">
        <v>2</v>
      </c>
      <c r="L27" s="2146"/>
      <c r="M27" s="2136"/>
      <c r="N27" s="2136"/>
      <c r="O27" s="2145"/>
      <c r="P27" s="3380"/>
      <c r="Q27" s="1575" t="str">
        <f t="shared" si="8"/>
        <v>自然及人文环境状况</v>
      </c>
      <c r="R27" s="1576" t="s">
        <v>8</v>
      </c>
      <c r="S27" s="1577">
        <f>F27</f>
        <v>100</v>
      </c>
      <c r="T27" s="1576" t="s">
        <v>8</v>
      </c>
      <c r="U27" s="1577">
        <f>H27</f>
        <v>100</v>
      </c>
      <c r="V27" s="1576" t="s">
        <v>8</v>
      </c>
      <c r="W27" s="1577">
        <f>J27</f>
        <v>100</v>
      </c>
      <c r="X27" s="1570"/>
      <c r="Y27" s="3380"/>
      <c r="Z27" s="1578" t="str">
        <f>Q27</f>
        <v>自然及人文环境状况</v>
      </c>
      <c r="AA27" s="1579">
        <f t="shared" si="3"/>
        <v>1</v>
      </c>
      <c r="AB27" s="1579">
        <f t="shared" si="4"/>
        <v>1</v>
      </c>
      <c r="AC27" s="1579">
        <f t="shared" si="5"/>
        <v>1</v>
      </c>
    </row>
    <row r="28" spans="1:29" ht="20.25">
      <c r="A28" s="517"/>
      <c r="B28" s="568"/>
      <c r="C28" s="556" t="s">
        <v>3099</v>
      </c>
      <c r="D28" s="559"/>
      <c r="E28" s="3183" t="s">
        <v>3099</v>
      </c>
      <c r="F28" s="557"/>
      <c r="G28" s="3183" t="s">
        <v>3099</v>
      </c>
      <c r="H28" s="557"/>
      <c r="I28" s="3183" t="s">
        <v>3099</v>
      </c>
      <c r="J28" s="557"/>
      <c r="K28" s="533"/>
      <c r="L28" s="2146"/>
      <c r="M28" s="2136"/>
      <c r="N28" s="2136"/>
      <c r="O28" s="2145"/>
      <c r="P28" s="3380"/>
      <c r="Q28" s="1575"/>
      <c r="R28" s="1576"/>
      <c r="S28" s="1577"/>
      <c r="T28" s="1576"/>
      <c r="U28" s="1577"/>
      <c r="V28" s="1576"/>
      <c r="W28" s="1577"/>
      <c r="X28" s="1570"/>
      <c r="Y28" s="3380"/>
      <c r="Z28" s="1578"/>
      <c r="AA28" s="1579">
        <v>1</v>
      </c>
      <c r="AB28" s="1579">
        <v>1</v>
      </c>
      <c r="AC28" s="1579">
        <v>1</v>
      </c>
    </row>
    <row r="29" spans="1:29" s="1222" customFormat="1" ht="71.25">
      <c r="A29" s="579"/>
      <c r="B29" s="2619" t="s">
        <v>2552</v>
      </c>
      <c r="C29" s="575" t="str">
        <f>估价对象房地状况!C21</f>
        <v>周边分布银行、购物场所、餐饮等配套设施较多，公共设施状况较好。</v>
      </c>
      <c r="D29" s="565">
        <v>100</v>
      </c>
      <c r="E29" s="3495" t="str">
        <f>C29</f>
        <v>周边分布银行、购物场所、餐饮等配套设施较多，公共设施状况较好。</v>
      </c>
      <c r="F29" s="561">
        <f>SUMIF(102:102,E30,103:103)-SUMIF(102:102,C30,103:103)+100</f>
        <v>100</v>
      </c>
      <c r="G29" s="3495" t="str">
        <f>E29</f>
        <v>周边分布银行、购物场所、餐饮等配套设施较多，公共设施状况较好。</v>
      </c>
      <c r="H29" s="561">
        <f>SUMIF(102:102,G30,103:103)-SUMIF(102:102,C30,103:103)+100</f>
        <v>100</v>
      </c>
      <c r="I29" s="3495" t="str">
        <f>G29</f>
        <v>周边分布银行、购物场所、餐饮等配套设施较多，公共设施状况较好。</v>
      </c>
      <c r="J29" s="561">
        <f>SUMIF(102:102,I30,103:103)-SUMIF(102:102,C30,103:103)+100</f>
        <v>100</v>
      </c>
      <c r="K29" s="537">
        <v>2</v>
      </c>
      <c r="L29" s="2139"/>
      <c r="M29" s="2136"/>
      <c r="N29" s="2136"/>
      <c r="O29" s="2141"/>
      <c r="P29" s="3380"/>
      <c r="Q29" s="1153" t="str">
        <f t="shared" si="8"/>
        <v>公共配套设施</v>
      </c>
      <c r="R29" s="1571" t="s">
        <v>8</v>
      </c>
      <c r="S29" s="1572">
        <f>F29</f>
        <v>100</v>
      </c>
      <c r="T29" s="1571" t="s">
        <v>8</v>
      </c>
      <c r="U29" s="1572">
        <f>H29</f>
        <v>100</v>
      </c>
      <c r="V29" s="1571" t="s">
        <v>8</v>
      </c>
      <c r="W29" s="1572">
        <f>J29</f>
        <v>100</v>
      </c>
      <c r="X29" s="1573"/>
      <c r="Y29" s="3380"/>
      <c r="Z29" s="1152" t="str">
        <f>Q29</f>
        <v>公共配套设施</v>
      </c>
      <c r="AA29" s="1579">
        <f>D29/F29</f>
        <v>1</v>
      </c>
      <c r="AB29" s="1579">
        <f>D29/H29</f>
        <v>1</v>
      </c>
      <c r="AC29" s="1579">
        <f>D29/J29</f>
        <v>1</v>
      </c>
    </row>
    <row r="30" spans="1:29" s="1222" customFormat="1" ht="20.25">
      <c r="A30" s="579"/>
      <c r="B30" s="568"/>
      <c r="C30" s="581" t="s">
        <v>3099</v>
      </c>
      <c r="D30" s="559"/>
      <c r="E30" s="3183" t="s">
        <v>3099</v>
      </c>
      <c r="F30" s="557"/>
      <c r="G30" s="3183" t="s">
        <v>3099</v>
      </c>
      <c r="H30" s="557"/>
      <c r="I30" s="3183" t="s">
        <v>3099</v>
      </c>
      <c r="J30" s="557"/>
      <c r="K30" s="533"/>
      <c r="L30" s="2139"/>
      <c r="M30" s="2136"/>
      <c r="N30" s="2136"/>
      <c r="O30" s="2141"/>
      <c r="P30" s="3380"/>
      <c r="Q30" s="1153"/>
      <c r="R30" s="1571"/>
      <c r="S30" s="1572"/>
      <c r="T30" s="1571"/>
      <c r="U30" s="1572"/>
      <c r="V30" s="1571"/>
      <c r="W30" s="1572"/>
      <c r="X30" s="1573"/>
      <c r="Y30" s="3380"/>
      <c r="Z30" s="1152"/>
      <c r="AA30" s="1579">
        <v>1</v>
      </c>
      <c r="AB30" s="1579">
        <v>1</v>
      </c>
      <c r="AC30" s="1579">
        <v>1</v>
      </c>
    </row>
    <row r="31" spans="1:29" s="1222" customFormat="1" ht="20.25">
      <c r="A31" s="579"/>
      <c r="B31" s="2619" t="s">
        <v>2553</v>
      </c>
      <c r="C31" s="575" t="str">
        <f>估价对象房地状况!C22</f>
        <v>七通</v>
      </c>
      <c r="D31" s="565">
        <v>100</v>
      </c>
      <c r="E31" s="3495" t="str">
        <f>C31</f>
        <v>七通</v>
      </c>
      <c r="F31" s="561">
        <f>SUMIF(104:104,E32,105:105)-SUMIF(104:104,C32,105:105)+100</f>
        <v>100</v>
      </c>
      <c r="G31" s="3495" t="str">
        <f>E31</f>
        <v>七通</v>
      </c>
      <c r="H31" s="561">
        <f>SUMIF(104:104,G32,105:105)-SUMIF(104:104,C32,105:105)+100</f>
        <v>100</v>
      </c>
      <c r="I31" s="3495" t="str">
        <f>G31</f>
        <v>七通</v>
      </c>
      <c r="J31" s="561">
        <f>SUMIF(104:104,I32,105:105)-SUMIF(104:104,C32,105:105)+100</f>
        <v>100</v>
      </c>
      <c r="K31" s="537">
        <v>1</v>
      </c>
      <c r="L31" s="2139"/>
      <c r="M31" s="2136"/>
      <c r="N31" s="2136"/>
      <c r="O31" s="2141"/>
      <c r="P31" s="3380"/>
      <c r="Q31" s="2606" t="str">
        <f t="shared" ref="Q31" si="9">B31</f>
        <v>基础设施水平</v>
      </c>
      <c r="R31" s="1571" t="s">
        <v>8</v>
      </c>
      <c r="S31" s="1572">
        <f>F31</f>
        <v>100</v>
      </c>
      <c r="T31" s="1571" t="s">
        <v>8</v>
      </c>
      <c r="U31" s="1572">
        <f>H31</f>
        <v>100</v>
      </c>
      <c r="V31" s="1571" t="s">
        <v>8</v>
      </c>
      <c r="W31" s="1572">
        <f>J31</f>
        <v>100</v>
      </c>
      <c r="X31" s="1573"/>
      <c r="Y31" s="3380"/>
      <c r="Z31" s="2603" t="str">
        <f>Q31</f>
        <v>基础设施水平</v>
      </c>
      <c r="AA31" s="1579">
        <f>D31/F31</f>
        <v>1</v>
      </c>
      <c r="AB31" s="1579">
        <f>D31/H31</f>
        <v>1</v>
      </c>
      <c r="AC31" s="1579">
        <f>D31/J31</f>
        <v>1</v>
      </c>
    </row>
    <row r="32" spans="1:29" s="1222" customFormat="1" ht="20.25">
      <c r="A32" s="579"/>
      <c r="B32" s="568"/>
      <c r="C32" s="581" t="s">
        <v>3100</v>
      </c>
      <c r="D32" s="559"/>
      <c r="E32" s="3184" t="s">
        <v>3100</v>
      </c>
      <c r="F32" s="557"/>
      <c r="G32" s="3184" t="s">
        <v>3100</v>
      </c>
      <c r="H32" s="557"/>
      <c r="I32" s="3184" t="s">
        <v>3100</v>
      </c>
      <c r="J32" s="557"/>
      <c r="K32" s="533"/>
      <c r="L32" s="2139"/>
      <c r="M32" s="2136"/>
      <c r="N32" s="2136"/>
      <c r="O32" s="2141"/>
      <c r="P32" s="3380"/>
      <c r="Q32" s="2606"/>
      <c r="R32" s="1571"/>
      <c r="S32" s="1572"/>
      <c r="T32" s="1571"/>
      <c r="U32" s="1572"/>
      <c r="V32" s="1571"/>
      <c r="W32" s="1572"/>
      <c r="X32" s="1573"/>
      <c r="Y32" s="3380"/>
      <c r="Z32" s="2603"/>
      <c r="AA32" s="1579">
        <v>1</v>
      </c>
      <c r="AB32" s="1579">
        <v>1</v>
      </c>
      <c r="AC32" s="1579">
        <v>1</v>
      </c>
    </row>
    <row r="33" spans="1:29" ht="20.25">
      <c r="A33" s="534"/>
      <c r="B33" s="568" t="s">
        <v>548</v>
      </c>
      <c r="C33" s="582" t="s">
        <v>3101</v>
      </c>
      <c r="D33" s="577">
        <v>100</v>
      </c>
      <c r="E33" s="3185" t="s">
        <v>3127</v>
      </c>
      <c r="F33" s="542">
        <f>SUMIF(106:106,E33,107:107)-SUMIF(106:106,C33,107:107)+100</f>
        <v>98</v>
      </c>
      <c r="G33" s="3185" t="s">
        <v>3127</v>
      </c>
      <c r="H33" s="542">
        <f>SUMIF(106:106,G33,107:107)-SUMIF(106:106,C33,107:107)+100</f>
        <v>98</v>
      </c>
      <c r="I33" s="3185" t="s">
        <v>3127</v>
      </c>
      <c r="J33" s="542">
        <f>SUMIF(106:106,I33,107:107)-SUMIF(106:106,C33,107:107)+100</f>
        <v>98</v>
      </c>
      <c r="K33" s="537">
        <v>2</v>
      </c>
      <c r="L33" s="2146"/>
      <c r="M33" s="2136"/>
      <c r="N33" s="2136"/>
      <c r="O33" s="2145"/>
      <c r="P33" s="3380"/>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80"/>
      <c r="Z33" s="1578" t="str">
        <f t="shared" ref="Z33:Z47" si="13">Q33</f>
        <v>临街状况</v>
      </c>
      <c r="AA33" s="1579">
        <f t="shared" si="3"/>
        <v>1.0204081632653061</v>
      </c>
      <c r="AB33" s="1579">
        <f t="shared" si="4"/>
        <v>1.0204081632653061</v>
      </c>
      <c r="AC33" s="1579">
        <f t="shared" si="5"/>
        <v>1.0204081632653061</v>
      </c>
    </row>
    <row r="34" spans="1:29" ht="29.25" thickBot="1">
      <c r="A34" s="534"/>
      <c r="B34" s="580" t="s">
        <v>549</v>
      </c>
      <c r="C34" s="3495" t="str">
        <f>估价对象房地状况!C10</f>
        <v>城市次干道——东关大道</v>
      </c>
      <c r="D34" s="565">
        <v>100</v>
      </c>
      <c r="E34" s="3495" t="s">
        <v>3128</v>
      </c>
      <c r="F34" s="561">
        <f>SUMIF(108:108,E35,109:109)-SUMIF(108:108,C35,109:109)+100</f>
        <v>100</v>
      </c>
      <c r="G34" s="3495" t="s">
        <v>3128</v>
      </c>
      <c r="H34" s="561">
        <f>SUMIF(108:108,G35,109:109)-SUMIF(108:108,C35,109:109)+100</f>
        <v>100</v>
      </c>
      <c r="I34" s="3495" t="s">
        <v>3128</v>
      </c>
      <c r="J34" s="561">
        <f>SUMIF(108:108,I35,109:109)-SUMIF(108:108,C35,109:109)+100</f>
        <v>100</v>
      </c>
      <c r="K34" s="537">
        <v>1</v>
      </c>
      <c r="L34" s="2146"/>
      <c r="M34" s="2136"/>
      <c r="N34" s="2136"/>
      <c r="O34" s="2145"/>
      <c r="P34" s="3380"/>
      <c r="Q34" s="1575" t="str">
        <f t="shared" si="8"/>
        <v>毗邻道路的类型与等级</v>
      </c>
      <c r="R34" s="1576" t="s">
        <v>8</v>
      </c>
      <c r="S34" s="1577">
        <f t="shared" si="10"/>
        <v>100</v>
      </c>
      <c r="T34" s="1576" t="s">
        <v>8</v>
      </c>
      <c r="U34" s="1577">
        <f t="shared" si="11"/>
        <v>100</v>
      </c>
      <c r="V34" s="1576" t="s">
        <v>8</v>
      </c>
      <c r="W34" s="1577">
        <f t="shared" si="12"/>
        <v>100</v>
      </c>
      <c r="X34" s="1570"/>
      <c r="Y34" s="3380"/>
      <c r="Z34" s="1578" t="str">
        <f t="shared" si="13"/>
        <v>毗邻道路的类型与等级</v>
      </c>
      <c r="AA34" s="1579">
        <f t="shared" si="3"/>
        <v>1</v>
      </c>
      <c r="AB34" s="1579">
        <f t="shared" si="4"/>
        <v>1</v>
      </c>
      <c r="AC34" s="1579">
        <f t="shared" si="5"/>
        <v>1</v>
      </c>
    </row>
    <row r="35" spans="1:29" ht="20.25" hidden="1">
      <c r="A35" s="534"/>
      <c r="B35" s="568"/>
      <c r="C35" s="556" t="s">
        <v>3107</v>
      </c>
      <c r="D35" s="559"/>
      <c r="E35" s="556" t="s">
        <v>3107</v>
      </c>
      <c r="F35" s="557"/>
      <c r="G35" s="556" t="s">
        <v>3107</v>
      </c>
      <c r="H35" s="557"/>
      <c r="I35" s="556" t="s">
        <v>3107</v>
      </c>
      <c r="J35" s="557"/>
      <c r="K35" s="583"/>
      <c r="L35" s="2146"/>
      <c r="M35" s="2136"/>
      <c r="N35" s="2136"/>
      <c r="O35" s="2145"/>
      <c r="P35" s="3380"/>
      <c r="Q35" s="1575"/>
      <c r="R35" s="1576"/>
      <c r="S35" s="1577"/>
      <c r="T35" s="1576"/>
      <c r="U35" s="1577"/>
      <c r="V35" s="1576"/>
      <c r="W35" s="1577"/>
      <c r="X35" s="1570"/>
      <c r="Y35" s="3380"/>
      <c r="Z35" s="1578"/>
      <c r="AA35" s="1579">
        <v>1</v>
      </c>
      <c r="AB35" s="1579">
        <v>1</v>
      </c>
      <c r="AC35" s="1579">
        <v>1</v>
      </c>
    </row>
    <row r="36" spans="1:29" ht="20.25" hidden="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80"/>
      <c r="Q36" s="1575" t="str">
        <f t="shared" si="8"/>
        <v>土地级别</v>
      </c>
      <c r="R36" s="1576" t="s">
        <v>8</v>
      </c>
      <c r="S36" s="1577">
        <f t="shared" si="10"/>
        <v>100</v>
      </c>
      <c r="T36" s="1576" t="s">
        <v>8</v>
      </c>
      <c r="U36" s="1577">
        <f t="shared" si="11"/>
        <v>100</v>
      </c>
      <c r="V36" s="1576" t="s">
        <v>8</v>
      </c>
      <c r="W36" s="1577">
        <f t="shared" si="12"/>
        <v>100</v>
      </c>
      <c r="X36" s="1570"/>
      <c r="Y36" s="3380"/>
      <c r="Z36" s="1578" t="str">
        <f t="shared" si="13"/>
        <v>土地级别</v>
      </c>
      <c r="AA36" s="1579">
        <f t="shared" si="3"/>
        <v>1</v>
      </c>
      <c r="AB36" s="1579">
        <f t="shared" si="4"/>
        <v>1</v>
      </c>
      <c r="AC36" s="1579">
        <f t="shared" si="5"/>
        <v>1</v>
      </c>
    </row>
    <row r="37" spans="1:29" ht="20.25" hidden="1">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80"/>
      <c r="Q37" s="1575">
        <f t="shared" si="8"/>
        <v>111</v>
      </c>
      <c r="R37" s="1576" t="s">
        <v>8</v>
      </c>
      <c r="S37" s="1577">
        <f t="shared" si="10"/>
        <v>100</v>
      </c>
      <c r="T37" s="1576" t="s">
        <v>8</v>
      </c>
      <c r="U37" s="1577">
        <f t="shared" si="11"/>
        <v>100</v>
      </c>
      <c r="V37" s="1576" t="s">
        <v>8</v>
      </c>
      <c r="W37" s="1577">
        <f t="shared" si="12"/>
        <v>100</v>
      </c>
      <c r="X37" s="1570"/>
      <c r="Y37" s="3380"/>
      <c r="Z37" s="1578">
        <f t="shared" si="13"/>
        <v>111</v>
      </c>
      <c r="AA37" s="1579">
        <f t="shared" si="3"/>
        <v>1</v>
      </c>
      <c r="AB37" s="1579">
        <f t="shared" si="4"/>
        <v>1</v>
      </c>
      <c r="AC37" s="1579">
        <f t="shared" si="5"/>
        <v>1</v>
      </c>
    </row>
    <row r="38" spans="1:29" ht="20.25" hidden="1">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81" t="s">
        <v>551</v>
      </c>
      <c r="Q38" s="1575">
        <f t="shared" si="8"/>
        <v>111</v>
      </c>
      <c r="R38" s="1576" t="s">
        <v>8</v>
      </c>
      <c r="S38" s="1577">
        <f t="shared" si="10"/>
        <v>100</v>
      </c>
      <c r="T38" s="1576" t="s">
        <v>8</v>
      </c>
      <c r="U38" s="1577">
        <f t="shared" si="11"/>
        <v>100</v>
      </c>
      <c r="V38" s="1576" t="s">
        <v>8</v>
      </c>
      <c r="W38" s="1577">
        <f t="shared" si="12"/>
        <v>100</v>
      </c>
      <c r="X38" s="1570"/>
      <c r="Y38" s="3382" t="s">
        <v>551</v>
      </c>
      <c r="Z38" s="1578">
        <f t="shared" si="13"/>
        <v>111</v>
      </c>
      <c r="AA38" s="1579">
        <f t="shared" si="3"/>
        <v>1</v>
      </c>
      <c r="AB38" s="1579">
        <f t="shared" si="4"/>
        <v>1</v>
      </c>
      <c r="AC38" s="1579">
        <f t="shared" si="5"/>
        <v>1</v>
      </c>
    </row>
    <row r="39" spans="1:29" s="1341" customFormat="1" ht="21" hidden="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82"/>
      <c r="Q39" s="1575">
        <f t="shared" si="8"/>
        <v>111</v>
      </c>
      <c r="R39" s="1580" t="s">
        <v>8</v>
      </c>
      <c r="S39" s="1581">
        <f t="shared" si="10"/>
        <v>100</v>
      </c>
      <c r="T39" s="1580" t="s">
        <v>8</v>
      </c>
      <c r="U39" s="1581">
        <f t="shared" si="11"/>
        <v>100</v>
      </c>
      <c r="V39" s="1580" t="s">
        <v>8</v>
      </c>
      <c r="W39" s="1581">
        <f t="shared" si="12"/>
        <v>100</v>
      </c>
      <c r="X39" s="1582"/>
      <c r="Y39" s="3382"/>
      <c r="Z39" s="1583">
        <f t="shared" si="13"/>
        <v>111</v>
      </c>
      <c r="AA39" s="1579">
        <f t="shared" si="3"/>
        <v>1</v>
      </c>
      <c r="AB39" s="1579">
        <f t="shared" si="4"/>
        <v>1</v>
      </c>
      <c r="AC39" s="1579">
        <f t="shared" si="5"/>
        <v>1</v>
      </c>
    </row>
    <row r="40" spans="1:29" ht="20.25">
      <c r="A40" s="2937" t="s">
        <v>2761</v>
      </c>
      <c r="B40" s="597" t="s">
        <v>553</v>
      </c>
      <c r="C40" s="598">
        <f>'数据-汇总表'!D3</f>
        <v>9969.76</v>
      </c>
      <c r="D40" s="599">
        <v>100</v>
      </c>
      <c r="E40" s="598">
        <f>土地案例!F11</f>
        <v>17815</v>
      </c>
      <c r="F40" s="599">
        <f>LOOKUP(E40,119:119,120:120)-LOOKUP(C40,119:119,120:120)+100</f>
        <v>101</v>
      </c>
      <c r="G40" s="598">
        <f>土地案例!F14</f>
        <v>17064</v>
      </c>
      <c r="H40" s="599">
        <f>LOOKUP(G40,119:119,120:120)-LOOKUP(C40,119:119,120:120)+100</f>
        <v>101</v>
      </c>
      <c r="I40" s="600">
        <f>土地案例!F16</f>
        <v>17086</v>
      </c>
      <c r="J40" s="599">
        <f>LOOKUP(I40,119:119,120:120)-LOOKUP(C40,119:119,120:120)+100</f>
        <v>101</v>
      </c>
      <c r="K40" s="583"/>
      <c r="L40" s="2146"/>
      <c r="M40" s="2136"/>
      <c r="N40" s="2136"/>
      <c r="O40" s="2145"/>
      <c r="P40" s="3382"/>
      <c r="Q40" s="1575" t="str">
        <f>B40</f>
        <v>宗地面积</v>
      </c>
      <c r="R40" s="1576" t="s">
        <v>8</v>
      </c>
      <c r="S40" s="1577">
        <f t="shared" si="10"/>
        <v>101</v>
      </c>
      <c r="T40" s="1576" t="s">
        <v>8</v>
      </c>
      <c r="U40" s="1577">
        <f t="shared" si="11"/>
        <v>101</v>
      </c>
      <c r="V40" s="1576" t="s">
        <v>8</v>
      </c>
      <c r="W40" s="1577">
        <f t="shared" si="12"/>
        <v>101</v>
      </c>
      <c r="X40" s="1570"/>
      <c r="Y40" s="3382"/>
      <c r="Z40" s="1578" t="str">
        <f t="shared" si="13"/>
        <v>宗地面积</v>
      </c>
      <c r="AA40" s="1579">
        <f t="shared" si="3"/>
        <v>0.99009900990099009</v>
      </c>
      <c r="AB40" s="1579">
        <f t="shared" si="4"/>
        <v>0.99009900990099009</v>
      </c>
      <c r="AC40" s="1579">
        <f t="shared" si="5"/>
        <v>0.99009900990099009</v>
      </c>
    </row>
    <row r="41" spans="1:29" ht="20.25">
      <c r="A41" s="596"/>
      <c r="B41" s="529" t="s">
        <v>554</v>
      </c>
      <c r="C41" s="601" t="s">
        <v>3112</v>
      </c>
      <c r="D41" s="542">
        <v>100</v>
      </c>
      <c r="E41" s="3186" t="s">
        <v>3112</v>
      </c>
      <c r="F41" s="542">
        <f>SUMIF(121:121,E41,122:122)-SUMIF(121:121,C41,122:122)+100</f>
        <v>100</v>
      </c>
      <c r="G41" s="3186" t="s">
        <v>3112</v>
      </c>
      <c r="H41" s="542">
        <f>SUMIF(121:121,G41,122:122)-SUMIF(121:121,C41,122:122)+100</f>
        <v>100</v>
      </c>
      <c r="I41" s="3186" t="s">
        <v>3112</v>
      </c>
      <c r="J41" s="542">
        <f>SUMIF(121:121,I41,122:122)-SUMIF(121:121,C41,122:122)+100</f>
        <v>100</v>
      </c>
      <c r="K41" s="586">
        <v>3</v>
      </c>
      <c r="L41" s="2146"/>
      <c r="M41" s="2136"/>
      <c r="N41" s="2136"/>
      <c r="O41" s="2145"/>
      <c r="P41" s="3382"/>
      <c r="Q41" s="1575" t="str">
        <f t="shared" ref="Q41:Q47" si="14">B41</f>
        <v>宗地形状</v>
      </c>
      <c r="R41" s="1576" t="s">
        <v>8</v>
      </c>
      <c r="S41" s="1577">
        <f t="shared" si="10"/>
        <v>100</v>
      </c>
      <c r="T41" s="1576" t="s">
        <v>8</v>
      </c>
      <c r="U41" s="1577">
        <f t="shared" si="11"/>
        <v>100</v>
      </c>
      <c r="V41" s="1576" t="s">
        <v>8</v>
      </c>
      <c r="W41" s="1577">
        <f t="shared" si="12"/>
        <v>100</v>
      </c>
      <c r="X41" s="1570"/>
      <c r="Y41" s="3382"/>
      <c r="Z41" s="1578" t="str">
        <f t="shared" si="13"/>
        <v>宗地形状</v>
      </c>
      <c r="AA41" s="1579">
        <f t="shared" si="3"/>
        <v>1</v>
      </c>
      <c r="AB41" s="1579">
        <f t="shared" si="4"/>
        <v>1</v>
      </c>
      <c r="AC41" s="1579">
        <f t="shared" si="5"/>
        <v>1</v>
      </c>
    </row>
    <row r="42" spans="1:29" ht="20.25">
      <c r="A42" s="596"/>
      <c r="B42" s="529" t="s">
        <v>555</v>
      </c>
      <c r="C42" s="3186" t="s">
        <v>3129</v>
      </c>
      <c r="D42" s="542">
        <v>100</v>
      </c>
      <c r="E42" s="3186" t="s">
        <v>3129</v>
      </c>
      <c r="F42" s="542">
        <f>SUMIF(123:123,E42,124:124)-SUMIF(123:123,C42,124:124)+100</f>
        <v>100</v>
      </c>
      <c r="G42" s="3186" t="s">
        <v>3129</v>
      </c>
      <c r="H42" s="542">
        <f>SUMIF(123:123,G42,124:124)-SUMIF(123:123,C42,124:124)+100</f>
        <v>100</v>
      </c>
      <c r="I42" s="3186" t="s">
        <v>3129</v>
      </c>
      <c r="J42" s="542">
        <f>SUMIF(123:123,I42,124:124)-SUMIF(123:123,C42,124:124)+100</f>
        <v>100</v>
      </c>
      <c r="K42" s="586">
        <v>2</v>
      </c>
      <c r="L42" s="2146"/>
      <c r="M42" s="2136"/>
      <c r="N42" s="2136"/>
      <c r="O42" s="2145"/>
      <c r="P42" s="3382"/>
      <c r="Q42" s="1575" t="str">
        <f t="shared" si="14"/>
        <v>临街宽度及深度</v>
      </c>
      <c r="R42" s="1576" t="s">
        <v>8</v>
      </c>
      <c r="S42" s="1577">
        <f t="shared" si="10"/>
        <v>100</v>
      </c>
      <c r="T42" s="1576" t="s">
        <v>8</v>
      </c>
      <c r="U42" s="1577">
        <f t="shared" si="11"/>
        <v>100</v>
      </c>
      <c r="V42" s="1576" t="s">
        <v>8</v>
      </c>
      <c r="W42" s="1577">
        <f t="shared" si="12"/>
        <v>100</v>
      </c>
      <c r="X42" s="1570"/>
      <c r="Y42" s="3382"/>
      <c r="Z42" s="1578" t="str">
        <f t="shared" si="13"/>
        <v>临街宽度及深度</v>
      </c>
      <c r="AA42" s="1579">
        <f t="shared" si="3"/>
        <v>1</v>
      </c>
      <c r="AB42" s="1579">
        <f t="shared" si="4"/>
        <v>1</v>
      </c>
      <c r="AC42" s="1579">
        <f t="shared" si="5"/>
        <v>1</v>
      </c>
    </row>
    <row r="43" spans="1:29" s="1222" customFormat="1" ht="20.25">
      <c r="A43" s="602"/>
      <c r="B43" s="1899" t="s">
        <v>2426</v>
      </c>
      <c r="C43" s="3187" t="s">
        <v>3100</v>
      </c>
      <c r="D43" s="254">
        <v>100</v>
      </c>
      <c r="E43" s="3187" t="s">
        <v>3100</v>
      </c>
      <c r="F43" s="542">
        <f>SUMIF(125:125,E43,126:126)-SUMIF(125:125,C43,126:126)+100</f>
        <v>100</v>
      </c>
      <c r="G43" s="3187" t="s">
        <v>3100</v>
      </c>
      <c r="H43" s="542">
        <f>SUMIF(125:125,G43,126:126)-SUMIF(125:125,C43,126:126)+100</f>
        <v>100</v>
      </c>
      <c r="I43" s="3187" t="s">
        <v>3100</v>
      </c>
      <c r="J43" s="542">
        <f>SUMIF(125:125,I43,126:126)-SUMIF(125:125,C43,126:126)+100</f>
        <v>100</v>
      </c>
      <c r="K43" s="586">
        <v>2</v>
      </c>
      <c r="L43" s="2139"/>
      <c r="M43" s="2136"/>
      <c r="N43" s="2136"/>
      <c r="O43" s="2141"/>
      <c r="P43" s="3382"/>
      <c r="Q43" s="1575" t="str">
        <f t="shared" si="14"/>
        <v>宗地开发程度</v>
      </c>
      <c r="R43" s="1571" t="s">
        <v>8</v>
      </c>
      <c r="S43" s="1572">
        <f t="shared" si="10"/>
        <v>100</v>
      </c>
      <c r="T43" s="1571" t="s">
        <v>8</v>
      </c>
      <c r="U43" s="1572">
        <f t="shared" si="11"/>
        <v>100</v>
      </c>
      <c r="V43" s="1571" t="s">
        <v>8</v>
      </c>
      <c r="W43" s="1572">
        <f t="shared" si="12"/>
        <v>100</v>
      </c>
      <c r="X43" s="1573"/>
      <c r="Y43" s="3382"/>
      <c r="Z43" s="1152" t="str">
        <f t="shared" si="13"/>
        <v>宗地开发程度</v>
      </c>
      <c r="AA43" s="1574">
        <f t="shared" si="3"/>
        <v>1</v>
      </c>
      <c r="AB43" s="1574">
        <f t="shared" si="4"/>
        <v>1</v>
      </c>
      <c r="AC43" s="1574">
        <f t="shared" si="5"/>
        <v>1</v>
      </c>
    </row>
    <row r="44" spans="1:29" ht="21" thickBot="1">
      <c r="A44" s="596"/>
      <c r="B44" s="529" t="s">
        <v>556</v>
      </c>
      <c r="C44" s="3186" t="s">
        <v>3099</v>
      </c>
      <c r="D44" s="542">
        <v>100</v>
      </c>
      <c r="E44" s="3186" t="s">
        <v>3099</v>
      </c>
      <c r="F44" s="542">
        <f>SUMIF(127:127,E44,128:128)-SUMIF(127:127,C44,128:128)+100</f>
        <v>100</v>
      </c>
      <c r="G44" s="3186" t="s">
        <v>3099</v>
      </c>
      <c r="H44" s="542">
        <f>SUMIF(127:127,G44,128:128)-SUMIF(127:127,C44,128:128)+100</f>
        <v>100</v>
      </c>
      <c r="I44" s="3186" t="s">
        <v>3099</v>
      </c>
      <c r="J44" s="542">
        <f>SUMIF(127:127,I44,128:128)-SUMIF(127:127,C44,128:128)+100</f>
        <v>100</v>
      </c>
      <c r="K44" s="586">
        <v>2</v>
      </c>
      <c r="L44" s="2146"/>
      <c r="M44" s="2136"/>
      <c r="N44" s="2136"/>
      <c r="O44" s="2145"/>
      <c r="P44" s="3382" t="s">
        <v>551</v>
      </c>
      <c r="Q44" s="1575" t="str">
        <f t="shared" si="14"/>
        <v>工程地质条件</v>
      </c>
      <c r="R44" s="1576" t="s">
        <v>8</v>
      </c>
      <c r="S44" s="1577">
        <f t="shared" si="10"/>
        <v>100</v>
      </c>
      <c r="T44" s="1576" t="s">
        <v>8</v>
      </c>
      <c r="U44" s="1577">
        <f t="shared" si="11"/>
        <v>100</v>
      </c>
      <c r="V44" s="1576" t="s">
        <v>8</v>
      </c>
      <c r="W44" s="1577">
        <f t="shared" si="12"/>
        <v>100</v>
      </c>
      <c r="X44" s="1570"/>
      <c r="Y44" s="3382" t="s">
        <v>551</v>
      </c>
      <c r="Z44" s="1578" t="str">
        <f t="shared" si="13"/>
        <v>工程地质条件</v>
      </c>
      <c r="AA44" s="1579">
        <f t="shared" si="3"/>
        <v>1</v>
      </c>
      <c r="AB44" s="1579">
        <f t="shared" si="4"/>
        <v>1</v>
      </c>
      <c r="AC44" s="1579">
        <f t="shared" si="5"/>
        <v>1</v>
      </c>
    </row>
    <row r="45" spans="1:29" ht="20.25" hidden="1">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82"/>
      <c r="Q45" s="1575">
        <f t="shared" si="14"/>
        <v>111</v>
      </c>
      <c r="R45" s="1576" t="s">
        <v>8</v>
      </c>
      <c r="S45" s="1577">
        <f t="shared" si="10"/>
        <v>100</v>
      </c>
      <c r="T45" s="1576" t="s">
        <v>8</v>
      </c>
      <c r="U45" s="1577">
        <f t="shared" si="11"/>
        <v>100</v>
      </c>
      <c r="V45" s="1576" t="s">
        <v>8</v>
      </c>
      <c r="W45" s="1577">
        <f t="shared" si="12"/>
        <v>100</v>
      </c>
      <c r="X45" s="1570"/>
      <c r="Y45" s="3382"/>
      <c r="Z45" s="1578">
        <f t="shared" si="13"/>
        <v>111</v>
      </c>
      <c r="AA45" s="1579">
        <f t="shared" si="3"/>
        <v>1</v>
      </c>
      <c r="AB45" s="1579">
        <f t="shared" si="4"/>
        <v>1</v>
      </c>
      <c r="AC45" s="1579">
        <f t="shared" si="5"/>
        <v>1</v>
      </c>
    </row>
    <row r="46" spans="1:29" ht="20.25" hidden="1">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82"/>
      <c r="Q46" s="1575">
        <f t="shared" si="14"/>
        <v>111</v>
      </c>
      <c r="R46" s="1576" t="s">
        <v>8</v>
      </c>
      <c r="S46" s="1577">
        <f t="shared" si="10"/>
        <v>100</v>
      </c>
      <c r="T46" s="1576" t="s">
        <v>8</v>
      </c>
      <c r="U46" s="1577">
        <f t="shared" si="11"/>
        <v>100</v>
      </c>
      <c r="V46" s="1576" t="s">
        <v>8</v>
      </c>
      <c r="W46" s="1577">
        <f t="shared" si="12"/>
        <v>100</v>
      </c>
      <c r="X46" s="1570"/>
      <c r="Y46" s="3382"/>
      <c r="Z46" s="1578">
        <f t="shared" si="13"/>
        <v>111</v>
      </c>
      <c r="AA46" s="1579">
        <f t="shared" si="3"/>
        <v>1</v>
      </c>
      <c r="AB46" s="1579">
        <f t="shared" si="4"/>
        <v>1</v>
      </c>
      <c r="AC46" s="1579">
        <f t="shared" si="5"/>
        <v>1</v>
      </c>
    </row>
    <row r="47" spans="1:29" s="1341" customFormat="1" ht="21" hidden="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82"/>
      <c r="Q47" s="1575">
        <f t="shared" si="14"/>
        <v>111</v>
      </c>
      <c r="R47" s="1580" t="s">
        <v>8</v>
      </c>
      <c r="S47" s="1581">
        <f t="shared" si="10"/>
        <v>100</v>
      </c>
      <c r="T47" s="1580" t="s">
        <v>8</v>
      </c>
      <c r="U47" s="1581">
        <f t="shared" si="11"/>
        <v>100</v>
      </c>
      <c r="V47" s="1580" t="s">
        <v>8</v>
      </c>
      <c r="W47" s="1581">
        <f t="shared" si="12"/>
        <v>100</v>
      </c>
      <c r="X47" s="1582"/>
      <c r="Y47" s="3382"/>
      <c r="Z47" s="1583">
        <f t="shared" si="13"/>
        <v>111</v>
      </c>
      <c r="AA47" s="1579">
        <f t="shared" si="3"/>
        <v>1</v>
      </c>
      <c r="AB47" s="1579">
        <f t="shared" si="4"/>
        <v>1</v>
      </c>
      <c r="AC47" s="1579">
        <f t="shared" si="5"/>
        <v>1</v>
      </c>
    </row>
    <row r="48" spans="1:29" ht="20.25">
      <c r="A48" s="609" t="s">
        <v>557</v>
      </c>
      <c r="B48" s="610" t="s">
        <v>3126</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77" t="str">
        <f>A48</f>
        <v>成交单价</v>
      </c>
      <c r="Q48" s="3377"/>
      <c r="R48" s="3391">
        <f>E48</f>
        <v>13371</v>
      </c>
      <c r="S48" s="3391"/>
      <c r="T48" s="3391">
        <f>G48</f>
        <v>13016</v>
      </c>
      <c r="U48" s="3391"/>
      <c r="V48" s="3391">
        <f>I48</f>
        <v>12600</v>
      </c>
      <c r="W48" s="3391"/>
      <c r="X48" s="1562"/>
      <c r="Y48" s="1584"/>
      <c r="Z48" s="1562"/>
      <c r="AA48" s="1562"/>
      <c r="AB48" s="1562"/>
      <c r="AC48" s="1562"/>
    </row>
    <row r="49" spans="1:29" ht="21" thickBot="1">
      <c r="A49" s="617" t="s">
        <v>2699</v>
      </c>
      <c r="B49" s="618"/>
      <c r="C49" s="619">
        <f>R50</f>
        <v>13202</v>
      </c>
      <c r="D49" s="620"/>
      <c r="E49" s="619">
        <f>R49</f>
        <v>13560</v>
      </c>
      <c r="F49" s="621"/>
      <c r="G49" s="622">
        <f>T49</f>
        <v>13200</v>
      </c>
      <c r="H49" s="620"/>
      <c r="I49" s="619">
        <f>V49</f>
        <v>12847</v>
      </c>
      <c r="J49" s="620"/>
      <c r="K49" s="1343"/>
      <c r="L49" s="2148"/>
      <c r="M49" s="2136"/>
      <c r="N49" s="2136"/>
      <c r="O49" s="2149"/>
      <c r="P49" s="3377" t="str">
        <f>A49</f>
        <v>比较价格（元/平方米）</v>
      </c>
      <c r="Q49" s="3377"/>
      <c r="R49" s="3401">
        <f>ROUND(PRODUCT(R48,AA9:AA47),0)</f>
        <v>13560</v>
      </c>
      <c r="S49" s="3401"/>
      <c r="T49" s="3401">
        <f>ROUND(PRODUCT(T48,AB9:AB47),0)</f>
        <v>13200</v>
      </c>
      <c r="U49" s="3401"/>
      <c r="V49" s="3401">
        <f>ROUND(PRODUCT(V48,AC9:AC47),0)</f>
        <v>12847</v>
      </c>
      <c r="W49" s="3401"/>
      <c r="X49" s="1562"/>
      <c r="Y49" s="1562"/>
      <c r="Z49" s="1562"/>
      <c r="AA49" s="1562"/>
      <c r="AB49" s="1562"/>
      <c r="AC49" s="1562"/>
    </row>
    <row r="50" spans="1:29" ht="21" thickBot="1">
      <c r="A50" s="623" t="s">
        <v>2938</v>
      </c>
      <c r="B50" s="624"/>
      <c r="C50" s="625">
        <f>R50</f>
        <v>13202</v>
      </c>
      <c r="D50" s="625"/>
      <c r="E50" s="625"/>
      <c r="F50" s="625"/>
      <c r="G50" s="625"/>
      <c r="H50" s="625"/>
      <c r="I50" s="625"/>
      <c r="J50" s="625"/>
      <c r="K50" s="1344"/>
      <c r="L50" s="2148"/>
      <c r="M50" s="2136"/>
      <c r="N50" s="2136"/>
      <c r="O50" s="2149"/>
      <c r="P50" s="3398" t="str">
        <f>A50</f>
        <v>估价对象XX用房的比较价格（楼面单价，元/平方米）</v>
      </c>
      <c r="Q50" s="3399"/>
      <c r="R50" s="3400">
        <f>ROUND(AVERAGE(R49:V49),0)</f>
        <v>13202</v>
      </c>
      <c r="S50" s="3400"/>
      <c r="T50" s="3400"/>
      <c r="U50" s="3400"/>
      <c r="V50" s="3400"/>
      <c r="W50" s="3400"/>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f>IF(E48&lt;E49,E49/E48-1,E48/E49-1)</f>
        <v>1.4135068431680553E-2</v>
      </c>
      <c r="F53" s="629" t="str">
        <f>IF(OR(E53&gt;=0.3,E53&lt;=-0.3),"超过30%","")</f>
        <v/>
      </c>
      <c r="G53" s="628">
        <f>IF(G48&lt;G49,G49/G48-1,G48/G49-1)</f>
        <v>1.4136447449293099E-2</v>
      </c>
      <c r="H53" s="629" t="str">
        <f>IF(OR(G53&gt;=0.3,G53&lt;=-0.3),"超过30%","")</f>
        <v/>
      </c>
      <c r="I53" s="628">
        <f>IF(I48&lt;I49,I49/I48-1,I48/I49-1)</f>
        <v>1.9603174603174622E-2</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f>IF(E49&lt;G49,G49/E49-1,E49/G49-1)</f>
        <v>2.7272727272727337E-2</v>
      </c>
      <c r="F54" s="629" t="str">
        <f>IF(OR(E54&gt;=0.2,E54&lt;=-0.2),"超过20%","")</f>
        <v/>
      </c>
      <c r="G54" s="628">
        <f>IF(G49&lt;I49,I49/G49-1,G49/I49-1)</f>
        <v>2.7477232038608301E-2</v>
      </c>
      <c r="H54" s="629" t="str">
        <f>IF(OR(G54&gt;=0.2,G54&lt;=-0.2),"超过20%","")</f>
        <v/>
      </c>
      <c r="I54" s="628">
        <f>IF(I49&lt;E49,E49/I49-1,I49/E49-1)</f>
        <v>5.5499338366933992E-2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561</v>
      </c>
      <c r="B57" s="632" t="s">
        <v>562</v>
      </c>
      <c r="C57" s="1563" t="s">
        <v>1723</v>
      </c>
      <c r="D57" s="2231" t="s">
        <v>2294</v>
      </c>
      <c r="E57" s="633" t="s">
        <v>563</v>
      </c>
      <c r="F57" s="634" t="s">
        <v>564</v>
      </c>
      <c r="G57" s="3361" t="s">
        <v>2282</v>
      </c>
      <c r="H57" s="3362"/>
      <c r="I57" s="1558" t="s">
        <v>1721</v>
      </c>
      <c r="J57" s="1558">
        <f>项目基本情况!F41</f>
        <v>0</v>
      </c>
      <c r="K57" s="2158" t="s">
        <v>1722</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565</v>
      </c>
      <c r="B58" s="636">
        <f>C50</f>
        <v>13202</v>
      </c>
      <c r="C58" s="637">
        <v>1</v>
      </c>
      <c r="D58" s="2232">
        <v>1</v>
      </c>
      <c r="E58" s="637">
        <f>'数据-汇总表'!E8+'数据-汇总表'!E9</f>
        <v>107988.02</v>
      </c>
      <c r="F58" s="638">
        <f t="shared" ref="F58:F67" si="15">ROUND(B58*E58/10000,0)</f>
        <v>142566</v>
      </c>
      <c r="G58" s="3363"/>
      <c r="H58" s="3364"/>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566</v>
      </c>
      <c r="B59" s="640">
        <f>ROUND($C$50*C59*D59,0)</f>
        <v>2310</v>
      </c>
      <c r="C59" s="380">
        <f t="shared" ref="C59:C67" si="16">IF($C$57="北京市系数",I59,J59)</f>
        <v>0.7</v>
      </c>
      <c r="D59" s="2233">
        <v>0.25</v>
      </c>
      <c r="E59" s="641">
        <f>'数据-汇总表'!G20</f>
        <v>3365.76</v>
      </c>
      <c r="F59" s="638">
        <f t="shared" si="15"/>
        <v>777</v>
      </c>
      <c r="G59" s="3365" t="s">
        <v>2283</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567</v>
      </c>
      <c r="B60" s="640">
        <f t="shared" ref="B60:B67" si="17">ROUND($C$50*C60*D60,0)</f>
        <v>1320</v>
      </c>
      <c r="C60" s="380">
        <f t="shared" si="16"/>
        <v>0.4</v>
      </c>
      <c r="D60" s="2233">
        <v>0.25</v>
      </c>
      <c r="E60" s="641">
        <v>0</v>
      </c>
      <c r="F60" s="638">
        <f t="shared" si="15"/>
        <v>0</v>
      </c>
      <c r="G60" s="3365"/>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568</v>
      </c>
      <c r="B61" s="640">
        <f t="shared" si="17"/>
        <v>924</v>
      </c>
      <c r="C61" s="380">
        <f t="shared" si="16"/>
        <v>0.28000000000000003</v>
      </c>
      <c r="D61" s="2233">
        <v>0.25</v>
      </c>
      <c r="E61" s="641">
        <v>0</v>
      </c>
      <c r="F61" s="638">
        <f t="shared" si="15"/>
        <v>0</v>
      </c>
      <c r="G61" s="3365"/>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569</v>
      </c>
      <c r="B62" s="640">
        <f t="shared" si="17"/>
        <v>825</v>
      </c>
      <c r="C62" s="380">
        <f t="shared" si="16"/>
        <v>0.25</v>
      </c>
      <c r="D62" s="2233">
        <v>0.25</v>
      </c>
      <c r="E62" s="641">
        <v>0</v>
      </c>
      <c r="F62" s="638">
        <f t="shared" si="15"/>
        <v>0</v>
      </c>
      <c r="G62" s="3365"/>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2329</v>
      </c>
      <c r="B63" s="640">
        <f t="shared" si="17"/>
        <v>825</v>
      </c>
      <c r="C63" s="380">
        <f t="shared" si="16"/>
        <v>0.25</v>
      </c>
      <c r="D63" s="2233">
        <v>0.25</v>
      </c>
      <c r="E63" s="643">
        <f>'数据-汇总表'!E11</f>
        <v>0</v>
      </c>
      <c r="F63" s="638">
        <f t="shared" si="15"/>
        <v>0</v>
      </c>
      <c r="G63" s="1949" t="s">
        <v>2284</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570</v>
      </c>
      <c r="B64" s="640">
        <f t="shared" si="17"/>
        <v>825</v>
      </c>
      <c r="C64" s="380">
        <f t="shared" si="16"/>
        <v>0.25</v>
      </c>
      <c r="D64" s="2233">
        <v>0.25</v>
      </c>
      <c r="E64" s="643">
        <f>'数据-汇总表'!E12</f>
        <v>0</v>
      </c>
      <c r="F64" s="638">
        <f t="shared" si="15"/>
        <v>0</v>
      </c>
      <c r="G64" s="1950" t="s">
        <v>1679</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571</v>
      </c>
      <c r="B65" s="640">
        <f t="shared" si="17"/>
        <v>0</v>
      </c>
      <c r="C65" s="380">
        <f t="shared" si="16"/>
        <v>0</v>
      </c>
      <c r="D65" s="2233">
        <v>0.25</v>
      </c>
      <c r="E65" s="643">
        <f>'数据-汇总表'!E13</f>
        <v>0</v>
      </c>
      <c r="F65" s="638">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572</v>
      </c>
      <c r="B66" s="640">
        <f t="shared" si="17"/>
        <v>660</v>
      </c>
      <c r="C66" s="380">
        <f t="shared" si="16"/>
        <v>0.2</v>
      </c>
      <c r="D66" s="2233">
        <v>0.25</v>
      </c>
      <c r="E66" s="643">
        <f>'数据-汇总表'!E14</f>
        <v>0</v>
      </c>
      <c r="F66" s="638">
        <f t="shared" si="15"/>
        <v>0</v>
      </c>
      <c r="G66" s="1949" t="s">
        <v>2283</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573</v>
      </c>
      <c r="B67" s="640">
        <f t="shared" si="17"/>
        <v>660</v>
      </c>
      <c r="C67" s="380">
        <f t="shared" si="16"/>
        <v>0.2</v>
      </c>
      <c r="D67" s="2233">
        <v>0.25</v>
      </c>
      <c r="E67" s="643">
        <f>'数据-汇总表'!E15</f>
        <v>7289.2300000000014</v>
      </c>
      <c r="F67" s="638">
        <f t="shared" si="15"/>
        <v>481</v>
      </c>
      <c r="G67" s="1951" t="s">
        <v>2284</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574</v>
      </c>
      <c r="B68" s="645" t="s">
        <v>17</v>
      </c>
      <c r="C68" s="645" t="s">
        <v>18</v>
      </c>
      <c r="D68" s="645" t="s">
        <v>2295</v>
      </c>
      <c r="E68" s="645">
        <f>IF(B48="楼面地价",SUM(E58:E67),'数据-汇总表'!D3)</f>
        <v>118643.01</v>
      </c>
      <c r="F68" s="646">
        <f>IF(B48="楼面地价",SUM(F58:F67),ROUND(C50*E68/10000,0))</f>
        <v>143824</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2536</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0" t="str">
        <f t="shared" si="24"/>
        <v>2014-4</v>
      </c>
      <c r="P72" s="3180" t="str">
        <f t="shared" si="24"/>
        <v>2014-3</v>
      </c>
      <c r="Q72" s="3180" t="str">
        <f t="shared" si="24"/>
        <v>2014-2</v>
      </c>
      <c r="R72" s="3180" t="str">
        <f t="shared" si="24"/>
        <v>2014-1</v>
      </c>
      <c r="S72" s="3180" t="str">
        <f t="shared" si="24"/>
        <v>2013-4</v>
      </c>
      <c r="T72" s="2165"/>
      <c r="U72" s="2165"/>
      <c r="V72" s="2165"/>
      <c r="W72" s="2165"/>
      <c r="X72" s="2165"/>
      <c r="Y72" s="2165"/>
      <c r="Z72" s="2165"/>
      <c r="AA72" s="2165"/>
      <c r="AB72" s="2165"/>
      <c r="AC72" s="2165"/>
    </row>
    <row r="73" spans="1:29" s="1222" customFormat="1" ht="27" customHeight="1">
      <c r="A73" s="2836" t="s">
        <v>2653</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2652</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532</v>
      </c>
      <c r="B75" s="650"/>
      <c r="C75" s="662" t="s">
        <v>577</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578</v>
      </c>
      <c r="B77" s="667" t="s">
        <v>535</v>
      </c>
      <c r="C77" s="3181" t="s">
        <v>3094</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538</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539</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540</v>
      </c>
      <c r="B90" s="667" t="s">
        <v>579</v>
      </c>
      <c r="C90" s="705" t="s">
        <v>580</v>
      </c>
      <c r="D90" s="705" t="s">
        <v>581</v>
      </c>
      <c r="E90" s="705" t="s">
        <v>582</v>
      </c>
      <c r="F90" s="705" t="s">
        <v>583</v>
      </c>
      <c r="G90" s="705" t="s">
        <v>584</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585</v>
      </c>
      <c r="C92" s="710" t="s">
        <v>580</v>
      </c>
      <c r="D92" s="710" t="s">
        <v>581</v>
      </c>
      <c r="E92" s="710" t="s">
        <v>582</v>
      </c>
      <c r="F92" s="710" t="s">
        <v>583</v>
      </c>
      <c r="G92" s="710" t="s">
        <v>584</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586</v>
      </c>
      <c r="C94" s="710" t="s">
        <v>580</v>
      </c>
      <c r="D94" s="710" t="s">
        <v>581</v>
      </c>
      <c r="E94" s="710" t="s">
        <v>582</v>
      </c>
      <c r="F94" s="710" t="s">
        <v>583</v>
      </c>
      <c r="G94" s="710" t="s">
        <v>584</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587</v>
      </c>
      <c r="C96" s="710" t="s">
        <v>580</v>
      </c>
      <c r="D96" s="710" t="s">
        <v>581</v>
      </c>
      <c r="E96" s="710" t="s">
        <v>582</v>
      </c>
      <c r="F96" s="710" t="s">
        <v>583</v>
      </c>
      <c r="G96" s="710" t="s">
        <v>584</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2552</v>
      </c>
      <c r="C102" s="705" t="s">
        <v>580</v>
      </c>
      <c r="D102" s="705" t="s">
        <v>581</v>
      </c>
      <c r="E102" s="705" t="s">
        <v>582</v>
      </c>
      <c r="F102" s="705" t="s">
        <v>583</v>
      </c>
      <c r="G102" s="705" t="s">
        <v>584</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2554</v>
      </c>
      <c r="C104" s="2626" t="s">
        <v>2555</v>
      </c>
      <c r="D104" s="2626" t="s">
        <v>2556</v>
      </c>
      <c r="E104" s="2626" t="s">
        <v>2557</v>
      </c>
      <c r="F104" s="2626" t="s">
        <v>2558</v>
      </c>
      <c r="G104" s="2626" t="s">
        <v>2559</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549</v>
      </c>
      <c r="C108" s="690" t="s">
        <v>3102</v>
      </c>
      <c r="D108" s="690" t="s">
        <v>3103</v>
      </c>
      <c r="E108" s="690" t="s">
        <v>3104</v>
      </c>
      <c r="F108" s="690" t="s">
        <v>3105</v>
      </c>
      <c r="G108" s="690" t="s">
        <v>3106</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550</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552</v>
      </c>
      <c r="B118" s="667" t="s">
        <v>594</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1" t="str">
        <f t="shared" si="30"/>
        <v>(含)-</v>
      </c>
      <c r="K118" s="3121" t="str">
        <f t="shared" si="30"/>
        <v>(含)-</v>
      </c>
      <c r="L118" s="3122" t="str">
        <f t="shared" si="30"/>
        <v>(含)-</v>
      </c>
      <c r="M118" s="3123"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595</v>
      </c>
      <c r="C121" s="720" t="s">
        <v>3108</v>
      </c>
      <c r="D121" s="720" t="s">
        <v>3109</v>
      </c>
      <c r="E121" s="720" t="s">
        <v>3110</v>
      </c>
      <c r="F121" s="720" t="s">
        <v>3111</v>
      </c>
      <c r="G121" s="3182"/>
      <c r="H121" s="3182"/>
      <c r="I121" s="3182"/>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596</v>
      </c>
      <c r="C123" s="690" t="s">
        <v>3113</v>
      </c>
      <c r="D123" s="690" t="s">
        <v>3114</v>
      </c>
      <c r="E123" s="690" t="s">
        <v>3115</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2427</v>
      </c>
      <c r="C125" s="690" t="s">
        <v>3116</v>
      </c>
      <c r="D125" s="690" t="s">
        <v>3117</v>
      </c>
      <c r="E125" s="690" t="s">
        <v>3118</v>
      </c>
      <c r="F125" s="690" t="s">
        <v>3119</v>
      </c>
      <c r="G125" s="690" t="s">
        <v>3120</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597</v>
      </c>
      <c r="C127" s="690" t="s">
        <v>3121</v>
      </c>
      <c r="D127" s="690" t="s">
        <v>3122</v>
      </c>
      <c r="E127" s="720" t="s">
        <v>3123</v>
      </c>
      <c r="F127" s="720" t="s">
        <v>3124</v>
      </c>
      <c r="G127" s="720" t="s">
        <v>3125</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1684</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521</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522</v>
      </c>
      <c r="B6" s="515"/>
      <c r="C6" s="3383" t="s">
        <v>523</v>
      </c>
      <c r="D6" s="3384"/>
      <c r="E6" s="3407" t="s">
        <v>524</v>
      </c>
      <c r="F6" s="3408"/>
      <c r="G6" s="3383" t="s">
        <v>525</v>
      </c>
      <c r="H6" s="3384"/>
      <c r="I6" s="3383" t="s">
        <v>526</v>
      </c>
      <c r="J6" s="3384"/>
      <c r="K6" s="516" t="s">
        <v>527</v>
      </c>
      <c r="L6" s="2137"/>
      <c r="M6" s="2138"/>
      <c r="N6" s="2138"/>
      <c r="O6" s="2138"/>
      <c r="P6" s="3385" t="s">
        <v>528</v>
      </c>
      <c r="Q6" s="3386"/>
      <c r="R6" s="3371" t="s">
        <v>524</v>
      </c>
      <c r="S6" s="3372"/>
      <c r="T6" s="3371" t="s">
        <v>525</v>
      </c>
      <c r="U6" s="3372"/>
      <c r="V6" s="3391" t="s">
        <v>526</v>
      </c>
      <c r="W6" s="3391"/>
      <c r="X6" s="1570"/>
      <c r="Y6" s="3371" t="s">
        <v>528</v>
      </c>
      <c r="Z6" s="3372"/>
      <c r="AA6" s="3366" t="s">
        <v>524</v>
      </c>
      <c r="AB6" s="3367" t="s">
        <v>525</v>
      </c>
      <c r="AC6" s="3366" t="s">
        <v>526</v>
      </c>
    </row>
    <row r="7" spans="1:29" ht="15">
      <c r="A7" s="517"/>
      <c r="B7" s="518"/>
      <c r="C7" s="3394" t="s">
        <v>2932</v>
      </c>
      <c r="D7" s="3395"/>
      <c r="E7" s="3409" t="s">
        <v>2933</v>
      </c>
      <c r="F7" s="3410"/>
      <c r="G7" s="3394" t="s">
        <v>2934</v>
      </c>
      <c r="H7" s="3395"/>
      <c r="I7" s="3394" t="s">
        <v>2935</v>
      </c>
      <c r="J7" s="3395"/>
      <c r="K7" s="516"/>
      <c r="L7" s="2137"/>
      <c r="M7" s="2138"/>
      <c r="N7" s="2138"/>
      <c r="O7" s="2138"/>
      <c r="P7" s="3387"/>
      <c r="Q7" s="3388"/>
      <c r="R7" s="3373"/>
      <c r="S7" s="3374"/>
      <c r="T7" s="3373"/>
      <c r="U7" s="3374"/>
      <c r="V7" s="3391"/>
      <c r="W7" s="3391"/>
      <c r="X7" s="1570"/>
      <c r="Y7" s="3373"/>
      <c r="Z7" s="3374"/>
      <c r="AA7" s="3367"/>
      <c r="AB7" s="3367"/>
      <c r="AC7" s="3367"/>
    </row>
    <row r="8" spans="1:29" ht="15.75" thickBot="1">
      <c r="A8" s="519"/>
      <c r="B8" s="520"/>
      <c r="C8" s="3392" t="s">
        <v>2936</v>
      </c>
      <c r="D8" s="3393"/>
      <c r="E8" s="3411" t="s">
        <v>2936</v>
      </c>
      <c r="F8" s="3412"/>
      <c r="G8" s="3392" t="s">
        <v>2936</v>
      </c>
      <c r="H8" s="3393"/>
      <c r="I8" s="3392" t="s">
        <v>2936</v>
      </c>
      <c r="J8" s="3393"/>
      <c r="K8" s="516" t="s">
        <v>529</v>
      </c>
      <c r="L8" s="2137"/>
      <c r="M8" s="2138"/>
      <c r="N8" s="2138"/>
      <c r="O8" s="2138"/>
      <c r="P8" s="3389"/>
      <c r="Q8" s="3390"/>
      <c r="R8" s="3373"/>
      <c r="S8" s="3374"/>
      <c r="T8" s="3375"/>
      <c r="U8" s="3376"/>
      <c r="V8" s="3391"/>
      <c r="W8" s="3391"/>
      <c r="X8" s="1570"/>
      <c r="Y8" s="3375"/>
      <c r="Z8" s="3376"/>
      <c r="AA8" s="3368"/>
      <c r="AB8" s="3368"/>
      <c r="AC8" s="3368"/>
    </row>
    <row r="9" spans="1:29" s="1222" customFormat="1" ht="15.75" thickBot="1">
      <c r="A9" s="2942"/>
      <c r="B9" s="2949" t="s">
        <v>530</v>
      </c>
      <c r="C9" s="521">
        <f>'数据-取费表'!B2</f>
        <v>43035</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69" t="s">
        <v>531</v>
      </c>
      <c r="Q9" s="3378"/>
      <c r="R9" s="1571" t="s">
        <v>8</v>
      </c>
      <c r="S9" s="1572">
        <f t="shared" ref="S9:S17" si="0">F9</f>
        <v>0</v>
      </c>
      <c r="T9" s="1571" t="s">
        <v>8</v>
      </c>
      <c r="U9" s="1572">
        <f t="shared" ref="U9:U17" si="1">H9</f>
        <v>0</v>
      </c>
      <c r="V9" s="1571" t="s">
        <v>8</v>
      </c>
      <c r="W9" s="1572">
        <f t="shared" ref="W9:W17" si="2">J9</f>
        <v>0</v>
      </c>
      <c r="X9" s="1573"/>
      <c r="Y9" s="3369" t="s">
        <v>531</v>
      </c>
      <c r="Z9" s="3370"/>
      <c r="AA9" s="1574" t="e">
        <f>D9/F9</f>
        <v>#DIV/0!</v>
      </c>
      <c r="AB9" s="1574" t="e">
        <f>D9/H9</f>
        <v>#DIV/0!</v>
      </c>
      <c r="AC9" s="1574" t="e">
        <f>D9/J9</f>
        <v>#DIV/0!</v>
      </c>
    </row>
    <row r="10" spans="1:29" s="1222" customFormat="1" ht="15.75" thickBot="1">
      <c r="A10" s="2943"/>
      <c r="B10" s="2950"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69" t="s">
        <v>534</v>
      </c>
      <c r="Q10" s="3370"/>
      <c r="R10" s="1571" t="s">
        <v>8</v>
      </c>
      <c r="S10" s="1572">
        <f t="shared" si="0"/>
        <v>0</v>
      </c>
      <c r="T10" s="1571" t="s">
        <v>8</v>
      </c>
      <c r="U10" s="1572">
        <f t="shared" si="1"/>
        <v>0</v>
      </c>
      <c r="V10" s="1571" t="s">
        <v>8</v>
      </c>
      <c r="W10" s="1572">
        <f t="shared" si="2"/>
        <v>0</v>
      </c>
      <c r="X10" s="1573"/>
      <c r="Y10" s="3369" t="s">
        <v>534</v>
      </c>
      <c r="Z10" s="3370"/>
      <c r="AA10" s="1574" t="e">
        <f t="shared" ref="AA10:AA42" si="3">D10/F10</f>
        <v>#DIV/0!</v>
      </c>
      <c r="AB10" s="1574" t="e">
        <f t="shared" ref="AB10:AB42" si="4">D10/H10</f>
        <v>#DIV/0!</v>
      </c>
      <c r="AC10" s="1574" t="e">
        <f t="shared" ref="AC10:AC42" si="5">D10/J10</f>
        <v>#DIV/0!</v>
      </c>
    </row>
    <row r="11" spans="1:29" s="1222" customFormat="1" ht="15">
      <c r="A11" s="2944"/>
      <c r="B11" s="2951" t="s">
        <v>2762</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77" t="s">
        <v>536</v>
      </c>
      <c r="Q11" s="1153" t="str">
        <f t="shared" ref="Q11:Q17" si="6">B11</f>
        <v>用途</v>
      </c>
      <c r="R11" s="1571" t="s">
        <v>8</v>
      </c>
      <c r="S11" s="1572">
        <f t="shared" si="0"/>
        <v>100</v>
      </c>
      <c r="T11" s="1571" t="s">
        <v>8</v>
      </c>
      <c r="U11" s="1572">
        <f t="shared" si="1"/>
        <v>100</v>
      </c>
      <c r="V11" s="1571" t="s">
        <v>8</v>
      </c>
      <c r="W11" s="1572">
        <f t="shared" si="2"/>
        <v>100</v>
      </c>
      <c r="X11" s="1573"/>
      <c r="Y11" s="3334" t="s">
        <v>537</v>
      </c>
      <c r="Z11" s="1152" t="str">
        <f t="shared" ref="Z11:Z17" si="7">Q11</f>
        <v>用途</v>
      </c>
      <c r="AA11" s="1574">
        <f t="shared" si="3"/>
        <v>1</v>
      </c>
      <c r="AB11" s="1574">
        <f t="shared" si="4"/>
        <v>1</v>
      </c>
      <c r="AC11" s="1574">
        <f t="shared" si="5"/>
        <v>1</v>
      </c>
    </row>
    <row r="12" spans="1:29" s="1340" customFormat="1" ht="27">
      <c r="A12" s="2945"/>
      <c r="B12" s="2950" t="s">
        <v>2763</v>
      </c>
      <c r="C12" s="530"/>
      <c r="D12" s="254">
        <v>100</v>
      </c>
      <c r="E12" s="530"/>
      <c r="F12" s="254">
        <f>ROUND(100/'数据-取费表'!G16,0)</f>
        <v>103</v>
      </c>
      <c r="G12" s="530"/>
      <c r="H12" s="254">
        <f>ROUND(100/'数据-取费表'!G16,0)</f>
        <v>103</v>
      </c>
      <c r="I12" s="530"/>
      <c r="J12" s="254">
        <f>ROUND(100/'数据-取费表'!G16,0)</f>
        <v>103</v>
      </c>
      <c r="K12" s="533"/>
      <c r="L12" s="2142"/>
      <c r="M12" s="2182"/>
      <c r="N12" s="2182"/>
      <c r="O12" s="2143"/>
      <c r="P12" s="3377"/>
      <c r="Q12" s="1153" t="str">
        <f t="shared" si="6"/>
        <v>土地使用年限（年）</v>
      </c>
      <c r="R12" s="1571" t="s">
        <v>8</v>
      </c>
      <c r="S12" s="1572">
        <f t="shared" si="0"/>
        <v>103</v>
      </c>
      <c r="T12" s="1571" t="s">
        <v>8</v>
      </c>
      <c r="U12" s="1572">
        <f t="shared" si="1"/>
        <v>103</v>
      </c>
      <c r="V12" s="1571" t="s">
        <v>8</v>
      </c>
      <c r="W12" s="1572">
        <f t="shared" si="2"/>
        <v>103</v>
      </c>
      <c r="X12" s="1573"/>
      <c r="Y12" s="3334"/>
      <c r="Z12" s="1152" t="str">
        <f t="shared" si="7"/>
        <v>土地使用年限（年）</v>
      </c>
      <c r="AA12" s="1574">
        <f t="shared" si="3"/>
        <v>0.970873786407767</v>
      </c>
      <c r="AB12" s="1574">
        <f t="shared" si="4"/>
        <v>0.970873786407767</v>
      </c>
      <c r="AC12" s="1574">
        <f t="shared" si="5"/>
        <v>0.970873786407767</v>
      </c>
    </row>
    <row r="13" spans="1:29" ht="15">
      <c r="A13" s="2946"/>
      <c r="B13" s="2950" t="s">
        <v>2764</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77"/>
      <c r="Q13" s="1153" t="str">
        <f t="shared" si="6"/>
        <v>容积率</v>
      </c>
      <c r="R13" s="1571" t="s">
        <v>8</v>
      </c>
      <c r="S13" s="1572" t="e">
        <f t="shared" si="0"/>
        <v>#N/A</v>
      </c>
      <c r="T13" s="1571" t="s">
        <v>8</v>
      </c>
      <c r="U13" s="1572" t="e">
        <f t="shared" si="1"/>
        <v>#N/A</v>
      </c>
      <c r="V13" s="1571" t="s">
        <v>8</v>
      </c>
      <c r="W13" s="1572" t="e">
        <f t="shared" si="2"/>
        <v>#N/A</v>
      </c>
      <c r="X13" s="1573"/>
      <c r="Y13" s="3334"/>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77"/>
      <c r="Q14" s="1153">
        <f t="shared" si="6"/>
        <v>111</v>
      </c>
      <c r="R14" s="1571" t="s">
        <v>8</v>
      </c>
      <c r="S14" s="1572">
        <f t="shared" si="0"/>
        <v>100</v>
      </c>
      <c r="T14" s="1571" t="s">
        <v>8</v>
      </c>
      <c r="U14" s="1572">
        <f t="shared" si="1"/>
        <v>100</v>
      </c>
      <c r="V14" s="1571" t="s">
        <v>8</v>
      </c>
      <c r="W14" s="1572">
        <f t="shared" si="2"/>
        <v>100</v>
      </c>
      <c r="X14" s="1573"/>
      <c r="Y14" s="3334"/>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77"/>
      <c r="Q15" s="1153">
        <f t="shared" si="6"/>
        <v>111</v>
      </c>
      <c r="R15" s="1571" t="s">
        <v>8</v>
      </c>
      <c r="S15" s="1572">
        <f t="shared" si="0"/>
        <v>100</v>
      </c>
      <c r="T15" s="1571" t="s">
        <v>8</v>
      </c>
      <c r="U15" s="1572">
        <f t="shared" si="1"/>
        <v>100</v>
      </c>
      <c r="V15" s="1571" t="s">
        <v>8</v>
      </c>
      <c r="W15" s="1572">
        <f t="shared" si="2"/>
        <v>100</v>
      </c>
      <c r="X15" s="1573"/>
      <c r="Y15" s="3334"/>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77"/>
      <c r="Q16" s="1153">
        <f t="shared" si="6"/>
        <v>111</v>
      </c>
      <c r="R16" s="1571" t="s">
        <v>8</v>
      </c>
      <c r="S16" s="1572">
        <f t="shared" si="0"/>
        <v>100</v>
      </c>
      <c r="T16" s="1571" t="s">
        <v>8</v>
      </c>
      <c r="U16" s="1572">
        <f t="shared" si="1"/>
        <v>100</v>
      </c>
      <c r="V16" s="1571" t="s">
        <v>8</v>
      </c>
      <c r="W16" s="1572">
        <f t="shared" si="2"/>
        <v>100</v>
      </c>
      <c r="X16" s="1573"/>
      <c r="Y16" s="3334"/>
      <c r="Z16" s="1152">
        <f t="shared" si="7"/>
        <v>111</v>
      </c>
      <c r="AA16" s="1574">
        <f t="shared" si="3"/>
        <v>1</v>
      </c>
      <c r="AB16" s="1574">
        <f t="shared" si="4"/>
        <v>1</v>
      </c>
      <c r="AC16" s="1574">
        <f t="shared" si="5"/>
        <v>1</v>
      </c>
    </row>
    <row r="17" spans="1:29" ht="57">
      <c r="A17" s="2940" t="s">
        <v>2760</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79" t="s">
        <v>541</v>
      </c>
      <c r="Q17" s="1575" t="str">
        <f t="shared" si="6"/>
        <v>产业集聚程度</v>
      </c>
      <c r="R17" s="1576" t="s">
        <v>8</v>
      </c>
      <c r="S17" s="1577">
        <f t="shared" si="0"/>
        <v>100</v>
      </c>
      <c r="T17" s="1576" t="s">
        <v>8</v>
      </c>
      <c r="U17" s="1577">
        <f t="shared" si="1"/>
        <v>100</v>
      </c>
      <c r="V17" s="1576" t="s">
        <v>8</v>
      </c>
      <c r="W17" s="1577">
        <f t="shared" si="2"/>
        <v>100</v>
      </c>
      <c r="X17" s="1570"/>
      <c r="Y17" s="3379"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80"/>
      <c r="Q18" s="1575"/>
      <c r="R18" s="1576"/>
      <c r="S18" s="1577"/>
      <c r="T18" s="1576"/>
      <c r="U18" s="1577"/>
      <c r="V18" s="1576"/>
      <c r="W18" s="1577"/>
      <c r="X18" s="1570"/>
      <c r="Y18" s="3380"/>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80"/>
      <c r="Q19" s="1575" t="str">
        <f>B19</f>
        <v>交通便捷度</v>
      </c>
      <c r="R19" s="1576" t="s">
        <v>8</v>
      </c>
      <c r="S19" s="1577">
        <f>F19</f>
        <v>100</v>
      </c>
      <c r="T19" s="1576" t="s">
        <v>8</v>
      </c>
      <c r="U19" s="1577">
        <f>H19</f>
        <v>100</v>
      </c>
      <c r="V19" s="1576" t="s">
        <v>8</v>
      </c>
      <c r="W19" s="1577">
        <f>J19</f>
        <v>100</v>
      </c>
      <c r="X19" s="1570"/>
      <c r="Y19" s="3380"/>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80"/>
      <c r="Q20" s="1575"/>
      <c r="R20" s="1576"/>
      <c r="S20" s="1577"/>
      <c r="T20" s="1576"/>
      <c r="U20" s="1577"/>
      <c r="V20" s="1576"/>
      <c r="W20" s="1577"/>
      <c r="X20" s="1570"/>
      <c r="Y20" s="3380"/>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80"/>
      <c r="Q21" s="1575" t="str">
        <f t="shared" ref="Q21:Q35" si="8">B21</f>
        <v>区域土地利用方向</v>
      </c>
      <c r="R21" s="1576" t="s">
        <v>8</v>
      </c>
      <c r="S21" s="1577">
        <f>F21</f>
        <v>100</v>
      </c>
      <c r="T21" s="1576" t="s">
        <v>8</v>
      </c>
      <c r="U21" s="1577">
        <f>H21</f>
        <v>100</v>
      </c>
      <c r="V21" s="1576" t="s">
        <v>8</v>
      </c>
      <c r="W21" s="1577">
        <f>J21</f>
        <v>100</v>
      </c>
      <c r="X21" s="1570"/>
      <c r="Y21" s="3380"/>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80"/>
      <c r="Q22" s="1575"/>
      <c r="R22" s="1576"/>
      <c r="S22" s="1577"/>
      <c r="T22" s="1576"/>
      <c r="U22" s="1577"/>
      <c r="V22" s="1576"/>
      <c r="W22" s="1577"/>
      <c r="X22" s="1570"/>
      <c r="Y22" s="3380"/>
      <c r="Z22" s="1578"/>
      <c r="AA22" s="1579"/>
      <c r="AB22" s="1579"/>
      <c r="AC22" s="1579"/>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80"/>
      <c r="Q23" s="1575" t="str">
        <f t="shared" si="8"/>
        <v>环境状况</v>
      </c>
      <c r="R23" s="1576" t="s">
        <v>8</v>
      </c>
      <c r="S23" s="1577">
        <f>F23</f>
        <v>100</v>
      </c>
      <c r="T23" s="1576" t="s">
        <v>8</v>
      </c>
      <c r="U23" s="1577">
        <f>H23</f>
        <v>100</v>
      </c>
      <c r="V23" s="1576" t="s">
        <v>8</v>
      </c>
      <c r="W23" s="1577">
        <f>J23</f>
        <v>100</v>
      </c>
      <c r="X23" s="1570"/>
      <c r="Y23" s="3380"/>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80"/>
      <c r="Q24" s="1575"/>
      <c r="R24" s="1576"/>
      <c r="S24" s="1577"/>
      <c r="T24" s="1576"/>
      <c r="U24" s="1577"/>
      <c r="V24" s="1576"/>
      <c r="W24" s="1577"/>
      <c r="X24" s="1570"/>
      <c r="Y24" s="3380"/>
      <c r="Z24" s="1578"/>
      <c r="AA24" s="1579">
        <v>1</v>
      </c>
      <c r="AB24" s="1579">
        <v>1</v>
      </c>
      <c r="AC24" s="1579">
        <v>1</v>
      </c>
    </row>
    <row r="25" spans="1:29" s="1222" customFormat="1" ht="42.75">
      <c r="A25" s="579"/>
      <c r="B25" s="2621" t="s">
        <v>2552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80"/>
      <c r="Q25" s="1153" t="str">
        <f t="shared" si="8"/>
        <v>公共配套设施</v>
      </c>
      <c r="R25" s="1571" t="s">
        <v>8</v>
      </c>
      <c r="S25" s="1572">
        <f>F25</f>
        <v>100</v>
      </c>
      <c r="T25" s="1571" t="s">
        <v>8</v>
      </c>
      <c r="U25" s="1572">
        <f>H25</f>
        <v>100</v>
      </c>
      <c r="V25" s="1571" t="s">
        <v>8</v>
      </c>
      <c r="W25" s="1572">
        <f>J25</f>
        <v>100</v>
      </c>
      <c r="X25" s="1573"/>
      <c r="Y25" s="3380"/>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80"/>
      <c r="Q26" s="1153"/>
      <c r="R26" s="1571"/>
      <c r="S26" s="1572"/>
      <c r="T26" s="1571"/>
      <c r="U26" s="1572"/>
      <c r="V26" s="1571"/>
      <c r="W26" s="1572"/>
      <c r="X26" s="1573"/>
      <c r="Y26" s="3380"/>
      <c r="Z26" s="1152"/>
      <c r="AA26" s="1574">
        <v>1</v>
      </c>
      <c r="AB26" s="1574">
        <v>1</v>
      </c>
      <c r="AC26" s="1574">
        <v>1</v>
      </c>
    </row>
    <row r="27" spans="1:29" s="1222" customFormat="1" ht="28.5">
      <c r="A27" s="579"/>
      <c r="B27" s="2621" t="s">
        <v>2553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80"/>
      <c r="Q27" s="2606" t="str">
        <f t="shared" ref="Q27" si="9">B27</f>
        <v>基础设施水平</v>
      </c>
      <c r="R27" s="1571" t="s">
        <v>8</v>
      </c>
      <c r="S27" s="1572">
        <f>F27</f>
        <v>100</v>
      </c>
      <c r="T27" s="1571" t="s">
        <v>8</v>
      </c>
      <c r="U27" s="1572">
        <f>H27</f>
        <v>100</v>
      </c>
      <c r="V27" s="1571" t="s">
        <v>8</v>
      </c>
      <c r="W27" s="1572">
        <f>J27</f>
        <v>100</v>
      </c>
      <c r="X27" s="1573"/>
      <c r="Y27" s="3380"/>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80"/>
      <c r="Q28" s="2606"/>
      <c r="R28" s="1571"/>
      <c r="S28" s="1572"/>
      <c r="T28" s="1571"/>
      <c r="U28" s="1572"/>
      <c r="V28" s="1571"/>
      <c r="W28" s="1572"/>
      <c r="X28" s="1573"/>
      <c r="Y28" s="3380"/>
      <c r="Z28" s="2603"/>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80"/>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80"/>
      <c r="Z29" s="1578" t="str">
        <f t="shared" ref="Z29:Z42" si="13">Q29</f>
        <v>临街状况</v>
      </c>
      <c r="AA29" s="1579">
        <f t="shared" si="3"/>
        <v>1</v>
      </c>
      <c r="AB29" s="1579">
        <f t="shared" si="4"/>
        <v>1</v>
      </c>
      <c r="AC29" s="1579">
        <f t="shared" si="5"/>
        <v>1</v>
      </c>
    </row>
    <row r="30" spans="1:29" ht="27">
      <c r="A30" s="534"/>
      <c r="B30" s="924"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80"/>
      <c r="Q30" s="1575" t="str">
        <f t="shared" si="8"/>
        <v>毗邻道路的类型与等级</v>
      </c>
      <c r="R30" s="1576" t="s">
        <v>8</v>
      </c>
      <c r="S30" s="1577">
        <f t="shared" si="10"/>
        <v>100</v>
      </c>
      <c r="T30" s="1576" t="s">
        <v>8</v>
      </c>
      <c r="U30" s="1577">
        <f t="shared" si="11"/>
        <v>100</v>
      </c>
      <c r="V30" s="1576" t="s">
        <v>8</v>
      </c>
      <c r="W30" s="1577">
        <f t="shared" si="12"/>
        <v>100</v>
      </c>
      <c r="X30" s="1570"/>
      <c r="Y30" s="3380"/>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80"/>
      <c r="Q31" s="1575"/>
      <c r="R31" s="1576"/>
      <c r="S31" s="1577"/>
      <c r="T31" s="1576"/>
      <c r="U31" s="1577"/>
      <c r="V31" s="1576"/>
      <c r="W31" s="1577"/>
      <c r="X31" s="1570"/>
      <c r="Y31" s="3380"/>
      <c r="Z31" s="1578"/>
      <c r="AA31" s="1579">
        <v>1</v>
      </c>
      <c r="AB31" s="1579">
        <v>1</v>
      </c>
      <c r="AC31" s="1579">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80"/>
      <c r="Q32" s="1575" t="str">
        <f t="shared" si="8"/>
        <v>土地级别</v>
      </c>
      <c r="R32" s="1576" t="s">
        <v>8</v>
      </c>
      <c r="S32" s="1577">
        <f t="shared" si="10"/>
        <v>100</v>
      </c>
      <c r="T32" s="1576" t="s">
        <v>8</v>
      </c>
      <c r="U32" s="1577">
        <f t="shared" si="11"/>
        <v>100</v>
      </c>
      <c r="V32" s="1576" t="s">
        <v>8</v>
      </c>
      <c r="W32" s="1577">
        <f t="shared" si="12"/>
        <v>100</v>
      </c>
      <c r="X32" s="1570"/>
      <c r="Y32" s="3380"/>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80"/>
      <c r="Q33" s="1575">
        <f t="shared" si="8"/>
        <v>111</v>
      </c>
      <c r="R33" s="1576" t="s">
        <v>8</v>
      </c>
      <c r="S33" s="1577">
        <f t="shared" si="10"/>
        <v>100</v>
      </c>
      <c r="T33" s="1576" t="s">
        <v>8</v>
      </c>
      <c r="U33" s="1577">
        <f t="shared" si="11"/>
        <v>100</v>
      </c>
      <c r="V33" s="1576" t="s">
        <v>8</v>
      </c>
      <c r="W33" s="1577">
        <f t="shared" si="12"/>
        <v>100</v>
      </c>
      <c r="X33" s="1570"/>
      <c r="Y33" s="3380"/>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81" t="s">
        <v>551</v>
      </c>
      <c r="Q34" s="1575">
        <f t="shared" si="8"/>
        <v>111</v>
      </c>
      <c r="R34" s="1576" t="s">
        <v>8</v>
      </c>
      <c r="S34" s="1577">
        <f t="shared" si="10"/>
        <v>100</v>
      </c>
      <c r="T34" s="1576" t="s">
        <v>8</v>
      </c>
      <c r="U34" s="1577">
        <f t="shared" si="11"/>
        <v>100</v>
      </c>
      <c r="V34" s="1576" t="s">
        <v>8</v>
      </c>
      <c r="W34" s="1577">
        <f t="shared" si="12"/>
        <v>100</v>
      </c>
      <c r="X34" s="1570"/>
      <c r="Y34" s="3382" t="s">
        <v>551</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82"/>
      <c r="Q35" s="1575">
        <f t="shared" si="8"/>
        <v>111</v>
      </c>
      <c r="R35" s="1580" t="s">
        <v>8</v>
      </c>
      <c r="S35" s="1581">
        <f t="shared" si="10"/>
        <v>100</v>
      </c>
      <c r="T35" s="1580" t="s">
        <v>8</v>
      </c>
      <c r="U35" s="1581">
        <f t="shared" si="11"/>
        <v>100</v>
      </c>
      <c r="V35" s="1580" t="s">
        <v>8</v>
      </c>
      <c r="W35" s="1581">
        <f t="shared" si="12"/>
        <v>100</v>
      </c>
      <c r="X35" s="1582"/>
      <c r="Y35" s="3382"/>
      <c r="Z35" s="1583">
        <f t="shared" si="13"/>
        <v>111</v>
      </c>
      <c r="AA35" s="1579">
        <f t="shared" si="3"/>
        <v>1</v>
      </c>
      <c r="AB35" s="1579">
        <f t="shared" si="4"/>
        <v>1</v>
      </c>
      <c r="AC35" s="1579">
        <f t="shared" si="5"/>
        <v>1</v>
      </c>
    </row>
    <row r="36" spans="1:29" ht="15">
      <c r="A36" s="2937" t="s">
        <v>2761</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82"/>
      <c r="Q36" s="1575" t="str">
        <f>B36</f>
        <v>宗地面积</v>
      </c>
      <c r="R36" s="1576" t="s">
        <v>8</v>
      </c>
      <c r="S36" s="1577" t="e">
        <f t="shared" si="10"/>
        <v>#N/A</v>
      </c>
      <c r="T36" s="1576" t="s">
        <v>8</v>
      </c>
      <c r="U36" s="1577" t="e">
        <f t="shared" si="11"/>
        <v>#N/A</v>
      </c>
      <c r="V36" s="1576" t="s">
        <v>8</v>
      </c>
      <c r="W36" s="1577" t="e">
        <f t="shared" si="12"/>
        <v>#N/A</v>
      </c>
      <c r="X36" s="1570"/>
      <c r="Y36" s="3382"/>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82"/>
      <c r="Q37" s="1575" t="str">
        <f t="shared" ref="Q37:Q42" si="14">B37</f>
        <v>宗地形状</v>
      </c>
      <c r="R37" s="1576" t="s">
        <v>8</v>
      </c>
      <c r="S37" s="1577">
        <f t="shared" si="10"/>
        <v>100</v>
      </c>
      <c r="T37" s="1576" t="s">
        <v>8</v>
      </c>
      <c r="U37" s="1577">
        <f t="shared" si="11"/>
        <v>100</v>
      </c>
      <c r="V37" s="1576" t="s">
        <v>8</v>
      </c>
      <c r="W37" s="1577">
        <f t="shared" si="12"/>
        <v>100</v>
      </c>
      <c r="X37" s="1570"/>
      <c r="Y37" s="3382"/>
      <c r="Z37" s="1578" t="str">
        <f t="shared" si="13"/>
        <v>宗地形状</v>
      </c>
      <c r="AA37" s="1579">
        <f t="shared" si="3"/>
        <v>1</v>
      </c>
      <c r="AB37" s="1579">
        <f t="shared" si="4"/>
        <v>1</v>
      </c>
      <c r="AC37" s="1579">
        <f t="shared" si="5"/>
        <v>1</v>
      </c>
    </row>
    <row r="38" spans="1:29" s="1222" customFormat="1" ht="15">
      <c r="A38" s="602"/>
      <c r="B38" s="1899" t="s">
        <v>2426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82"/>
      <c r="Q38" s="1575" t="str">
        <f t="shared" si="14"/>
        <v>宗地开发程度</v>
      </c>
      <c r="R38" s="1571" t="s">
        <v>8</v>
      </c>
      <c r="S38" s="1572">
        <f t="shared" si="10"/>
        <v>100</v>
      </c>
      <c r="T38" s="1571" t="s">
        <v>8</v>
      </c>
      <c r="U38" s="1572">
        <f t="shared" si="11"/>
        <v>100</v>
      </c>
      <c r="V38" s="1571" t="s">
        <v>8</v>
      </c>
      <c r="W38" s="1572">
        <f t="shared" si="12"/>
        <v>100</v>
      </c>
      <c r="X38" s="1573"/>
      <c r="Y38" s="3382"/>
      <c r="Z38" s="1152"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82" t="s">
        <v>602</v>
      </c>
      <c r="Q39" s="1575" t="str">
        <f t="shared" si="14"/>
        <v>工程地质条件</v>
      </c>
      <c r="R39" s="1576" t="s">
        <v>8</v>
      </c>
      <c r="S39" s="1577">
        <f t="shared" si="10"/>
        <v>100</v>
      </c>
      <c r="T39" s="1576" t="s">
        <v>8</v>
      </c>
      <c r="U39" s="1577">
        <f t="shared" si="11"/>
        <v>100</v>
      </c>
      <c r="V39" s="1576" t="s">
        <v>8</v>
      </c>
      <c r="W39" s="1577">
        <f t="shared" si="12"/>
        <v>100</v>
      </c>
      <c r="X39" s="1570"/>
      <c r="Y39" s="3382"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82"/>
      <c r="Q40" s="1575">
        <f t="shared" si="14"/>
        <v>111</v>
      </c>
      <c r="R40" s="1576" t="s">
        <v>8</v>
      </c>
      <c r="S40" s="1577">
        <f t="shared" si="10"/>
        <v>100</v>
      </c>
      <c r="T40" s="1576" t="s">
        <v>8</v>
      </c>
      <c r="U40" s="1577">
        <f t="shared" si="11"/>
        <v>100</v>
      </c>
      <c r="V40" s="1576" t="s">
        <v>8</v>
      </c>
      <c r="W40" s="1577">
        <f t="shared" si="12"/>
        <v>100</v>
      </c>
      <c r="X40" s="1570"/>
      <c r="Y40" s="3382"/>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82"/>
      <c r="Q41" s="1575">
        <f t="shared" si="14"/>
        <v>111</v>
      </c>
      <c r="R41" s="1576" t="s">
        <v>8</v>
      </c>
      <c r="S41" s="1577">
        <f t="shared" si="10"/>
        <v>100</v>
      </c>
      <c r="T41" s="1576" t="s">
        <v>8</v>
      </c>
      <c r="U41" s="1577">
        <f t="shared" si="11"/>
        <v>100</v>
      </c>
      <c r="V41" s="1576" t="s">
        <v>8</v>
      </c>
      <c r="W41" s="1577">
        <f t="shared" si="12"/>
        <v>100</v>
      </c>
      <c r="X41" s="1570"/>
      <c r="Y41" s="3382"/>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82"/>
      <c r="Q42" s="1575">
        <f t="shared" si="14"/>
        <v>111</v>
      </c>
      <c r="R42" s="1580" t="s">
        <v>8</v>
      </c>
      <c r="S42" s="1581">
        <f t="shared" si="10"/>
        <v>100</v>
      </c>
      <c r="T42" s="1580" t="s">
        <v>8</v>
      </c>
      <c r="U42" s="1581">
        <f t="shared" si="11"/>
        <v>100</v>
      </c>
      <c r="V42" s="1580" t="s">
        <v>8</v>
      </c>
      <c r="W42" s="1581">
        <f t="shared" si="12"/>
        <v>100</v>
      </c>
      <c r="X42" s="1582"/>
      <c r="Y42" s="3382"/>
      <c r="Z42" s="1583">
        <f t="shared" si="13"/>
        <v>111</v>
      </c>
      <c r="AA42" s="1579">
        <f t="shared" si="3"/>
        <v>1</v>
      </c>
      <c r="AB42" s="1579">
        <f t="shared" si="4"/>
        <v>1</v>
      </c>
      <c r="AC42" s="1579">
        <f t="shared" si="5"/>
        <v>1</v>
      </c>
    </row>
    <row r="43" spans="1:29" ht="15">
      <c r="A43" s="609" t="s">
        <v>557</v>
      </c>
      <c r="B43" s="610" t="s">
        <v>2937</v>
      </c>
      <c r="C43" s="611" t="s">
        <v>1</v>
      </c>
      <c r="D43" s="612"/>
      <c r="E43" s="613"/>
      <c r="F43" s="614"/>
      <c r="G43" s="615"/>
      <c r="H43" s="616"/>
      <c r="I43" s="613"/>
      <c r="J43" s="616"/>
      <c r="K43" s="1342"/>
      <c r="L43" s="2148"/>
      <c r="M43" s="2138"/>
      <c r="N43" s="2138"/>
      <c r="O43" s="2149"/>
      <c r="P43" s="3377" t="str">
        <f>A43</f>
        <v>成交单价</v>
      </c>
      <c r="Q43" s="3377"/>
      <c r="R43" s="3391">
        <f>E43</f>
        <v>0</v>
      </c>
      <c r="S43" s="3391"/>
      <c r="T43" s="3391">
        <f>G43</f>
        <v>0</v>
      </c>
      <c r="U43" s="3391"/>
      <c r="V43" s="3391">
        <f>I43</f>
        <v>0</v>
      </c>
      <c r="W43" s="3391"/>
      <c r="X43" s="1562"/>
      <c r="Y43" s="1584"/>
      <c r="Z43" s="1562"/>
      <c r="AA43" s="1562"/>
      <c r="AB43" s="1562"/>
      <c r="AC43" s="1562"/>
    </row>
    <row r="44" spans="1:29" ht="15.75" thickBot="1">
      <c r="A44" s="617" t="s">
        <v>2699</v>
      </c>
      <c r="B44" s="618"/>
      <c r="C44" s="619" t="e">
        <f>R45</f>
        <v>#DIV/0!</v>
      </c>
      <c r="D44" s="620"/>
      <c r="E44" s="619" t="e">
        <f>R44</f>
        <v>#DIV/0!</v>
      </c>
      <c r="F44" s="621"/>
      <c r="G44" s="622" t="e">
        <f>T44</f>
        <v>#DIV/0!</v>
      </c>
      <c r="H44" s="620"/>
      <c r="I44" s="619" t="e">
        <f>V44</f>
        <v>#DIV/0!</v>
      </c>
      <c r="J44" s="620"/>
      <c r="K44" s="1343"/>
      <c r="L44" s="2148"/>
      <c r="M44" s="2138"/>
      <c r="N44" s="2138"/>
      <c r="O44" s="2149"/>
      <c r="P44" s="3377" t="str">
        <f>A44</f>
        <v>比较价格（元/平方米）</v>
      </c>
      <c r="Q44" s="3377"/>
      <c r="R44" s="3401" t="e">
        <f>ROUND(PRODUCT(R43,AA9:AA42),0)</f>
        <v>#DIV/0!</v>
      </c>
      <c r="S44" s="3401"/>
      <c r="T44" s="3401" t="e">
        <f>ROUND(PRODUCT(T43,AB9:AB42),0)</f>
        <v>#DIV/0!</v>
      </c>
      <c r="U44" s="3401"/>
      <c r="V44" s="3401" t="e">
        <f>ROUND(PRODUCT(V43,AC9:AC42),0)</f>
        <v>#DIV/0!</v>
      </c>
      <c r="W44" s="3401"/>
      <c r="X44" s="1562"/>
      <c r="Y44" s="1562"/>
      <c r="Z44" s="1562"/>
      <c r="AA44" s="1562"/>
      <c r="AB44" s="1562"/>
      <c r="AC44" s="1562"/>
    </row>
    <row r="45" spans="1:29" ht="15.75" thickBot="1">
      <c r="A45" s="623" t="s">
        <v>2938</v>
      </c>
      <c r="B45" s="624"/>
      <c r="C45" s="625" t="e">
        <f>R45</f>
        <v>#DIV/0!</v>
      </c>
      <c r="D45" s="625"/>
      <c r="E45" s="625"/>
      <c r="F45" s="625"/>
      <c r="G45" s="625"/>
      <c r="H45" s="625"/>
      <c r="I45" s="625"/>
      <c r="J45" s="625"/>
      <c r="K45" s="1344"/>
      <c r="L45" s="2148"/>
      <c r="M45" s="2138"/>
      <c r="N45" s="2138"/>
      <c r="O45" s="2149"/>
      <c r="P45" s="3398" t="str">
        <f>A45</f>
        <v>估价对象XX用房的比较价格（楼面单价，元/平方米）</v>
      </c>
      <c r="Q45" s="3399"/>
      <c r="R45" s="3400" t="e">
        <f>ROUND(AVERAGE(R44:V44),0)</f>
        <v>#DIV/0!</v>
      </c>
      <c r="S45" s="3400"/>
      <c r="T45" s="3400"/>
      <c r="U45" s="3400"/>
      <c r="V45" s="3400"/>
      <c r="W45" s="3400"/>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561</v>
      </c>
      <c r="B52" s="632" t="s">
        <v>562</v>
      </c>
      <c r="C52" s="1563" t="s">
        <v>1723</v>
      </c>
      <c r="D52" s="2231" t="s">
        <v>2294</v>
      </c>
      <c r="E52" s="633" t="s">
        <v>563</v>
      </c>
      <c r="F52" s="1955" t="s">
        <v>564</v>
      </c>
      <c r="G52" s="3402" t="s">
        <v>2285</v>
      </c>
      <c r="H52" s="3403"/>
      <c r="I52" s="1956" t="s">
        <v>1946</v>
      </c>
      <c r="J52" s="1558">
        <f>项目基本情况!F41</f>
        <v>0</v>
      </c>
      <c r="K52" s="2158" t="s">
        <v>1722</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565</v>
      </c>
      <c r="B53" s="636" t="e">
        <f>C45</f>
        <v>#DIV/0!</v>
      </c>
      <c r="C53" s="637">
        <v>1</v>
      </c>
      <c r="D53" s="2232">
        <v>1</v>
      </c>
      <c r="E53" s="637">
        <f>'数据-汇总表'!E8+'数据-汇总表'!E9</f>
        <v>107988.02</v>
      </c>
      <c r="F53" s="1954" t="e">
        <f t="shared" ref="F53:F62" si="15">ROUND(B53*E53/10000,0)</f>
        <v>#DIV/0!</v>
      </c>
      <c r="G53" s="3404"/>
      <c r="H53" s="3405"/>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566</v>
      </c>
      <c r="B54" s="640" t="e">
        <f>ROUND($C$45*C54*D54,0)</f>
        <v>#DIV/0!</v>
      </c>
      <c r="C54" s="380">
        <f t="shared" ref="C54:C62" si="16">IF($C$52="北京市系数",I54,J54)</f>
        <v>0.7</v>
      </c>
      <c r="D54" s="2233">
        <v>0.25</v>
      </c>
      <c r="E54" s="641"/>
      <c r="F54" s="1954" t="e">
        <f t="shared" si="15"/>
        <v>#DIV/0!</v>
      </c>
      <c r="G54" s="3406" t="s">
        <v>2286</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567</v>
      </c>
      <c r="B55" s="640" t="e">
        <f t="shared" ref="B55:B62" si="17">ROUND($C$45*C55*D55,0)</f>
        <v>#DIV/0!</v>
      </c>
      <c r="C55" s="380">
        <f t="shared" si="16"/>
        <v>0.4</v>
      </c>
      <c r="D55" s="2233">
        <v>0.25</v>
      </c>
      <c r="E55" s="641"/>
      <c r="F55" s="1954" t="e">
        <f t="shared" si="15"/>
        <v>#DIV/0!</v>
      </c>
      <c r="G55" s="3406"/>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568</v>
      </c>
      <c r="B56" s="640" t="e">
        <f t="shared" si="17"/>
        <v>#DIV/0!</v>
      </c>
      <c r="C56" s="380">
        <f t="shared" si="16"/>
        <v>0.28000000000000003</v>
      </c>
      <c r="D56" s="2233">
        <v>0.25</v>
      </c>
      <c r="E56" s="641"/>
      <c r="F56" s="1954" t="e">
        <f t="shared" si="15"/>
        <v>#DIV/0!</v>
      </c>
      <c r="G56" s="3406"/>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569</v>
      </c>
      <c r="B57" s="640" t="e">
        <f t="shared" si="17"/>
        <v>#DIV/0!</v>
      </c>
      <c r="C57" s="380">
        <f t="shared" si="16"/>
        <v>0.25</v>
      </c>
      <c r="D57" s="2233">
        <v>0.25</v>
      </c>
      <c r="E57" s="641"/>
      <c r="F57" s="1954" t="e">
        <f t="shared" si="15"/>
        <v>#DIV/0!</v>
      </c>
      <c r="G57" s="3406"/>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2329</v>
      </c>
      <c r="B58" s="640" t="e">
        <f t="shared" si="17"/>
        <v>#DIV/0!</v>
      </c>
      <c r="C58" s="380">
        <f t="shared" si="16"/>
        <v>0.25</v>
      </c>
      <c r="D58" s="2233">
        <v>0.25</v>
      </c>
      <c r="E58" s="643">
        <f>'数据-汇总表'!E11</f>
        <v>0</v>
      </c>
      <c r="F58" s="1954" t="e">
        <f t="shared" si="15"/>
        <v>#DIV/0!</v>
      </c>
      <c r="G58" s="1960" t="s">
        <v>2287</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570</v>
      </c>
      <c r="B59" s="640" t="e">
        <f t="shared" si="17"/>
        <v>#DIV/0!</v>
      </c>
      <c r="C59" s="380">
        <f t="shared" si="16"/>
        <v>0.25</v>
      </c>
      <c r="D59" s="2233">
        <v>0.25</v>
      </c>
      <c r="E59" s="643">
        <f>'数据-汇总表'!E12</f>
        <v>0</v>
      </c>
      <c r="F59" s="1954" t="e">
        <f t="shared" si="15"/>
        <v>#DIV/0!</v>
      </c>
      <c r="G59" s="1950" t="s">
        <v>1679</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571</v>
      </c>
      <c r="B60" s="640" t="e">
        <f t="shared" si="17"/>
        <v>#DIV/0!</v>
      </c>
      <c r="C60" s="380">
        <f t="shared" si="16"/>
        <v>0</v>
      </c>
      <c r="D60" s="2233">
        <v>0.25</v>
      </c>
      <c r="E60" s="643">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572</v>
      </c>
      <c r="B61" s="640" t="e">
        <f t="shared" si="17"/>
        <v>#DIV/0!</v>
      </c>
      <c r="C61" s="380">
        <f t="shared" si="16"/>
        <v>0.2</v>
      </c>
      <c r="D61" s="2233">
        <v>0.25</v>
      </c>
      <c r="E61" s="643">
        <f>'数据-汇总表'!E14</f>
        <v>0</v>
      </c>
      <c r="F61" s="1954" t="e">
        <f t="shared" si="15"/>
        <v>#DIV/0!</v>
      </c>
      <c r="G61" s="1960" t="s">
        <v>2286</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573</v>
      </c>
      <c r="B62" s="640" t="e">
        <f t="shared" si="17"/>
        <v>#DIV/0!</v>
      </c>
      <c r="C62" s="380">
        <f t="shared" si="16"/>
        <v>0.2</v>
      </c>
      <c r="D62" s="2233">
        <v>0.25</v>
      </c>
      <c r="E62" s="643">
        <f>'数据-汇总表'!E15</f>
        <v>7289.2300000000014</v>
      </c>
      <c r="F62" s="1954" t="e">
        <f t="shared" si="15"/>
        <v>#DIV/0!</v>
      </c>
      <c r="G62" s="1961" t="s">
        <v>2287</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574</v>
      </c>
      <c r="B63" s="645" t="s">
        <v>17</v>
      </c>
      <c r="C63" s="645" t="s">
        <v>18</v>
      </c>
      <c r="D63" s="645" t="s">
        <v>2295</v>
      </c>
      <c r="E63" s="645">
        <f>IF(B43="楼面地价",SUM(E53:E62),'数据-汇总表'!D3)</f>
        <v>9969.76</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2537</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2655</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576</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532</v>
      </c>
      <c r="B70" s="650"/>
      <c r="C70" s="662" t="s">
        <v>577</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538</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540</v>
      </c>
      <c r="B85" s="667" t="s">
        <v>603</v>
      </c>
      <c r="C85" s="705" t="s">
        <v>580</v>
      </c>
      <c r="D85" s="705" t="s">
        <v>581</v>
      </c>
      <c r="E85" s="705" t="s">
        <v>582</v>
      </c>
      <c r="F85" s="705" t="s">
        <v>583</v>
      </c>
      <c r="G85" s="705" t="s">
        <v>584</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587</v>
      </c>
      <c r="C87" s="710" t="s">
        <v>580</v>
      </c>
      <c r="D87" s="710" t="s">
        <v>581</v>
      </c>
      <c r="E87" s="710" t="s">
        <v>582</v>
      </c>
      <c r="F87" s="710" t="s">
        <v>583</v>
      </c>
      <c r="G87" s="710" t="s">
        <v>584</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2552</v>
      </c>
      <c r="C93" s="705" t="s">
        <v>580</v>
      </c>
      <c r="D93" s="705" t="s">
        <v>581</v>
      </c>
      <c r="E93" s="705" t="s">
        <v>582</v>
      </c>
      <c r="F93" s="705" t="s">
        <v>583</v>
      </c>
      <c r="G93" s="705" t="s">
        <v>584</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2554</v>
      </c>
      <c r="C95" s="2626" t="s">
        <v>2555</v>
      </c>
      <c r="D95" s="2626" t="s">
        <v>2556</v>
      </c>
      <c r="E95" s="2626" t="s">
        <v>2557</v>
      </c>
      <c r="F95" s="2626" t="s">
        <v>2558</v>
      </c>
      <c r="G95" s="2626" t="s">
        <v>2559</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590</v>
      </c>
      <c r="D97" s="676" t="s">
        <v>591</v>
      </c>
      <c r="E97" s="676" t="s">
        <v>592</v>
      </c>
      <c r="F97" s="676" t="s">
        <v>593</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549</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550</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1" t="str">
        <f t="shared" si="25"/>
        <v>(含)-</v>
      </c>
      <c r="L109" s="3122" t="str">
        <f t="shared" si="25"/>
        <v>(含)-</v>
      </c>
      <c r="M109" s="3123"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595</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2427</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597</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1693</v>
      </c>
      <c r="B1" s="1403"/>
      <c r="C1" s="1409" t="s">
        <v>2428</v>
      </c>
      <c r="D1" s="1524">
        <f>SUM(D29:D30,D33:D39)</f>
        <v>0</v>
      </c>
      <c r="E1" s="1409" t="s">
        <v>2429</v>
      </c>
      <c r="F1" s="2480"/>
      <c r="G1" s="1404"/>
      <c r="H1" s="1404"/>
      <c r="I1" s="1404"/>
      <c r="J1" s="1404"/>
      <c r="K1" s="1404"/>
      <c r="L1" s="1886" t="s">
        <v>2239</v>
      </c>
      <c r="M1" s="1887">
        <f>SUMPRODUCT((区片价!B5:B9=I2)*(区片价!C3:F3=E2)*(区片价!C5:F9))</f>
        <v>0</v>
      </c>
      <c r="N1" s="1888">
        <f>SUMPRODUCT((因素修正幅度!B5:B9=I2)*(因素修正幅度!C3:F3=E2)*(因素修正幅度!C5:F9))</f>
        <v>0</v>
      </c>
      <c r="O1" s="2193"/>
      <c r="P1" s="2193"/>
      <c r="Q1" s="2193"/>
      <c r="R1" s="2966" t="s">
        <v>2768</v>
      </c>
      <c r="S1" s="2966" t="s">
        <v>2769</v>
      </c>
      <c r="T1" s="2966" t="s">
        <v>2790</v>
      </c>
      <c r="U1" s="2966" t="s">
        <v>2791</v>
      </c>
      <c r="V1" s="2966" t="s">
        <v>2792</v>
      </c>
      <c r="W1" s="2193"/>
      <c r="X1" s="2193"/>
      <c r="Y1" s="2193"/>
      <c r="Z1" s="2193"/>
      <c r="AA1" s="2193"/>
      <c r="AB1" s="2193"/>
      <c r="AC1" s="2194"/>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2240</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1686</v>
      </c>
      <c r="B3" s="1040" t="e">
        <f>ROUND(B2*10000/D1,0)</f>
        <v>#DIV/0!</v>
      </c>
      <c r="C3" s="1410" t="s">
        <v>928</v>
      </c>
      <c r="D3" s="1411" t="s">
        <v>929</v>
      </c>
      <c r="E3" s="1415"/>
      <c r="F3" s="1416" t="s">
        <v>2939</v>
      </c>
      <c r="G3" s="1041">
        <f>IF(F3="宗地容积率",'数据-汇总表'!I4,IF(F3="估价对象容积率",'数据-汇总表'!I6,'数据-汇总表'!I7))</f>
        <v>9.69</v>
      </c>
      <c r="H3" s="1417" t="s">
        <v>930</v>
      </c>
      <c r="I3" s="1042">
        <v>8</v>
      </c>
      <c r="J3" s="1413" t="s">
        <v>931</v>
      </c>
      <c r="K3" s="1404"/>
      <c r="L3" s="1889" t="s">
        <v>2241</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2281</v>
      </c>
      <c r="B4" s="2481" t="e">
        <f>ROUND(B2*10000/F1,0)</f>
        <v>#DIV/0!</v>
      </c>
      <c r="C4" s="1898" t="s">
        <v>2255</v>
      </c>
      <c r="D4" s="1898" t="e">
        <f>ROUND(B2/(F1/666.67),0)</f>
        <v>#DIV/0!</v>
      </c>
      <c r="E4" s="1898" t="s">
        <v>2256</v>
      </c>
      <c r="F4" s="1896"/>
      <c r="G4" s="1896"/>
      <c r="H4" s="1896"/>
      <c r="I4" s="1896"/>
      <c r="J4" s="1897"/>
      <c r="K4" s="1404"/>
      <c r="L4" s="1889" t="s">
        <v>2242</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1822</v>
      </c>
      <c r="B5" s="1418" t="s">
        <v>932</v>
      </c>
      <c r="C5" s="1043" t="e">
        <f>ROUND(IF(E2="商业",IF(F16="增加",C6*C7+C16,C6*C7-C16),IF(E2="住宅",IF(F16="增加",C6*C12+C16,C6*C12-C16),IF(F16="增加",C6+C16,C6-C16))),0)</f>
        <v>#DIV/0!</v>
      </c>
      <c r="D5" s="3153">
        <f>ROUND(IF(E2="商业",IF(F16="增加",C6+C16,C6-C16)),0)</f>
        <v>0</v>
      </c>
      <c r="E5" s="1419"/>
      <c r="F5" s="1419"/>
      <c r="G5" s="1420"/>
      <c r="H5" s="1420"/>
      <c r="I5" s="1420"/>
      <c r="J5" s="1421"/>
      <c r="K5" s="1597"/>
      <c r="L5" s="1889" t="s">
        <v>2243</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1869</v>
      </c>
      <c r="B6" s="1425" t="s">
        <v>932</v>
      </c>
      <c r="C6" s="1044">
        <f>SUMIF(L1:L12,基准地价!G2,M1:M12)</f>
        <v>0</v>
      </c>
      <c r="D6" s="1426" t="s">
        <v>1694</v>
      </c>
      <c r="E6" s="1427"/>
      <c r="F6" s="1427"/>
      <c r="G6" s="1428"/>
      <c r="H6" s="1428"/>
      <c r="I6" s="1428"/>
      <c r="J6" s="1429"/>
      <c r="K6" s="1598"/>
      <c r="L6" s="1889" t="s">
        <v>2244</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14" t="str">
        <f>IF(E2="商业",IF(C8="不临58条商业街","",2),"")</f>
        <v/>
      </c>
      <c r="B7" s="1430" t="s">
        <v>933</v>
      </c>
      <c r="C7" s="1045" t="e">
        <f>IF(C8="不临58条商业街",1,ROUND(1+(1.6*E8+1.2*E9+0.8*E10+0.4*E11)*C9,4))</f>
        <v>#DIV/0!</v>
      </c>
      <c r="D7" s="1431" t="s">
        <v>934</v>
      </c>
      <c r="E7" s="1046"/>
      <c r="F7" s="1432"/>
      <c r="G7" s="1433"/>
      <c r="H7" s="1433"/>
      <c r="I7" s="1433"/>
      <c r="J7" s="1434"/>
      <c r="K7" s="1598"/>
      <c r="L7" s="1889" t="s">
        <v>2245</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2771</v>
      </c>
      <c r="X7" s="2957">
        <f>G2</f>
        <v>0</v>
      </c>
      <c r="Y7" s="2957" t="s">
        <v>2772</v>
      </c>
      <c r="Z7" s="2958">
        <f>G3</f>
        <v>9.69</v>
      </c>
      <c r="AA7" s="2196"/>
      <c r="AB7" s="2196"/>
      <c r="AC7" s="2197"/>
      <c r="AD7" s="2959"/>
      <c r="AE7" s="2959"/>
      <c r="AF7" s="2959"/>
      <c r="AG7" s="2959"/>
      <c r="AH7" s="2959"/>
      <c r="AI7" s="2959"/>
      <c r="AJ7" s="2960"/>
    </row>
    <row r="8" spans="1:39" ht="15">
      <c r="A8" s="3415"/>
      <c r="B8" s="1417" t="s">
        <v>935</v>
      </c>
      <c r="C8" s="1532"/>
      <c r="D8" s="1047" t="s">
        <v>936</v>
      </c>
      <c r="E8" s="1048" t="e">
        <f>ROUND(C11/E7,4)</f>
        <v>#DIV/0!</v>
      </c>
      <c r="F8" s="1435" t="s">
        <v>937</v>
      </c>
      <c r="G8" s="1436"/>
      <c r="H8" s="1436"/>
      <c r="I8" s="1436"/>
      <c r="J8" s="1437"/>
      <c r="K8" s="1404"/>
      <c r="L8" s="1889" t="s">
        <v>2246</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24" t="s">
        <v>2789</v>
      </c>
      <c r="X8" s="3425"/>
      <c r="Y8" s="1853" t="s">
        <v>2773</v>
      </c>
      <c r="Z8" s="1853" t="s">
        <v>2774</v>
      </c>
      <c r="AA8" s="1853" t="s">
        <v>2775</v>
      </c>
      <c r="AB8" s="1853" t="s">
        <v>2776</v>
      </c>
      <c r="AC8" s="1853" t="s">
        <v>2777</v>
      </c>
      <c r="AD8" s="1853" t="s">
        <v>2778</v>
      </c>
      <c r="AE8" s="1853" t="s">
        <v>2779</v>
      </c>
      <c r="AF8" s="1853" t="s">
        <v>2780</v>
      </c>
      <c r="AG8" s="1853" t="s">
        <v>2781</v>
      </c>
      <c r="AH8" s="1853" t="s">
        <v>2782</v>
      </c>
      <c r="AI8" s="1853" t="s">
        <v>2783</v>
      </c>
      <c r="AJ8" s="1853" t="s">
        <v>2784</v>
      </c>
    </row>
    <row r="9" spans="1:39" ht="15">
      <c r="A9" s="3415"/>
      <c r="B9" s="1417" t="s">
        <v>938</v>
      </c>
      <c r="C9" s="1049">
        <f>SUMIF(修正!C59:C119,C8,修正!E59:E119)</f>
        <v>0</v>
      </c>
      <c r="D9" s="1050" t="s">
        <v>939</v>
      </c>
      <c r="E9" s="1050" t="e">
        <f>ROUND(C11/E7,4)</f>
        <v>#DIV/0!</v>
      </c>
      <c r="F9" s="1435" t="s">
        <v>940</v>
      </c>
      <c r="G9" s="1436"/>
      <c r="H9" s="1436"/>
      <c r="I9" s="1436"/>
      <c r="J9" s="1437"/>
      <c r="K9" s="1404"/>
      <c r="L9" s="1889" t="s">
        <v>2247</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23" t="s">
        <v>2785</v>
      </c>
      <c r="X9" s="2961" t="s">
        <v>2786</v>
      </c>
      <c r="Y9" s="3127"/>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15"/>
      <c r="B10" s="1417" t="s">
        <v>941</v>
      </c>
      <c r="C10" s="1050">
        <f>SUMIF(修正!C59:C119,C8,修正!F59:F119)</f>
        <v>0</v>
      </c>
      <c r="D10" s="1050" t="s">
        <v>942</v>
      </c>
      <c r="E10" s="1050" t="e">
        <f>ROUND(C11/E7,4)</f>
        <v>#DIV/0!</v>
      </c>
      <c r="F10" s="1435" t="s">
        <v>943</v>
      </c>
      <c r="G10" s="1436"/>
      <c r="H10" s="1436"/>
      <c r="I10" s="1436"/>
      <c r="J10" s="1437"/>
      <c r="K10" s="1404"/>
      <c r="L10" s="1889" t="s">
        <v>2248</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23"/>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15"/>
      <c r="B11" s="1438" t="s">
        <v>944</v>
      </c>
      <c r="C11" s="1051">
        <f>C10/4</f>
        <v>0</v>
      </c>
      <c r="D11" s="1051" t="s">
        <v>945</v>
      </c>
      <c r="E11" s="1051" t="e">
        <f>ROUND(C11/E7,4)</f>
        <v>#DIV/0!</v>
      </c>
      <c r="F11" s="1439" t="s">
        <v>946</v>
      </c>
      <c r="G11" s="1440"/>
      <c r="H11" s="1440"/>
      <c r="I11" s="1440"/>
      <c r="J11" s="1441"/>
      <c r="K11" s="1404"/>
      <c r="L11" s="1889" t="s">
        <v>2249</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23" t="s">
        <v>2787</v>
      </c>
      <c r="X11" s="1050" t="s">
        <v>2772</v>
      </c>
      <c r="Y11" s="1656">
        <f>$G$3</f>
        <v>9.69</v>
      </c>
      <c r="Z11" s="1656">
        <f t="shared" ref="Z11:AJ11" si="3">$G$3</f>
        <v>9.69</v>
      </c>
      <c r="AA11" s="1656">
        <f t="shared" si="3"/>
        <v>9.69</v>
      </c>
      <c r="AB11" s="1656">
        <f t="shared" si="3"/>
        <v>9.69</v>
      </c>
      <c r="AC11" s="1656">
        <f t="shared" si="3"/>
        <v>9.69</v>
      </c>
      <c r="AD11" s="1656">
        <f t="shared" si="3"/>
        <v>9.69</v>
      </c>
      <c r="AE11" s="1656">
        <f t="shared" si="3"/>
        <v>9.69</v>
      </c>
      <c r="AF11" s="1656">
        <f t="shared" si="3"/>
        <v>9.69</v>
      </c>
      <c r="AG11" s="1656">
        <f t="shared" si="3"/>
        <v>9.69</v>
      </c>
      <c r="AH11" s="1656">
        <f t="shared" si="3"/>
        <v>9.69</v>
      </c>
      <c r="AI11" s="1656">
        <f t="shared" si="3"/>
        <v>9.69</v>
      </c>
      <c r="AJ11" s="1656">
        <f t="shared" si="3"/>
        <v>9.69</v>
      </c>
    </row>
    <row r="12" spans="1:39" ht="25.5" thickBot="1">
      <c r="A12" s="3414" t="s">
        <v>1870</v>
      </c>
      <c r="B12" s="1442" t="s">
        <v>947</v>
      </c>
      <c r="C12" s="1045">
        <f>ROUND(C15*D15*E15*F15*G15*H15*I15*J15,4)</f>
        <v>1</v>
      </c>
      <c r="D12" s="1443" t="s">
        <v>948</v>
      </c>
      <c r="E12" s="1444"/>
      <c r="F12" s="1444"/>
      <c r="G12" s="1445"/>
      <c r="H12" s="1445"/>
      <c r="I12" s="1445"/>
      <c r="J12" s="1446"/>
      <c r="K12" s="1404"/>
      <c r="L12" s="1892" t="s">
        <v>2250</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23"/>
      <c r="X12" s="2964" t="s">
        <v>2788</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16"/>
      <c r="B13" s="1447" t="s">
        <v>1695</v>
      </c>
      <c r="C13" s="1448" t="s">
        <v>1696</v>
      </c>
      <c r="D13" s="1091" t="s">
        <v>1697</v>
      </c>
      <c r="E13" s="1091" t="s">
        <v>1698</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23"/>
      <c r="X13" s="2964"/>
      <c r="Y13" s="2963">
        <f>(-0.163*(Y12^2)-0.59*Y12+7617)*(10^(-4))/Y11</f>
        <v>7.8606811145510838E-2</v>
      </c>
      <c r="Z13" s="2963">
        <f t="shared" ref="Z13:AJ13" si="5">(-0.163*(Z12^2)-0.59*Z12+7617)*(10^(-4))/Z11</f>
        <v>7.8606811145510838E-2</v>
      </c>
      <c r="AA13" s="2963">
        <f t="shared" si="5"/>
        <v>7.8606811145510838E-2</v>
      </c>
      <c r="AB13" s="2963">
        <f t="shared" si="5"/>
        <v>7.8606811145510838E-2</v>
      </c>
      <c r="AC13" s="2963">
        <f t="shared" si="5"/>
        <v>7.8606811145510838E-2</v>
      </c>
      <c r="AD13" s="2963">
        <f t="shared" si="5"/>
        <v>7.8606811145510838E-2</v>
      </c>
      <c r="AE13" s="2963">
        <f t="shared" si="5"/>
        <v>7.8606811145510838E-2</v>
      </c>
      <c r="AF13" s="2963">
        <f t="shared" si="5"/>
        <v>7.8606811145510838E-2</v>
      </c>
      <c r="AG13" s="2963">
        <f t="shared" si="5"/>
        <v>7.8606811145510838E-2</v>
      </c>
      <c r="AH13" s="2963">
        <f t="shared" si="5"/>
        <v>7.8606811145510838E-2</v>
      </c>
      <c r="AI13" s="2963">
        <f t="shared" si="5"/>
        <v>7.8606811145510838E-2</v>
      </c>
      <c r="AJ13" s="2963">
        <f t="shared" si="5"/>
        <v>7.8606811145510838E-2</v>
      </c>
    </row>
    <row r="14" spans="1:39" ht="12.75" customHeight="1" thickBot="1">
      <c r="A14" s="3416"/>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17"/>
      <c r="B15" s="1462" t="s">
        <v>1699</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14" t="s">
        <v>1837</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15"/>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1828</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1834</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43035</v>
      </c>
      <c r="H19" s="1478" t="s">
        <v>2940</v>
      </c>
      <c r="I19" s="2814" t="str">
        <f>IF(H19="季度增幅（自定义）",SUMIF(N21:N24,E2,O21:O24),"")</f>
        <v/>
      </c>
      <c r="J19" s="1474"/>
      <c r="K19" s="1484"/>
      <c r="L19" s="3069" t="s">
        <v>2847</v>
      </c>
      <c r="M19" s="3070">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1835</v>
      </c>
      <c r="B20" s="2809" t="s">
        <v>973</v>
      </c>
      <c r="C20" s="2810" t="e">
        <f>ROUND(POWER(1+G20,J20-I20)*(POWER(1+G20,I20)-1)/(POWER(1+G20,J20)-1),4)</f>
        <v>#DIV/0!</v>
      </c>
      <c r="D20" s="2811" t="s">
        <v>974</v>
      </c>
      <c r="E20" s="3124">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1" t="s">
        <v>2848</v>
      </c>
      <c r="M20" s="3072">
        <f>ROUND(SUMPRODUCT((地价!A5:A20=YEAR(G19)&amp;"-"&amp;ROUNDUP(MONTH(G19)/3,0))*(地价!B2:F2=E2)*(地价!B5:F20)),0)</f>
        <v>0</v>
      </c>
      <c r="N20" s="2819" t="s">
        <v>2651</v>
      </c>
      <c r="O20" s="2817" t="s">
        <v>2650</v>
      </c>
      <c r="P20" s="2818" t="s">
        <v>2656</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1836</v>
      </c>
      <c r="B21" s="1483" t="s">
        <v>2767</v>
      </c>
      <c r="C21" s="1160">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1869</v>
      </c>
      <c r="B22" s="1486" t="s">
        <v>978</v>
      </c>
      <c r="C22" s="1062" t="s">
        <v>1701</v>
      </c>
      <c r="D22" s="1062">
        <f>IF(E22=G22,F22,IF(G3&lt;=10,ROUND(F22+(H22-F22)*(G3-E22)/(G22-E22),4),"——"))</f>
        <v>0</v>
      </c>
      <c r="E22" s="1041">
        <f>ROUNDDOWN(G3,1)</f>
        <v>9.6</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9.6999999999999993</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1870</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1871</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1872</v>
      </c>
      <c r="B25" s="1489" t="s">
        <v>984</v>
      </c>
      <c r="C25" s="1490"/>
      <c r="D25" s="1433"/>
      <c r="E25" s="1433"/>
      <c r="F25" s="1491"/>
      <c r="G25" s="1433"/>
      <c r="H25" s="1433"/>
      <c r="I25" s="1433"/>
      <c r="J25" s="1434"/>
      <c r="K25" s="1404"/>
      <c r="L25" s="2199"/>
      <c r="M25" s="2199"/>
      <c r="N25" s="2827" t="s">
        <v>2654</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5" t="e">
        <f>ROUND(C5*C18*C19*C20*C21*C24,0)</f>
        <v>#DIV/0!</v>
      </c>
      <c r="D29" s="1507"/>
      <c r="E29" s="1853" t="e">
        <f>ROUND(C29*D29/10000,0)</f>
        <v>#DIV/0!</v>
      </c>
      <c r="F29" s="1508" t="s">
        <v>1700</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3"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20" t="s">
        <v>2967</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21"/>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21"/>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22"/>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1702</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1704</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1703</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1010</v>
      </c>
      <c r="B46" s="2436" t="s">
        <v>1011</v>
      </c>
      <c r="C46" s="2458" t="s">
        <v>1012</v>
      </c>
      <c r="D46" s="2459" t="s">
        <v>1013</v>
      </c>
      <c r="E46" s="2460" t="s">
        <v>1015</v>
      </c>
      <c r="F46" s="2461" t="s">
        <v>2251</v>
      </c>
      <c r="G46" s="2459" t="s">
        <v>1016</v>
      </c>
      <c r="H46" s="2442" t="s">
        <v>2420</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1022</v>
      </c>
      <c r="B47" s="2439" t="str">
        <f>估价对象房地状况!C16</f>
        <v>位于通州区运河核心区，现处于开发建设阶段，目前周边大型商业较少，多为社区配套商业，商业繁华度一般。</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1023</v>
      </c>
      <c r="B48" s="2436" t="str">
        <f>估价对象房地状况!C18</f>
        <v>周边路网较为密集。周边有322路、342路、589路、626路等公交线路，紧邻地铁6号线，公交便捷度较好。整体交通便捷度较好。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1024</v>
      </c>
      <c r="B49" s="2436" t="str">
        <f>估价对象房地状况!C19</f>
        <v>零星有其他用地，基本不影响本宗地。</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1025</v>
      </c>
      <c r="B50" s="3126" t="s">
        <v>2942</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1026</v>
      </c>
      <c r="B51" s="2436" t="str">
        <f>估价对象房地状况!C24</f>
        <v>城市次干道——东关大道</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1027</v>
      </c>
      <c r="B52" s="3125" t="s">
        <v>2941</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周边分布银行、购物场所、餐饮等配套设施较多，公共设施状况较好。</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七通</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周边约1公里范围内人文设施较少；周边约1公里范围内有运河奥体公园等，紧邻运河，自然环境较好。综合评价，综合考虑自然及人文环境较好。</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1010</v>
      </c>
      <c r="B57" s="2436"/>
      <c r="C57" s="2458" t="s">
        <v>1012</v>
      </c>
      <c r="D57" s="2459" t="s">
        <v>1013</v>
      </c>
      <c r="E57" s="2460" t="s">
        <v>1015</v>
      </c>
      <c r="F57" s="2461" t="s">
        <v>2252</v>
      </c>
      <c r="G57" s="2459" t="s">
        <v>1016</v>
      </c>
      <c r="H57" s="2442" t="s">
        <v>2420</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1032</v>
      </c>
      <c r="B58" s="2439" t="str">
        <f>估价对象房地状况!C17</f>
        <v>周边已建成及在建的综合项目有金成府写字楼、瑞都国际中心等，出租率一般，办公集聚程度一般。</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1023</v>
      </c>
      <c r="B59" s="2436" t="str">
        <f>估价对象房地状况!C18</f>
        <v>周边路网较为密集。周边有322路、342路、589路、626路等公交线路，紧邻地铁6号线，公交便捷度较好。整体交通便捷度较好。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1024</v>
      </c>
      <c r="B60" s="2436" t="str">
        <f>估价对象房地状况!C19</f>
        <v>零星有其他用地，基本不影响本宗地。</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1025</v>
      </c>
      <c r="B61" s="3126" t="s">
        <v>2943</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1026</v>
      </c>
      <c r="B62" s="2436" t="str">
        <f>估价对象房地状况!C24</f>
        <v>城市次干道——东关大道</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1027</v>
      </c>
      <c r="B63" s="3125" t="s">
        <v>2941</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1028</v>
      </c>
      <c r="B64" s="2437" t="str">
        <f>估价对象房地状况!C21</f>
        <v>周边分布银行、购物场所、餐饮等配套设施较多，公共设施状况较好。</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1029</v>
      </c>
      <c r="B65" s="2437" t="str">
        <f>估价对象房地状况!C22</f>
        <v>七通</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周边约1公里范围内人文设施较少；周边约1公里范围内有运河奥体公园等，紧邻运河，自然环境较好。综合评价，综合考虑自然及人文环境较好。</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1010</v>
      </c>
      <c r="B68" s="2436"/>
      <c r="C68" s="2458" t="s">
        <v>1012</v>
      </c>
      <c r="D68" s="2459" t="s">
        <v>1013</v>
      </c>
      <c r="E68" s="2460" t="s">
        <v>1015</v>
      </c>
      <c r="F68" s="2461" t="s">
        <v>2253</v>
      </c>
      <c r="G68" s="2459" t="s">
        <v>1016</v>
      </c>
      <c r="H68" s="2442" t="s">
        <v>2420</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1034</v>
      </c>
      <c r="B69" s="2439">
        <f>估价对象房地状况!C15</f>
        <v>0</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1035</v>
      </c>
      <c r="B70" s="2436" t="str">
        <f>估价对象房地状况!C18</f>
        <v>周边路网较为密集。周边有322路、342路、589路、626路等公交线路，紧邻地铁6号线，公交便捷度较好。整体交通便捷度较好。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1024</v>
      </c>
      <c r="B71" s="2436" t="str">
        <f>估价对象房地状况!C19</f>
        <v>零星有其他用地，基本不影响本宗地。</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1036</v>
      </c>
      <c r="B72" s="2436" t="str">
        <f>估价对象房地状况!C24</f>
        <v>城市次干道——东关大道</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1028</v>
      </c>
      <c r="B73" s="2437" t="str">
        <f>估价对象房地状况!C21</f>
        <v>周边分布银行、购物场所、餐饮等配套设施较多，公共设施状况较好。</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1029</v>
      </c>
      <c r="B74" s="2437" t="str">
        <f>估价对象房地状况!C22</f>
        <v>七通</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1027</v>
      </c>
      <c r="B75" s="3125" t="s">
        <v>2941</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1030</v>
      </c>
      <c r="B76" s="2439" t="str">
        <f>估价对象房地状况!C20</f>
        <v>周边约1公里范围内人文设施较少；周边约1公里范围内有运河奥体公园等，紧邻运河，自然环境较好。综合评价，综合考虑自然及人文环境较好。</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1010</v>
      </c>
      <c r="B79" s="2436"/>
      <c r="C79" s="2458" t="s">
        <v>1012</v>
      </c>
      <c r="D79" s="2459" t="s">
        <v>1013</v>
      </c>
      <c r="E79" s="2460" t="s">
        <v>1015</v>
      </c>
      <c r="F79" s="2461" t="s">
        <v>2254</v>
      </c>
      <c r="G79" s="2459" t="s">
        <v>1016</v>
      </c>
      <c r="H79" s="2442" t="s">
        <v>2420</v>
      </c>
      <c r="I79" s="2459" t="s">
        <v>1014</v>
      </c>
      <c r="J79" s="2462" t="s">
        <v>1017</v>
      </c>
      <c r="K79" s="2462" t="s">
        <v>1018</v>
      </c>
      <c r="L79" s="2462" t="s">
        <v>1019</v>
      </c>
      <c r="M79" s="2462" t="s">
        <v>1020</v>
      </c>
      <c r="N79" s="2462" t="s">
        <v>1021</v>
      </c>
      <c r="AC79" s="1408"/>
      <c r="AD79" s="1407"/>
      <c r="AJ79" s="1406"/>
      <c r="AN79" s="1407"/>
    </row>
    <row r="80" spans="1:40" ht="36">
      <c r="A80" s="1069" t="s">
        <v>1039</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1035</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1024</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1036</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1028</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1029</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1027</v>
      </c>
      <c r="B86" s="3125" t="s">
        <v>2941</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18" t="s">
        <v>1635</v>
      </c>
      <c r="B90" s="3418"/>
      <c r="C90" s="3418"/>
      <c r="D90" s="3418"/>
      <c r="E90" s="3418"/>
      <c r="F90" s="3418"/>
      <c r="G90" s="3418"/>
      <c r="H90" s="3418"/>
      <c r="I90" s="3418"/>
      <c r="J90" s="3418"/>
      <c r="K90" s="2478"/>
      <c r="L90" s="2478"/>
      <c r="M90" s="2478"/>
      <c r="N90" s="2478"/>
    </row>
    <row r="91" spans="1:40">
      <c r="A91" s="3419" t="s">
        <v>1445</v>
      </c>
      <c r="B91" s="3419" t="s">
        <v>1636</v>
      </c>
      <c r="C91" s="1142" t="s">
        <v>1637</v>
      </c>
      <c r="D91" s="1143"/>
      <c r="E91" s="1143"/>
      <c r="F91" s="1143"/>
      <c r="G91" s="1143"/>
      <c r="H91" s="1143"/>
      <c r="I91" s="1143"/>
      <c r="J91" s="1144"/>
      <c r="K91" s="1136"/>
      <c r="L91" s="1136"/>
      <c r="M91" s="1136"/>
      <c r="N91" s="1136"/>
    </row>
    <row r="92" spans="1:40">
      <c r="A92" s="3419"/>
      <c r="B92" s="3419"/>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26" t="s">
        <v>2770</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7"/>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7"/>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7"/>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7"/>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7"/>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7"/>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8"/>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6" t="s">
        <v>1639</v>
      </c>
      <c r="B101" s="1149" t="s">
        <v>907</v>
      </c>
      <c r="C101" s="1150">
        <f>$G$3</f>
        <v>9.69</v>
      </c>
      <c r="D101" s="1150">
        <f t="shared" ref="D101:N101" si="31">$G$3</f>
        <v>9.69</v>
      </c>
      <c r="E101" s="1150">
        <f t="shared" si="31"/>
        <v>9.69</v>
      </c>
      <c r="F101" s="1150">
        <f t="shared" si="31"/>
        <v>9.69</v>
      </c>
      <c r="G101" s="1150">
        <f t="shared" si="31"/>
        <v>9.69</v>
      </c>
      <c r="H101" s="1150">
        <f t="shared" si="31"/>
        <v>9.69</v>
      </c>
      <c r="I101" s="1150">
        <f t="shared" si="31"/>
        <v>9.69</v>
      </c>
      <c r="J101" s="1150">
        <f t="shared" si="31"/>
        <v>9.69</v>
      </c>
      <c r="K101" s="1150">
        <f t="shared" si="31"/>
        <v>9.69</v>
      </c>
      <c r="L101" s="1150">
        <f t="shared" si="31"/>
        <v>9.69</v>
      </c>
      <c r="M101" s="1150">
        <f t="shared" si="31"/>
        <v>9.69</v>
      </c>
      <c r="N101" s="1150">
        <f t="shared" si="31"/>
        <v>9.69</v>
      </c>
    </row>
    <row r="102" spans="1:14">
      <c r="A102" s="3427"/>
      <c r="B102" s="1145">
        <v>1</v>
      </c>
      <c r="C102" s="1146">
        <f>1.9362/C101</f>
        <v>0.19981424148606811</v>
      </c>
      <c r="D102" s="1146">
        <f>1.9362/D101</f>
        <v>0.19981424148606811</v>
      </c>
      <c r="E102" s="1146">
        <f>1.8629/E101</f>
        <v>0.19224974200206399</v>
      </c>
      <c r="F102" s="1146">
        <f>1.8629/F101</f>
        <v>0.19224974200206399</v>
      </c>
      <c r="G102" s="1146">
        <f>1.8629/G101</f>
        <v>0.19224974200206399</v>
      </c>
      <c r="H102" s="1146">
        <f>1.8629/H101</f>
        <v>0.19224974200206399</v>
      </c>
      <c r="I102" s="1146">
        <f>1.8629/I101</f>
        <v>0.19224974200206399</v>
      </c>
      <c r="J102" s="1146">
        <f>1.942/J101</f>
        <v>0.20041279669762643</v>
      </c>
      <c r="K102" s="1146">
        <f>1.942/K101</f>
        <v>0.20041279669762643</v>
      </c>
      <c r="L102" s="1146">
        <f>1.942/L101</f>
        <v>0.20041279669762643</v>
      </c>
      <c r="M102" s="1146">
        <f>1.942/M101</f>
        <v>0.20041279669762643</v>
      </c>
      <c r="N102" s="1146">
        <f>1.942/N101</f>
        <v>0.20041279669762643</v>
      </c>
    </row>
    <row r="103" spans="1:14">
      <c r="A103" s="3427"/>
      <c r="B103" s="1145">
        <v>2</v>
      </c>
      <c r="C103" s="1146">
        <f>1.4198/C101</f>
        <v>0.14652218782249743</v>
      </c>
      <c r="D103" s="1146">
        <f>1.4198/D101</f>
        <v>0.14652218782249743</v>
      </c>
      <c r="E103" s="1146">
        <f>1.3372/E101</f>
        <v>0.13799793601651186</v>
      </c>
      <c r="F103" s="1146">
        <f>1.3372/F101</f>
        <v>0.13799793601651186</v>
      </c>
      <c r="G103" s="1146">
        <f>1.3372/G101</f>
        <v>0.13799793601651186</v>
      </c>
      <c r="H103" s="1146">
        <f>1.3372/H101</f>
        <v>0.13799793601651186</v>
      </c>
      <c r="I103" s="1146">
        <f>1.3372/I101</f>
        <v>0.13799793601651186</v>
      </c>
      <c r="J103" s="1146">
        <f>1.2799/J101</f>
        <v>0.13208462332301343</v>
      </c>
      <c r="K103" s="1146">
        <f>1.2799/K101</f>
        <v>0.13208462332301343</v>
      </c>
      <c r="L103" s="1146">
        <f>1.2799/L101</f>
        <v>0.13208462332301343</v>
      </c>
      <c r="M103" s="1146">
        <f>1.2799/M101</f>
        <v>0.13208462332301343</v>
      </c>
      <c r="N103" s="1146">
        <f>1.2799/N101</f>
        <v>0.13208462332301343</v>
      </c>
    </row>
    <row r="104" spans="1:14">
      <c r="A104" s="3427"/>
      <c r="B104" s="1145">
        <v>3</v>
      </c>
      <c r="C104" s="1146">
        <f>1.1594/C101</f>
        <v>0.11964912280701755</v>
      </c>
      <c r="D104" s="1146">
        <f>1.1594/D101</f>
        <v>0.11964912280701755</v>
      </c>
      <c r="E104" s="1146">
        <f>1.0788/E101</f>
        <v>0.1113312693498452</v>
      </c>
      <c r="F104" s="1146">
        <f>1.0788/F101</f>
        <v>0.1113312693498452</v>
      </c>
      <c r="G104" s="1146">
        <f>1.0788/G101</f>
        <v>0.1113312693498452</v>
      </c>
      <c r="H104" s="1146">
        <f>1.0788/H101</f>
        <v>0.1113312693498452</v>
      </c>
      <c r="I104" s="1146">
        <f>1.0788/I101</f>
        <v>0.1113312693498452</v>
      </c>
      <c r="J104" s="1146">
        <f>1.0072/J101</f>
        <v>0.10394220846233232</v>
      </c>
      <c r="K104" s="1146">
        <f>1.0072/K101</f>
        <v>0.10394220846233232</v>
      </c>
      <c r="L104" s="1146">
        <f>1.0072/L101</f>
        <v>0.10394220846233232</v>
      </c>
      <c r="M104" s="1146">
        <f>1.0072/M101</f>
        <v>0.10394220846233232</v>
      </c>
      <c r="N104" s="1146">
        <f>1.0072/N101</f>
        <v>0.10394220846233232</v>
      </c>
    </row>
    <row r="105" spans="1:14">
      <c r="A105" s="3427"/>
      <c r="B105" s="1145">
        <v>4</v>
      </c>
      <c r="C105" s="1146">
        <f>0.9622/C101</f>
        <v>9.9298245614035094E-2</v>
      </c>
      <c r="D105" s="1146">
        <f>0.9622/D101</f>
        <v>9.9298245614035094E-2</v>
      </c>
      <c r="E105" s="1146">
        <f>0.8656/E101</f>
        <v>8.9329205366357078E-2</v>
      </c>
      <c r="F105" s="1146">
        <f>0.8656/F101</f>
        <v>8.9329205366357078E-2</v>
      </c>
      <c r="G105" s="1146">
        <f>0.8656/G101</f>
        <v>8.9329205366357078E-2</v>
      </c>
      <c r="H105" s="1146">
        <f>0.8656/H101</f>
        <v>8.9329205366357078E-2</v>
      </c>
      <c r="I105" s="1146">
        <f>0.8656/I101</f>
        <v>8.9329205366357078E-2</v>
      </c>
      <c r="J105" s="1146">
        <f>0.7525/J101</f>
        <v>7.7657378740970076E-2</v>
      </c>
      <c r="K105" s="1146">
        <f>0.7525/K101</f>
        <v>7.7657378740970076E-2</v>
      </c>
      <c r="L105" s="1146">
        <f>0.7525/L101</f>
        <v>7.7657378740970076E-2</v>
      </c>
      <c r="M105" s="1146">
        <f>0.7525/M101</f>
        <v>7.7657378740970076E-2</v>
      </c>
      <c r="N105" s="1146">
        <f>0.7525/N101</f>
        <v>7.7657378740970076E-2</v>
      </c>
    </row>
    <row r="106" spans="1:14">
      <c r="A106" s="3427"/>
      <c r="B106" s="1145">
        <v>5</v>
      </c>
      <c r="C106" s="1146">
        <f>0.8417/C101</f>
        <v>8.6862745098039221E-2</v>
      </c>
      <c r="D106" s="1146">
        <f>0.8417/D101</f>
        <v>8.6862745098039221E-2</v>
      </c>
      <c r="E106" s="1146">
        <f>0.7371/E101</f>
        <v>7.6068111455108361E-2</v>
      </c>
      <c r="F106" s="1146">
        <f>0.7371/F101</f>
        <v>7.6068111455108361E-2</v>
      </c>
      <c r="G106" s="1146">
        <f>0.7371/G101</f>
        <v>7.6068111455108361E-2</v>
      </c>
      <c r="H106" s="1146">
        <f>0.7371/H101</f>
        <v>7.6068111455108361E-2</v>
      </c>
      <c r="I106" s="1146">
        <f>0.7371/I101</f>
        <v>7.6068111455108361E-2</v>
      </c>
      <c r="J106" s="1146">
        <f>0.5659/J101</f>
        <v>5.8400412796697623E-2</v>
      </c>
      <c r="K106" s="1146">
        <f>0.5659/K101</f>
        <v>5.8400412796697623E-2</v>
      </c>
      <c r="L106" s="1146">
        <f>0.5659/L101</f>
        <v>5.8400412796697623E-2</v>
      </c>
      <c r="M106" s="1146">
        <f>0.5659/M101</f>
        <v>5.8400412796697623E-2</v>
      </c>
      <c r="N106" s="1146">
        <f>0.5659/N101</f>
        <v>5.8400412796697623E-2</v>
      </c>
    </row>
    <row r="107" spans="1:14">
      <c r="A107" s="3427"/>
      <c r="B107" s="1145">
        <v>6</v>
      </c>
      <c r="C107" s="1146">
        <f>0.7608/C101</f>
        <v>7.8513931888544899E-2</v>
      </c>
      <c r="D107" s="1146">
        <f>0.7608/D101</f>
        <v>7.8513931888544899E-2</v>
      </c>
      <c r="E107" s="1146">
        <f>0.6482/E101</f>
        <v>6.6893704850361196E-2</v>
      </c>
      <c r="F107" s="1146">
        <f>0.6482/F101</f>
        <v>6.6893704850361196E-2</v>
      </c>
      <c r="G107" s="1146">
        <f>0.6482/G101</f>
        <v>6.6893704850361196E-2</v>
      </c>
      <c r="H107" s="1146">
        <f>0.6482/H101</f>
        <v>6.6893704850361196E-2</v>
      </c>
      <c r="I107" s="1146">
        <f>0.6482/I101</f>
        <v>6.6893704850361196E-2</v>
      </c>
      <c r="J107" s="1146">
        <f>0.4525/J101</f>
        <v>4.6697626418988655E-2</v>
      </c>
      <c r="K107" s="1146">
        <f>0.4525/K101</f>
        <v>4.6697626418988655E-2</v>
      </c>
      <c r="L107" s="1146">
        <f>0.4525/L101</f>
        <v>4.6697626418988655E-2</v>
      </c>
      <c r="M107" s="1146">
        <f>0.4525/M101</f>
        <v>4.6697626418988655E-2</v>
      </c>
      <c r="N107" s="1146">
        <f>0.4525/N101</f>
        <v>4.6697626418988655E-2</v>
      </c>
    </row>
    <row r="108" spans="1:14">
      <c r="A108" s="3427"/>
      <c r="B108" s="3429"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8"/>
      <c r="B109" s="3430"/>
      <c r="C109" s="1148">
        <f>(-0.163*(C108^2)-0.59*C108+7617)*(10^(-4))/C101</f>
        <v>7.8450443756449953E-2</v>
      </c>
      <c r="D109" s="1148">
        <f>(-0.163*(D108^2)-0.59*D108+7617)*(10^(-4))/D101</f>
        <v>7.8450443756449953E-2</v>
      </c>
      <c r="E109" s="1148">
        <f>(-0.161*(E108^2)-7.509*E108+6533)*(10^(-4))/E101</f>
        <v>6.669374613003097E-2</v>
      </c>
      <c r="F109" s="1148">
        <f>(-0.161*(F108^2)-7.509*F108+6533)*(10^(-4))/F101</f>
        <v>6.669374613003097E-2</v>
      </c>
      <c r="G109" s="1148">
        <f>(-0.161*(G108^2)-7.509*G108+6533)*(10^(-4))/G101</f>
        <v>6.669374613003097E-2</v>
      </c>
      <c r="H109" s="1148">
        <f>(-0.161*(H108^2)-7.509*H108+6533)*(10^(-4))/H101</f>
        <v>6.669374613003097E-2</v>
      </c>
      <c r="I109" s="1148">
        <f>(-0.161*(I108^2)-7.509*I108+6533)*(10^(-4))/I101</f>
        <v>6.669374613003097E-2</v>
      </c>
      <c r="J109" s="1148">
        <f>(-0.214*(J108^2)-21.991*J108+4665)*(10^(-4))/J101</f>
        <v>4.6185510835913317E-2</v>
      </c>
      <c r="K109" s="1148">
        <f>(-0.214*(K108^2)-21.991*K108+4665)*(10^(-4))/K101</f>
        <v>4.6185510835913317E-2</v>
      </c>
      <c r="L109" s="1148">
        <f>(-0.214*(L108^2)-21.991*L108+4665)*(10^(-4))/L101</f>
        <v>4.6185510835913317E-2</v>
      </c>
      <c r="M109" s="1148">
        <f>(-0.214*(M108^2)-21.991*M108+4665)*(10^(-4))/M101</f>
        <v>4.6185510835913317E-2</v>
      </c>
      <c r="N109" s="1148">
        <f>(-0.214*(N108^2)-21.991*N108+4665)*(10^(-4))/N101</f>
        <v>4.6185510835913317E-2</v>
      </c>
    </row>
    <row r="110" spans="1:14">
      <c r="A110" s="3413" t="s">
        <v>1641</v>
      </c>
      <c r="B110" s="3413"/>
      <c r="C110" s="3413"/>
      <c r="D110" s="3413"/>
      <c r="E110" s="3413"/>
      <c r="F110" s="3413"/>
      <c r="G110" s="3413"/>
      <c r="H110" s="3413"/>
      <c r="I110" s="3413"/>
      <c r="J110" s="3413"/>
      <c r="K110" s="2476"/>
      <c r="L110" s="2476"/>
      <c r="M110" s="2476"/>
      <c r="N110" s="2476"/>
    </row>
    <row r="112" spans="1:14" ht="12.75" thickBot="1"/>
    <row r="113" spans="1:13" ht="25.5" thickBot="1">
      <c r="A113" s="1018" t="s">
        <v>897</v>
      </c>
      <c r="B113" s="2479">
        <f>G3</f>
        <v>9.69</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0.84240000000000004</v>
      </c>
      <c r="C115" s="1032">
        <f>B115</f>
        <v>0.84240000000000004</v>
      </c>
      <c r="D115" s="1032">
        <f>ROUND(0.8331-0.0109*B113,4)</f>
        <v>0.72750000000000004</v>
      </c>
      <c r="E115" s="1032">
        <f>D115</f>
        <v>0.72750000000000004</v>
      </c>
      <c r="F115" s="1032">
        <f>E115</f>
        <v>0.72750000000000004</v>
      </c>
      <c r="G115" s="1032">
        <f>F115</f>
        <v>0.72750000000000004</v>
      </c>
      <c r="H115" s="1032">
        <f>G115</f>
        <v>0.72750000000000004</v>
      </c>
      <c r="I115" s="1032">
        <f>ROUND(0.689-0.0155*B113,4)</f>
        <v>0.53879999999999995</v>
      </c>
      <c r="J115" s="1032">
        <f t="shared" ref="J115:M118" si="33">I115</f>
        <v>0.53879999999999995</v>
      </c>
      <c r="K115" s="1032">
        <f t="shared" si="33"/>
        <v>0.53879999999999995</v>
      </c>
      <c r="L115" s="1032">
        <f t="shared" si="33"/>
        <v>0.53879999999999995</v>
      </c>
      <c r="M115" s="1033">
        <f t="shared" si="33"/>
        <v>0.53879999999999995</v>
      </c>
    </row>
    <row r="116" spans="1:13" ht="12.75">
      <c r="A116" s="1031" t="s">
        <v>902</v>
      </c>
      <c r="B116" s="1032">
        <f>ROUND(0.949-0.012*B113,4)</f>
        <v>0.8327</v>
      </c>
      <c r="C116" s="1032">
        <f>B116</f>
        <v>0.8327</v>
      </c>
      <c r="D116" s="1032">
        <f>ROUND(0.8567-0.013*B113,4)</f>
        <v>0.73070000000000002</v>
      </c>
      <c r="E116" s="1032">
        <f t="shared" ref="E116:H117" si="34">D116</f>
        <v>0.73070000000000002</v>
      </c>
      <c r="F116" s="1032">
        <f t="shared" si="34"/>
        <v>0.73070000000000002</v>
      </c>
      <c r="G116" s="1032">
        <f t="shared" si="34"/>
        <v>0.73070000000000002</v>
      </c>
      <c r="H116" s="1032">
        <f t="shared" si="34"/>
        <v>0.73070000000000002</v>
      </c>
      <c r="I116" s="1032">
        <f>ROUND(0.7694-0.014*B113,4)</f>
        <v>0.63370000000000004</v>
      </c>
      <c r="J116" s="1032">
        <f t="shared" si="33"/>
        <v>0.63370000000000004</v>
      </c>
      <c r="K116" s="1032">
        <f t="shared" si="33"/>
        <v>0.63370000000000004</v>
      </c>
      <c r="L116" s="1032">
        <f t="shared" si="33"/>
        <v>0.63370000000000004</v>
      </c>
      <c r="M116" s="1033">
        <f t="shared" si="33"/>
        <v>0.63370000000000004</v>
      </c>
    </row>
    <row r="117" spans="1:13" ht="12.75">
      <c r="A117" s="1034" t="s">
        <v>903</v>
      </c>
      <c r="B117" s="1032">
        <f>ROUND(0.8808-0.006*B113,4)</f>
        <v>0.82269999999999999</v>
      </c>
      <c r="C117" s="1032">
        <f>B117</f>
        <v>0.82269999999999999</v>
      </c>
      <c r="D117" s="1032">
        <f>ROUND(0.8748-0.008*B113,4)</f>
        <v>0.79730000000000001</v>
      </c>
      <c r="E117" s="1032">
        <f t="shared" si="34"/>
        <v>0.79730000000000001</v>
      </c>
      <c r="F117" s="1032">
        <f t="shared" si="34"/>
        <v>0.79730000000000001</v>
      </c>
      <c r="G117" s="1032">
        <f t="shared" si="34"/>
        <v>0.79730000000000001</v>
      </c>
      <c r="H117" s="1032">
        <f t="shared" si="34"/>
        <v>0.79730000000000001</v>
      </c>
      <c r="I117" s="1032">
        <f>ROUND(0.7412-0.0095*B113,4)</f>
        <v>0.64910000000000001</v>
      </c>
      <c r="J117" s="1032">
        <f t="shared" si="33"/>
        <v>0.64910000000000001</v>
      </c>
      <c r="K117" s="1032">
        <f t="shared" si="33"/>
        <v>0.64910000000000001</v>
      </c>
      <c r="L117" s="1032">
        <f t="shared" si="33"/>
        <v>0.64910000000000001</v>
      </c>
      <c r="M117" s="1033">
        <f t="shared" si="33"/>
        <v>0.64910000000000001</v>
      </c>
    </row>
    <row r="118" spans="1:13" ht="13.5" thickBot="1">
      <c r="A118" s="1035" t="s">
        <v>904</v>
      </c>
      <c r="B118" s="1036">
        <f>ROUND(0.7275-0.01*B113,4)</f>
        <v>0.63060000000000005</v>
      </c>
      <c r="C118" s="1036">
        <f>B118</f>
        <v>0.63060000000000005</v>
      </c>
      <c r="D118" s="1036">
        <f>ROUND(0.7043-0.012*B113,4)</f>
        <v>0.58799999999999997</v>
      </c>
      <c r="E118" s="1036">
        <f>D118</f>
        <v>0.58799999999999997</v>
      </c>
      <c r="F118" s="1036">
        <f>E118</f>
        <v>0.58799999999999997</v>
      </c>
      <c r="G118" s="1036">
        <f>ROUND(0.6299-0.0122*B113,4)</f>
        <v>0.51170000000000004</v>
      </c>
      <c r="H118" s="1036">
        <f>G118</f>
        <v>0.51170000000000004</v>
      </c>
      <c r="I118" s="1036">
        <f>ROUND(0.5667-0.0136*B113,4)</f>
        <v>0.43490000000000001</v>
      </c>
      <c r="J118" s="1036">
        <f t="shared" si="33"/>
        <v>0.43490000000000001</v>
      </c>
      <c r="K118" s="1036">
        <f t="shared" si="33"/>
        <v>0.43490000000000001</v>
      </c>
      <c r="L118" s="1036">
        <f t="shared" si="33"/>
        <v>0.43490000000000001</v>
      </c>
      <c r="M118" s="1037">
        <f t="shared" si="33"/>
        <v>0.43490000000000001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19" t="s">
        <v>1009</v>
      </c>
      <c r="B18" s="1156" t="s">
        <v>1448</v>
      </c>
      <c r="C18" s="1133" t="s">
        <v>1449</v>
      </c>
      <c r="D18" s="1134"/>
      <c r="E18" s="1156">
        <v>1</v>
      </c>
      <c r="F18" s="1135" t="s">
        <v>1450</v>
      </c>
      <c r="G18" s="1136"/>
      <c r="H18" s="1107"/>
      <c r="I18" s="1107"/>
    </row>
    <row r="19" spans="1:9" s="1602" customFormat="1" ht="19.5" customHeight="1">
      <c r="A19" s="3419"/>
      <c r="B19" s="3419" t="s">
        <v>1451</v>
      </c>
      <c r="C19" s="1133" t="s">
        <v>1452</v>
      </c>
      <c r="D19" s="1134"/>
      <c r="E19" s="1156">
        <v>0.9</v>
      </c>
      <c r="F19" s="1135" t="s">
        <v>1453</v>
      </c>
      <c r="G19" s="1136"/>
      <c r="H19" s="1107"/>
      <c r="I19" s="1107"/>
    </row>
    <row r="20" spans="1:9" s="1602" customFormat="1" ht="19.5" customHeight="1">
      <c r="A20" s="3419"/>
      <c r="B20" s="3419"/>
      <c r="C20" s="1133" t="s">
        <v>1454</v>
      </c>
      <c r="D20" s="1134"/>
      <c r="E20" s="1156">
        <v>1.1000000000000001</v>
      </c>
      <c r="F20" s="1135" t="s">
        <v>1455</v>
      </c>
      <c r="G20" s="1136"/>
      <c r="H20" s="1107"/>
      <c r="I20" s="1107"/>
    </row>
    <row r="21" spans="1:9" s="1602" customFormat="1" ht="19.5" customHeight="1">
      <c r="A21" s="3419"/>
      <c r="B21" s="3419"/>
      <c r="C21" s="1133" t="s">
        <v>1456</v>
      </c>
      <c r="D21" s="1134"/>
      <c r="E21" s="1156">
        <v>0.8</v>
      </c>
      <c r="F21" s="1135" t="s">
        <v>1457</v>
      </c>
      <c r="G21" s="1136"/>
      <c r="H21" s="1107"/>
      <c r="I21" s="1107"/>
    </row>
    <row r="22" spans="1:9" s="1602" customFormat="1" ht="19.5" customHeight="1">
      <c r="A22" s="3419"/>
      <c r="B22" s="3419"/>
      <c r="C22" s="1133" t="s">
        <v>1458</v>
      </c>
      <c r="D22" s="1134"/>
      <c r="E22" s="1156">
        <v>0.5</v>
      </c>
      <c r="F22" s="1135"/>
      <c r="G22" s="1136"/>
      <c r="H22" s="1107"/>
      <c r="I22" s="1107"/>
    </row>
    <row r="23" spans="1:9" s="1602" customFormat="1" ht="19.5" customHeight="1">
      <c r="A23" s="3419" t="s">
        <v>1031</v>
      </c>
      <c r="B23" s="1156" t="s">
        <v>1448</v>
      </c>
      <c r="C23" s="1133" t="s">
        <v>1459</v>
      </c>
      <c r="D23" s="1134"/>
      <c r="E23" s="1156">
        <v>1</v>
      </c>
      <c r="F23" s="1135" t="s">
        <v>1460</v>
      </c>
      <c r="G23" s="1136"/>
      <c r="H23" s="1107"/>
      <c r="I23" s="1107"/>
    </row>
    <row r="24" spans="1:9" s="1602" customFormat="1" ht="19.5" customHeight="1">
      <c r="A24" s="3419"/>
      <c r="B24" s="3419" t="s">
        <v>1451</v>
      </c>
      <c r="C24" s="1133" t="s">
        <v>1461</v>
      </c>
      <c r="D24" s="1134"/>
      <c r="E24" s="1156">
        <v>0.5</v>
      </c>
      <c r="F24" s="1135"/>
      <c r="G24" s="1136"/>
      <c r="H24" s="1107"/>
      <c r="I24" s="1107"/>
    </row>
    <row r="25" spans="1:9" s="1602" customFormat="1" ht="19.5" customHeight="1">
      <c r="A25" s="3419"/>
      <c r="B25" s="3419"/>
      <c r="C25" s="1133" t="s">
        <v>1462</v>
      </c>
      <c r="D25" s="1134"/>
      <c r="E25" s="1156">
        <v>1.1000000000000001</v>
      </c>
      <c r="F25" s="1135"/>
      <c r="G25" s="1136"/>
      <c r="H25" s="1107"/>
      <c r="I25" s="1107"/>
    </row>
    <row r="26" spans="1:9" s="1602" customFormat="1" ht="19.5" customHeight="1">
      <c r="A26" s="3419"/>
      <c r="B26" s="3419"/>
      <c r="C26" s="1133" t="s">
        <v>1463</v>
      </c>
      <c r="D26" s="1134"/>
      <c r="E26" s="1156">
        <v>1.1000000000000001</v>
      </c>
      <c r="F26" s="1135"/>
      <c r="G26" s="1136"/>
      <c r="H26" s="1107"/>
      <c r="I26" s="1107"/>
    </row>
    <row r="27" spans="1:9" s="1602" customFormat="1" ht="19.5" customHeight="1">
      <c r="A27" s="3419"/>
      <c r="B27" s="3419"/>
      <c r="C27" s="1133" t="s">
        <v>1464</v>
      </c>
      <c r="D27" s="1134"/>
      <c r="E27" s="1156">
        <v>0.9</v>
      </c>
      <c r="F27" s="1135" t="s">
        <v>1465</v>
      </c>
      <c r="G27" s="1136"/>
      <c r="H27" s="1107"/>
      <c r="I27" s="1107"/>
    </row>
    <row r="28" spans="1:9" s="1602" customFormat="1" ht="19.5" customHeight="1">
      <c r="A28" s="3419"/>
      <c r="B28" s="3419"/>
      <c r="C28" s="1133" t="s">
        <v>1466</v>
      </c>
      <c r="D28" s="1134"/>
      <c r="E28" s="1156">
        <v>0.9</v>
      </c>
      <c r="F28" s="1135" t="s">
        <v>1467</v>
      </c>
      <c r="G28" s="1136"/>
      <c r="H28" s="1107"/>
      <c r="I28" s="1107"/>
    </row>
    <row r="29" spans="1:9" s="1602" customFormat="1" ht="19.5" customHeight="1">
      <c r="A29" s="3419"/>
      <c r="B29" s="3419"/>
      <c r="C29" s="1133" t="s">
        <v>1468</v>
      </c>
      <c r="D29" s="1134"/>
      <c r="E29" s="1156">
        <v>0.9</v>
      </c>
      <c r="F29" s="1135" t="s">
        <v>1469</v>
      </c>
      <c r="G29" s="1136"/>
      <c r="H29" s="1107"/>
      <c r="I29" s="1107"/>
    </row>
    <row r="30" spans="1:9" s="1602" customFormat="1" ht="19.5" customHeight="1">
      <c r="A30" s="3419"/>
      <c r="B30" s="3419"/>
      <c r="C30" s="1133" t="s">
        <v>1470</v>
      </c>
      <c r="D30" s="1134"/>
      <c r="E30" s="1156">
        <v>0.9</v>
      </c>
      <c r="F30" s="1135" t="s">
        <v>1471</v>
      </c>
      <c r="G30" s="1136"/>
      <c r="H30" s="1107"/>
      <c r="I30" s="1107"/>
    </row>
    <row r="31" spans="1:9" s="1602" customFormat="1" ht="19.5" customHeight="1">
      <c r="A31" s="3419"/>
      <c r="B31" s="3419"/>
      <c r="C31" s="1133" t="s">
        <v>1472</v>
      </c>
      <c r="D31" s="1134"/>
      <c r="E31" s="1156">
        <v>0.8</v>
      </c>
      <c r="F31" s="1135" t="s">
        <v>1473</v>
      </c>
      <c r="G31" s="1136"/>
      <c r="H31" s="1107"/>
      <c r="I31" s="1107"/>
    </row>
    <row r="32" spans="1:9" s="1602" customFormat="1" ht="19.5" customHeight="1">
      <c r="A32" s="3419"/>
      <c r="B32" s="3419"/>
      <c r="C32" s="1133" t="s">
        <v>1474</v>
      </c>
      <c r="D32" s="1134"/>
      <c r="E32" s="1156">
        <v>0.8</v>
      </c>
      <c r="F32" s="1135" t="s">
        <v>1475</v>
      </c>
      <c r="G32" s="1136"/>
      <c r="H32" s="1107"/>
      <c r="I32" s="1107"/>
    </row>
    <row r="33" spans="1:9" s="1602" customFormat="1" ht="19.5" customHeight="1">
      <c r="A33" s="3419" t="s">
        <v>1476</v>
      </c>
      <c r="B33" s="1156" t="s">
        <v>1448</v>
      </c>
      <c r="C33" s="1133" t="s">
        <v>1477</v>
      </c>
      <c r="D33" s="1134"/>
      <c r="E33" s="1156">
        <v>1</v>
      </c>
      <c r="F33" s="1135" t="s">
        <v>1478</v>
      </c>
      <c r="G33" s="1136"/>
      <c r="H33" s="1107"/>
      <c r="I33" s="1107"/>
    </row>
    <row r="34" spans="1:9" s="1602" customFormat="1" ht="19.5" customHeight="1">
      <c r="A34" s="3419"/>
      <c r="B34" s="1156" t="s">
        <v>1451</v>
      </c>
      <c r="C34" s="1133" t="s">
        <v>1479</v>
      </c>
      <c r="D34" s="1134"/>
      <c r="E34" s="1156">
        <v>1.5</v>
      </c>
      <c r="F34" s="1135" t="s">
        <v>1480</v>
      </c>
      <c r="G34" s="1136"/>
      <c r="H34" s="1107"/>
      <c r="I34" s="1107"/>
    </row>
    <row r="35" spans="1:9" s="1602" customFormat="1" ht="19.5" customHeight="1">
      <c r="A35" s="3419" t="s">
        <v>1434</v>
      </c>
      <c r="B35" s="1156" t="s">
        <v>1448</v>
      </c>
      <c r="C35" s="1133" t="s">
        <v>1481</v>
      </c>
      <c r="D35" s="1134"/>
      <c r="E35" s="1156">
        <v>1</v>
      </c>
      <c r="F35" s="1135" t="s">
        <v>1482</v>
      </c>
      <c r="G35" s="1136"/>
      <c r="H35" s="1107"/>
      <c r="I35" s="1107"/>
    </row>
    <row r="36" spans="1:9" s="1602" customFormat="1" ht="19.5" customHeight="1">
      <c r="A36" s="3419"/>
      <c r="B36" s="3419" t="s">
        <v>1451</v>
      </c>
      <c r="C36" s="1133" t="s">
        <v>1483</v>
      </c>
      <c r="D36" s="1134"/>
      <c r="E36" s="1156">
        <v>1</v>
      </c>
      <c r="F36" s="1135" t="s">
        <v>1484</v>
      </c>
      <c r="G36" s="1136"/>
      <c r="H36" s="1107"/>
      <c r="I36" s="1107"/>
    </row>
    <row r="37" spans="1:9" s="1602" customFormat="1" ht="19.5" customHeight="1">
      <c r="A37" s="3419"/>
      <c r="B37" s="3419"/>
      <c r="C37" s="1133" t="s">
        <v>1485</v>
      </c>
      <c r="D37" s="1134"/>
      <c r="E37" s="1156">
        <v>1.5</v>
      </c>
      <c r="F37" s="1135" t="s">
        <v>1486</v>
      </c>
      <c r="G37" s="1136"/>
      <c r="H37" s="1107"/>
      <c r="I37" s="1107"/>
    </row>
    <row r="38" spans="1:9" s="1602" customFormat="1" ht="19.5" customHeight="1">
      <c r="A38" s="3419"/>
      <c r="B38" s="3419"/>
      <c r="C38" s="1133" t="s">
        <v>1487</v>
      </c>
      <c r="D38" s="1134"/>
      <c r="E38" s="1156">
        <v>1</v>
      </c>
      <c r="F38" s="1135" t="s">
        <v>1488</v>
      </c>
      <c r="G38" s="1136"/>
      <c r="H38" s="1107"/>
      <c r="I38" s="1107"/>
    </row>
    <row r="39" spans="1:9" s="1602" customFormat="1" ht="19.5" customHeight="1">
      <c r="A39" s="3419"/>
      <c r="B39" s="3419"/>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19" t="s">
        <v>1503</v>
      </c>
      <c r="C61" s="1070" t="s">
        <v>1504</v>
      </c>
      <c r="D61" s="1070" t="s">
        <v>1505</v>
      </c>
      <c r="E61" s="1141">
        <v>0.5</v>
      </c>
      <c r="F61" s="1156">
        <v>80</v>
      </c>
      <c r="H61" s="1107">
        <f>SUMIF(C59:C119,基准地价!C8,E59:E119)</f>
        <v>0</v>
      </c>
    </row>
    <row r="62" spans="1:8" s="1107" customFormat="1" ht="24">
      <c r="A62" s="1156">
        <v>2</v>
      </c>
      <c r="B62" s="3419"/>
      <c r="C62" s="1070" t="s">
        <v>1506</v>
      </c>
      <c r="D62" s="1070" t="s">
        <v>1507</v>
      </c>
      <c r="E62" s="1141">
        <v>0.5</v>
      </c>
      <c r="F62" s="1156">
        <v>80</v>
      </c>
    </row>
    <row r="63" spans="1:8" s="1107" customFormat="1" ht="36">
      <c r="A63" s="1156">
        <v>3</v>
      </c>
      <c r="B63" s="3419"/>
      <c r="C63" s="1070" t="s">
        <v>1508</v>
      </c>
      <c r="D63" s="1070" t="s">
        <v>1509</v>
      </c>
      <c r="E63" s="1141">
        <v>0.5</v>
      </c>
      <c r="F63" s="1156">
        <v>80</v>
      </c>
    </row>
    <row r="64" spans="1:8" s="1107" customFormat="1" ht="36">
      <c r="A64" s="1156">
        <v>4</v>
      </c>
      <c r="B64" s="3419"/>
      <c r="C64" s="1070" t="s">
        <v>1510</v>
      </c>
      <c r="D64" s="1070" t="s">
        <v>1511</v>
      </c>
      <c r="E64" s="1141">
        <v>0.4</v>
      </c>
      <c r="F64" s="1156">
        <v>60</v>
      </c>
    </row>
    <row r="65" spans="1:6" s="1107" customFormat="1" ht="36">
      <c r="A65" s="1156">
        <v>5</v>
      </c>
      <c r="B65" s="3419"/>
      <c r="C65" s="1070" t="s">
        <v>1512</v>
      </c>
      <c r="D65" s="1070" t="s">
        <v>1513</v>
      </c>
      <c r="E65" s="1141">
        <v>0.2</v>
      </c>
      <c r="F65" s="1156">
        <v>30</v>
      </c>
    </row>
    <row r="66" spans="1:6" s="1107" customFormat="1" ht="36">
      <c r="A66" s="1156">
        <v>6</v>
      </c>
      <c r="B66" s="3419"/>
      <c r="C66" s="1070" t="s">
        <v>1514</v>
      </c>
      <c r="D66" s="1070" t="s">
        <v>1515</v>
      </c>
      <c r="E66" s="1141">
        <v>0.3</v>
      </c>
      <c r="F66" s="1156">
        <v>50</v>
      </c>
    </row>
    <row r="67" spans="1:6" s="1107" customFormat="1" ht="36">
      <c r="A67" s="1156">
        <v>7</v>
      </c>
      <c r="B67" s="3419"/>
      <c r="C67" s="1070" t="s">
        <v>1516</v>
      </c>
      <c r="D67" s="1070" t="s">
        <v>1517</v>
      </c>
      <c r="E67" s="1141">
        <v>0.2</v>
      </c>
      <c r="F67" s="1156">
        <v>30</v>
      </c>
    </row>
    <row r="68" spans="1:6" s="1107" customFormat="1" ht="36">
      <c r="A68" s="1156">
        <v>8</v>
      </c>
      <c r="B68" s="3419"/>
      <c r="C68" s="1070" t="s">
        <v>1518</v>
      </c>
      <c r="D68" s="1070" t="s">
        <v>1519</v>
      </c>
      <c r="E68" s="1141">
        <v>0.2</v>
      </c>
      <c r="F68" s="1156">
        <v>30</v>
      </c>
    </row>
    <row r="69" spans="1:6" s="1107" customFormat="1" ht="36">
      <c r="A69" s="1156">
        <v>9</v>
      </c>
      <c r="B69" s="3419"/>
      <c r="C69" s="1070" t="s">
        <v>1520</v>
      </c>
      <c r="D69" s="1070" t="s">
        <v>1521</v>
      </c>
      <c r="E69" s="1141">
        <v>0.2</v>
      </c>
      <c r="F69" s="1156">
        <v>30</v>
      </c>
    </row>
    <row r="70" spans="1:6" s="1107" customFormat="1" ht="48">
      <c r="A70" s="1156">
        <v>10</v>
      </c>
      <c r="B70" s="3419"/>
      <c r="C70" s="1070" t="s">
        <v>1522</v>
      </c>
      <c r="D70" s="1070" t="s">
        <v>1523</v>
      </c>
      <c r="E70" s="1141">
        <v>0.2</v>
      </c>
      <c r="F70" s="1156">
        <v>30</v>
      </c>
    </row>
    <row r="71" spans="1:6" s="1107" customFormat="1" ht="48">
      <c r="A71" s="1156">
        <v>11</v>
      </c>
      <c r="B71" s="3419"/>
      <c r="C71" s="1070" t="s">
        <v>1524</v>
      </c>
      <c r="D71" s="1070" t="s">
        <v>1525</v>
      </c>
      <c r="E71" s="1141">
        <v>0.2</v>
      </c>
      <c r="F71" s="1156">
        <v>30</v>
      </c>
    </row>
    <row r="72" spans="1:6" s="1107" customFormat="1" ht="36">
      <c r="A72" s="1156">
        <v>12</v>
      </c>
      <c r="B72" s="3419"/>
      <c r="C72" s="1070" t="s">
        <v>1526</v>
      </c>
      <c r="D72" s="1070" t="s">
        <v>1527</v>
      </c>
      <c r="E72" s="1141">
        <v>0.5</v>
      </c>
      <c r="F72" s="1156">
        <v>80</v>
      </c>
    </row>
    <row r="73" spans="1:6" s="1107" customFormat="1" ht="24">
      <c r="A73" s="1156">
        <v>13</v>
      </c>
      <c r="B73" s="3419"/>
      <c r="C73" s="1070" t="s">
        <v>1528</v>
      </c>
      <c r="D73" s="1070" t="s">
        <v>1529</v>
      </c>
      <c r="E73" s="1141">
        <v>0.4</v>
      </c>
      <c r="F73" s="1156">
        <v>60</v>
      </c>
    </row>
    <row r="74" spans="1:6" s="1107" customFormat="1" ht="24">
      <c r="A74" s="1156">
        <v>14</v>
      </c>
      <c r="B74" s="3419"/>
      <c r="C74" s="1070" t="s">
        <v>1530</v>
      </c>
      <c r="D74" s="1070" t="s">
        <v>1531</v>
      </c>
      <c r="E74" s="1141">
        <v>0.2</v>
      </c>
      <c r="F74" s="1156">
        <v>30</v>
      </c>
    </row>
    <row r="75" spans="1:6" s="1107" customFormat="1" ht="24">
      <c r="A75" s="1156">
        <v>15</v>
      </c>
      <c r="B75" s="3419"/>
      <c r="C75" s="1070" t="s">
        <v>1532</v>
      </c>
      <c r="D75" s="1070" t="s">
        <v>1533</v>
      </c>
      <c r="E75" s="1141">
        <v>0.2</v>
      </c>
      <c r="F75" s="1156">
        <v>30</v>
      </c>
    </row>
    <row r="76" spans="1:6" s="1107" customFormat="1" ht="24">
      <c r="A76" s="1156">
        <v>16</v>
      </c>
      <c r="B76" s="3419" t="s">
        <v>1534</v>
      </c>
      <c r="C76" s="1070" t="s">
        <v>1535</v>
      </c>
      <c r="D76" s="1070" t="s">
        <v>1536</v>
      </c>
      <c r="E76" s="1141">
        <v>0.5</v>
      </c>
      <c r="F76" s="1156">
        <v>80</v>
      </c>
    </row>
    <row r="77" spans="1:6" s="1107" customFormat="1" ht="24">
      <c r="A77" s="1156">
        <v>17</v>
      </c>
      <c r="B77" s="3419"/>
      <c r="C77" s="1070" t="s">
        <v>1537</v>
      </c>
      <c r="D77" s="1070" t="s">
        <v>1538</v>
      </c>
      <c r="E77" s="1141">
        <v>0.5</v>
      </c>
      <c r="F77" s="1156">
        <v>80</v>
      </c>
    </row>
    <row r="78" spans="1:6" s="1107" customFormat="1" ht="24">
      <c r="A78" s="1156">
        <v>18</v>
      </c>
      <c r="B78" s="3419"/>
      <c r="C78" s="1070" t="s">
        <v>1539</v>
      </c>
      <c r="D78" s="1070" t="s">
        <v>1540</v>
      </c>
      <c r="E78" s="1141">
        <v>0.2</v>
      </c>
      <c r="F78" s="1156">
        <v>30</v>
      </c>
    </row>
    <row r="79" spans="1:6" s="1107" customFormat="1" ht="24">
      <c r="A79" s="1156">
        <v>19</v>
      </c>
      <c r="B79" s="3419"/>
      <c r="C79" s="1070" t="s">
        <v>1541</v>
      </c>
      <c r="D79" s="1070" t="s">
        <v>1542</v>
      </c>
      <c r="E79" s="1141">
        <v>0.5</v>
      </c>
      <c r="F79" s="1156">
        <v>80</v>
      </c>
    </row>
    <row r="80" spans="1:6" s="1107" customFormat="1" ht="36">
      <c r="A80" s="1156">
        <v>20</v>
      </c>
      <c r="B80" s="3419"/>
      <c r="C80" s="1070" t="s">
        <v>1543</v>
      </c>
      <c r="D80" s="1070" t="s">
        <v>1544</v>
      </c>
      <c r="E80" s="1141">
        <v>0.2</v>
      </c>
      <c r="F80" s="1156">
        <v>30</v>
      </c>
    </row>
    <row r="81" spans="1:6" s="1107" customFormat="1" ht="36">
      <c r="A81" s="1156">
        <v>21</v>
      </c>
      <c r="B81" s="3419"/>
      <c r="C81" s="1070" t="s">
        <v>1545</v>
      </c>
      <c r="D81" s="1070" t="s">
        <v>1546</v>
      </c>
      <c r="E81" s="1141">
        <v>0.2</v>
      </c>
      <c r="F81" s="1156">
        <v>30</v>
      </c>
    </row>
    <row r="82" spans="1:6" s="1107" customFormat="1" ht="48">
      <c r="A82" s="1156">
        <v>22</v>
      </c>
      <c r="B82" s="3419"/>
      <c r="C82" s="1070" t="s">
        <v>1547</v>
      </c>
      <c r="D82" s="1070" t="s">
        <v>1548</v>
      </c>
      <c r="E82" s="1141">
        <v>0.2</v>
      </c>
      <c r="F82" s="1156">
        <v>30</v>
      </c>
    </row>
    <row r="83" spans="1:6" s="1107" customFormat="1" ht="48">
      <c r="A83" s="1156">
        <v>23</v>
      </c>
      <c r="B83" s="3419"/>
      <c r="C83" s="1070" t="s">
        <v>1549</v>
      </c>
      <c r="D83" s="1070" t="s">
        <v>1550</v>
      </c>
      <c r="E83" s="1141">
        <v>0.2</v>
      </c>
      <c r="F83" s="1156">
        <v>30</v>
      </c>
    </row>
    <row r="84" spans="1:6" s="1107" customFormat="1" ht="36">
      <c r="A84" s="1156">
        <v>24</v>
      </c>
      <c r="B84" s="3419"/>
      <c r="C84" s="1070" t="s">
        <v>1551</v>
      </c>
      <c r="D84" s="1070" t="s">
        <v>1552</v>
      </c>
      <c r="E84" s="1141">
        <v>0.2</v>
      </c>
      <c r="F84" s="1156">
        <v>30</v>
      </c>
    </row>
    <row r="85" spans="1:6" s="1107" customFormat="1" ht="36">
      <c r="A85" s="1156">
        <v>25</v>
      </c>
      <c r="B85" s="3419"/>
      <c r="C85" s="1070" t="s">
        <v>1553</v>
      </c>
      <c r="D85" s="1070" t="s">
        <v>1554</v>
      </c>
      <c r="E85" s="1141">
        <v>0.5</v>
      </c>
      <c r="F85" s="1156">
        <v>80</v>
      </c>
    </row>
    <row r="86" spans="1:6" s="1107" customFormat="1" ht="36">
      <c r="A86" s="1156">
        <v>26</v>
      </c>
      <c r="B86" s="3419"/>
      <c r="C86" s="1070" t="s">
        <v>1555</v>
      </c>
      <c r="D86" s="1070" t="s">
        <v>1556</v>
      </c>
      <c r="E86" s="1141">
        <v>0.2</v>
      </c>
      <c r="F86" s="1156">
        <v>30</v>
      </c>
    </row>
    <row r="87" spans="1:6" s="1107" customFormat="1" ht="36">
      <c r="A87" s="1156">
        <v>27</v>
      </c>
      <c r="B87" s="3419"/>
      <c r="C87" s="1070" t="s">
        <v>1557</v>
      </c>
      <c r="D87" s="1070" t="s">
        <v>1558</v>
      </c>
      <c r="E87" s="1141">
        <v>0.2</v>
      </c>
      <c r="F87" s="1156">
        <v>30</v>
      </c>
    </row>
    <row r="88" spans="1:6" s="1107" customFormat="1" ht="36">
      <c r="A88" s="1156">
        <v>28</v>
      </c>
      <c r="B88" s="3419"/>
      <c r="C88" s="1070" t="s">
        <v>1559</v>
      </c>
      <c r="D88" s="1070" t="s">
        <v>1560</v>
      </c>
      <c r="E88" s="1141">
        <v>0.2</v>
      </c>
      <c r="F88" s="1156">
        <v>30</v>
      </c>
    </row>
    <row r="89" spans="1:6" s="1107" customFormat="1" ht="24">
      <c r="A89" s="1156">
        <v>29</v>
      </c>
      <c r="B89" s="3419"/>
      <c r="C89" s="1070" t="s">
        <v>1561</v>
      </c>
      <c r="D89" s="1070" t="s">
        <v>1562</v>
      </c>
      <c r="E89" s="1141">
        <v>0.2</v>
      </c>
      <c r="F89" s="1156">
        <v>30</v>
      </c>
    </row>
    <row r="90" spans="1:6" s="1107" customFormat="1" ht="24">
      <c r="A90" s="1156">
        <v>30</v>
      </c>
      <c r="B90" s="3419"/>
      <c r="C90" s="1070" t="s">
        <v>1563</v>
      </c>
      <c r="D90" s="1070" t="s">
        <v>1564</v>
      </c>
      <c r="E90" s="1141">
        <v>0.2</v>
      </c>
      <c r="F90" s="1156">
        <v>30</v>
      </c>
    </row>
    <row r="91" spans="1:6" s="1107" customFormat="1" ht="36">
      <c r="A91" s="1156">
        <v>31</v>
      </c>
      <c r="B91" s="3419"/>
      <c r="C91" s="1070" t="s">
        <v>1565</v>
      </c>
      <c r="D91" s="1070" t="s">
        <v>1566</v>
      </c>
      <c r="E91" s="1141">
        <v>0.2</v>
      </c>
      <c r="F91" s="1156">
        <v>30</v>
      </c>
    </row>
    <row r="92" spans="1:6" s="1107" customFormat="1" ht="24">
      <c r="A92" s="1156">
        <v>32</v>
      </c>
      <c r="B92" s="3419" t="s">
        <v>1567</v>
      </c>
      <c r="C92" s="1156" t="s">
        <v>1568</v>
      </c>
      <c r="D92" s="1070" t="s">
        <v>1569</v>
      </c>
      <c r="E92" s="1141">
        <v>0.2</v>
      </c>
      <c r="F92" s="1156">
        <v>30</v>
      </c>
    </row>
    <row r="93" spans="1:6" s="1107" customFormat="1" ht="36">
      <c r="A93" s="1156">
        <v>33</v>
      </c>
      <c r="B93" s="3419"/>
      <c r="C93" s="1156" t="s">
        <v>1570</v>
      </c>
      <c r="D93" s="1070" t="s">
        <v>1571</v>
      </c>
      <c r="E93" s="1141">
        <v>0.2</v>
      </c>
      <c r="F93" s="1156">
        <v>30</v>
      </c>
    </row>
    <row r="94" spans="1:6" s="1107" customFormat="1" ht="48">
      <c r="A94" s="1156">
        <v>34</v>
      </c>
      <c r="B94" s="3419"/>
      <c r="C94" s="1156" t="s">
        <v>1572</v>
      </c>
      <c r="D94" s="1070" t="s">
        <v>1573</v>
      </c>
      <c r="E94" s="1141">
        <v>0.2</v>
      </c>
      <c r="F94" s="1156">
        <v>30</v>
      </c>
    </row>
    <row r="95" spans="1:6" s="1107" customFormat="1" ht="36">
      <c r="A95" s="1156">
        <v>35</v>
      </c>
      <c r="B95" s="3419"/>
      <c r="C95" s="1156" t="s">
        <v>1574</v>
      </c>
      <c r="D95" s="1070" t="s">
        <v>1575</v>
      </c>
      <c r="E95" s="1141">
        <v>0.2</v>
      </c>
      <c r="F95" s="1156">
        <v>30</v>
      </c>
    </row>
    <row r="96" spans="1:6" s="1107" customFormat="1" ht="48">
      <c r="A96" s="1156">
        <v>36</v>
      </c>
      <c r="B96" s="3419"/>
      <c r="C96" s="1070" t="s">
        <v>1576</v>
      </c>
      <c r="D96" s="1070" t="s">
        <v>1577</v>
      </c>
      <c r="E96" s="1141">
        <v>0.2</v>
      </c>
      <c r="F96" s="1156">
        <v>30</v>
      </c>
    </row>
    <row r="97" spans="1:6" s="1107" customFormat="1" ht="36">
      <c r="A97" s="1156">
        <v>37</v>
      </c>
      <c r="B97" s="3419"/>
      <c r="C97" s="1156" t="s">
        <v>1578</v>
      </c>
      <c r="D97" s="1070" t="s">
        <v>1579</v>
      </c>
      <c r="E97" s="1141">
        <v>0.2</v>
      </c>
      <c r="F97" s="1156">
        <v>30</v>
      </c>
    </row>
    <row r="98" spans="1:6" s="1107" customFormat="1" ht="36">
      <c r="A98" s="1156">
        <v>38</v>
      </c>
      <c r="B98" s="3419"/>
      <c r="C98" s="1156" t="s">
        <v>1580</v>
      </c>
      <c r="D98" s="1070" t="s">
        <v>1581</v>
      </c>
      <c r="E98" s="1141">
        <v>0.2</v>
      </c>
      <c r="F98" s="1156">
        <v>30</v>
      </c>
    </row>
    <row r="99" spans="1:6" s="1107" customFormat="1" ht="36">
      <c r="A99" s="1156">
        <v>39</v>
      </c>
      <c r="B99" s="3419" t="s">
        <v>1582</v>
      </c>
      <c r="C99" s="1156" t="s">
        <v>1583</v>
      </c>
      <c r="D99" s="1070" t="s">
        <v>1584</v>
      </c>
      <c r="E99" s="1141">
        <v>0.3</v>
      </c>
      <c r="F99" s="1156">
        <v>50</v>
      </c>
    </row>
    <row r="100" spans="1:6" s="1107" customFormat="1" ht="24">
      <c r="A100" s="1156">
        <v>40</v>
      </c>
      <c r="B100" s="3419"/>
      <c r="C100" s="1156" t="s">
        <v>1585</v>
      </c>
      <c r="D100" s="1070" t="s">
        <v>1586</v>
      </c>
      <c r="E100" s="1141">
        <v>0.2</v>
      </c>
      <c r="F100" s="1156">
        <v>30</v>
      </c>
    </row>
    <row r="101" spans="1:6" s="1107" customFormat="1" ht="36">
      <c r="A101" s="1156">
        <v>41</v>
      </c>
      <c r="B101" s="3419"/>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19" t="s">
        <v>1597</v>
      </c>
      <c r="C105" s="1156" t="s">
        <v>1598</v>
      </c>
      <c r="D105" s="1070" t="s">
        <v>1599</v>
      </c>
      <c r="E105" s="1141">
        <v>0.2</v>
      </c>
      <c r="F105" s="1156">
        <v>30</v>
      </c>
    </row>
    <row r="106" spans="1:6" s="1107" customFormat="1" ht="36">
      <c r="A106" s="1156">
        <v>46</v>
      </c>
      <c r="B106" s="3419"/>
      <c r="C106" s="1156" t="s">
        <v>1600</v>
      </c>
      <c r="D106" s="1070" t="s">
        <v>1601</v>
      </c>
      <c r="E106" s="1141">
        <v>0.2</v>
      </c>
      <c r="F106" s="1156">
        <v>30</v>
      </c>
    </row>
    <row r="107" spans="1:6" s="1107" customFormat="1" ht="36">
      <c r="A107" s="1156">
        <v>47</v>
      </c>
      <c r="B107" s="3419" t="s">
        <v>1602</v>
      </c>
      <c r="C107" s="1156" t="s">
        <v>1603</v>
      </c>
      <c r="D107" s="1070" t="s">
        <v>1604</v>
      </c>
      <c r="E107" s="1141">
        <v>0.3</v>
      </c>
      <c r="F107" s="1156">
        <v>50</v>
      </c>
    </row>
    <row r="108" spans="1:6" s="1107" customFormat="1" ht="36">
      <c r="A108" s="1156">
        <v>48</v>
      </c>
      <c r="B108" s="3419"/>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19" t="s">
        <v>1613</v>
      </c>
      <c r="C111" s="1156" t="s">
        <v>1614</v>
      </c>
      <c r="D111" s="1070" t="s">
        <v>1615</v>
      </c>
      <c r="E111" s="1141">
        <v>0.2</v>
      </c>
      <c r="F111" s="1156">
        <v>30</v>
      </c>
    </row>
    <row r="112" spans="1:6" s="1107" customFormat="1" ht="24">
      <c r="A112" s="1156">
        <v>52</v>
      </c>
      <c r="B112" s="3419"/>
      <c r="C112" s="1156" t="s">
        <v>1616</v>
      </c>
      <c r="D112" s="1070" t="s">
        <v>1617</v>
      </c>
      <c r="E112" s="1141">
        <v>0.2</v>
      </c>
      <c r="F112" s="1156">
        <v>30</v>
      </c>
    </row>
    <row r="113" spans="1:14" s="1107" customFormat="1" ht="24">
      <c r="A113" s="1156">
        <v>53</v>
      </c>
      <c r="B113" s="3419"/>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19" t="s">
        <v>1626</v>
      </c>
      <c r="C116" s="1156" t="s">
        <v>1627</v>
      </c>
      <c r="D116" s="1070" t="s">
        <v>1628</v>
      </c>
      <c r="E116" s="1141">
        <v>0.2</v>
      </c>
      <c r="F116" s="1156">
        <v>30</v>
      </c>
    </row>
    <row r="117" spans="1:14" ht="36">
      <c r="A117" s="1156">
        <v>57</v>
      </c>
      <c r="B117" s="3419"/>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18" t="s">
        <v>1635</v>
      </c>
      <c r="B121" s="3418"/>
      <c r="C121" s="3418"/>
      <c r="D121" s="3418"/>
      <c r="E121" s="3418"/>
      <c r="F121" s="3418"/>
      <c r="G121" s="3418"/>
      <c r="H121" s="3418"/>
      <c r="I121" s="3418"/>
      <c r="J121" s="3418"/>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31" t="s">
        <v>1041</v>
      </c>
      <c r="B1" s="3431"/>
      <c r="C1" s="3431"/>
      <c r="D1" s="3431"/>
      <c r="E1" s="3431"/>
      <c r="F1" s="3431"/>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32" t="s">
        <v>1054</v>
      </c>
      <c r="B2" s="3432"/>
      <c r="C2" s="3432"/>
      <c r="D2" s="3432"/>
      <c r="E2" s="3432"/>
      <c r="F2" s="3432"/>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33"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34"/>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2424</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2425</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5" t="s">
        <v>2080</v>
      </c>
      <c r="B1" s="3435"/>
    </row>
    <row r="2" spans="1:6" ht="14.25" thickBot="1">
      <c r="A2" s="1855"/>
      <c r="B2" s="1855"/>
    </row>
    <row r="3" spans="1:6" ht="14.25" thickBot="1">
      <c r="A3" s="1855"/>
      <c r="B3" s="1855"/>
      <c r="C3" s="1856" t="s">
        <v>2081</v>
      </c>
      <c r="D3" s="1856" t="s">
        <v>2082</v>
      </c>
      <c r="E3" s="1856" t="s">
        <v>2083</v>
      </c>
      <c r="F3" s="1856" t="s">
        <v>2084</v>
      </c>
    </row>
    <row r="4" spans="1:6" ht="14.25" thickBot="1">
      <c r="A4" s="1857" t="s">
        <v>2085</v>
      </c>
      <c r="B4" s="1858" t="s">
        <v>2086</v>
      </c>
      <c r="C4" s="1856"/>
      <c r="D4" s="1856"/>
      <c r="E4" s="1856"/>
      <c r="F4" s="1856"/>
    </row>
    <row r="5" spans="1:6" ht="14.25" thickBot="1">
      <c r="A5" s="1859" t="s">
        <v>2087</v>
      </c>
      <c r="B5" s="1860" t="s">
        <v>2088</v>
      </c>
      <c r="C5" s="1861">
        <v>8.8999999999999996E-2</v>
      </c>
      <c r="D5" s="1861">
        <v>7.3999999999999996E-2</v>
      </c>
      <c r="E5" s="1861">
        <v>7.4999999999999997E-2</v>
      </c>
      <c r="F5" s="1862">
        <v>0.1</v>
      </c>
    </row>
    <row r="6" spans="1:6" ht="14.25" thickBot="1">
      <c r="A6" s="1859" t="s">
        <v>1098</v>
      </c>
      <c r="B6" s="1863" t="s">
        <v>2089</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2090</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2091</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2092</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2093</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2094</v>
      </c>
      <c r="C72" s="1873"/>
      <c r="D72" s="1873"/>
      <c r="E72" s="1873"/>
      <c r="F72" s="1865">
        <v>0.05</v>
      </c>
    </row>
    <row r="73" spans="1:6" ht="14.25" thickBot="1">
      <c r="A73" s="1859" t="s">
        <v>926</v>
      </c>
      <c r="B73" s="1863" t="s">
        <v>2095</v>
      </c>
      <c r="C73" s="1873"/>
      <c r="D73" s="1873"/>
      <c r="E73" s="1873"/>
      <c r="F73" s="1865">
        <v>0.05</v>
      </c>
    </row>
    <row r="74" spans="1:6" ht="14.25" thickBot="1">
      <c r="A74" s="1859" t="s">
        <v>926</v>
      </c>
      <c r="B74" s="1863" t="s">
        <v>2096</v>
      </c>
      <c r="C74" s="1873"/>
      <c r="D74" s="1873"/>
      <c r="E74" s="1873"/>
      <c r="F74" s="1865">
        <v>0.05</v>
      </c>
    </row>
    <row r="75" spans="1:6" ht="14.25" thickBot="1">
      <c r="A75" s="1867" t="s">
        <v>926</v>
      </c>
      <c r="B75" s="1874" t="s">
        <v>2097</v>
      </c>
      <c r="C75" s="1870"/>
      <c r="D75" s="1870"/>
      <c r="E75" s="1870"/>
      <c r="F75" s="1875">
        <v>0.05</v>
      </c>
    </row>
    <row r="76" spans="1:6" ht="14.25" thickBot="1">
      <c r="A76" s="1859" t="s">
        <v>1409</v>
      </c>
      <c r="B76" s="1860" t="s">
        <v>2098</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2099</v>
      </c>
      <c r="C102" s="1873"/>
      <c r="D102" s="1873"/>
      <c r="E102" s="1873"/>
      <c r="F102" s="1865">
        <v>0.05</v>
      </c>
    </row>
    <row r="103" spans="1:6" ht="24.75" thickBot="1">
      <c r="A103" s="1859" t="s">
        <v>1409</v>
      </c>
      <c r="B103" s="1863" t="s">
        <v>2100</v>
      </c>
      <c r="C103" s="1873"/>
      <c r="D103" s="1873"/>
      <c r="E103" s="1873"/>
      <c r="F103" s="1865">
        <v>0.05</v>
      </c>
    </row>
    <row r="104" spans="1:6" ht="14.25" thickBot="1">
      <c r="A104" s="1859" t="s">
        <v>1409</v>
      </c>
      <c r="B104" s="1863" t="s">
        <v>2101</v>
      </c>
      <c r="C104" s="1873"/>
      <c r="D104" s="1873"/>
      <c r="E104" s="1873"/>
      <c r="F104" s="1865">
        <v>0.05</v>
      </c>
    </row>
    <row r="105" spans="1:6" ht="14.25" thickBot="1">
      <c r="A105" s="1859" t="s">
        <v>1409</v>
      </c>
      <c r="B105" s="1863" t="s">
        <v>2102</v>
      </c>
      <c r="C105" s="1873"/>
      <c r="D105" s="1873"/>
      <c r="E105" s="1873"/>
      <c r="F105" s="1865">
        <v>0.05</v>
      </c>
    </row>
    <row r="106" spans="1:6" ht="14.25" thickBot="1">
      <c r="A106" s="1859" t="s">
        <v>1409</v>
      </c>
      <c r="B106" s="1863" t="s">
        <v>2103</v>
      </c>
      <c r="C106" s="1873"/>
      <c r="D106" s="1873"/>
      <c r="E106" s="1873"/>
      <c r="F106" s="1865">
        <v>0.05</v>
      </c>
    </row>
    <row r="107" spans="1:6" ht="24.75" thickBot="1">
      <c r="A107" s="1859" t="s">
        <v>1409</v>
      </c>
      <c r="B107" s="1863" t="s">
        <v>2104</v>
      </c>
      <c r="C107" s="1873"/>
      <c r="D107" s="1873"/>
      <c r="E107" s="1873"/>
      <c r="F107" s="1865">
        <v>0.05</v>
      </c>
    </row>
    <row r="108" spans="1:6" ht="24.75" thickBot="1">
      <c r="A108" s="1859" t="s">
        <v>1409</v>
      </c>
      <c r="B108" s="1863" t="s">
        <v>2105</v>
      </c>
      <c r="C108" s="1873"/>
      <c r="D108" s="1873"/>
      <c r="E108" s="1873"/>
      <c r="F108" s="1865">
        <v>0.05</v>
      </c>
    </row>
    <row r="109" spans="1:6" ht="24.75" thickBot="1">
      <c r="A109" s="1867" t="s">
        <v>1409</v>
      </c>
      <c r="B109" s="1874" t="s">
        <v>2106</v>
      </c>
      <c r="C109" s="1870"/>
      <c r="D109" s="1870"/>
      <c r="E109" s="1870"/>
      <c r="F109" s="1875">
        <v>0.05</v>
      </c>
    </row>
    <row r="110" spans="1:6" ht="14.25" thickBot="1">
      <c r="A110" s="1859" t="s">
        <v>1411</v>
      </c>
      <c r="B110" s="1860" t="s">
        <v>2107</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2108</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2109</v>
      </c>
      <c r="C138" s="1864">
        <v>0.105</v>
      </c>
      <c r="D138" s="1864">
        <v>0.125</v>
      </c>
      <c r="E138" s="1864">
        <v>0.112</v>
      </c>
      <c r="F138" s="1872"/>
    </row>
    <row r="139" spans="1:6" ht="14.25" thickBot="1">
      <c r="A139" s="1859" t="s">
        <v>1411</v>
      </c>
      <c r="B139" s="1863" t="s">
        <v>2110</v>
      </c>
      <c r="C139" s="1864">
        <v>0.127</v>
      </c>
      <c r="D139" s="1864">
        <v>0.127</v>
      </c>
      <c r="E139" s="1864">
        <v>0.122</v>
      </c>
      <c r="F139" s="1865">
        <v>0.13</v>
      </c>
    </row>
    <row r="140" spans="1:6" ht="14.25" thickBot="1">
      <c r="A140" s="1859" t="s">
        <v>1411</v>
      </c>
      <c r="B140" s="1863" t="s">
        <v>2111</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2112</v>
      </c>
      <c r="C144" s="1877">
        <v>0.126</v>
      </c>
      <c r="D144" s="1877">
        <v>0.126</v>
      </c>
      <c r="E144" s="1877">
        <v>0.121</v>
      </c>
      <c r="F144" s="1872"/>
    </row>
    <row r="145" spans="1:6" ht="14.25" thickBot="1">
      <c r="A145" s="1867" t="s">
        <v>1411</v>
      </c>
      <c r="B145" s="1878" t="s">
        <v>2113</v>
      </c>
      <c r="C145" s="1879"/>
      <c r="D145" s="1879"/>
      <c r="E145" s="1879"/>
      <c r="F145" s="1880">
        <v>0.05</v>
      </c>
    </row>
    <row r="146" spans="1:6" ht="24.75" thickBot="1">
      <c r="A146" s="1881" t="s">
        <v>1411</v>
      </c>
      <c r="B146" s="1866" t="s">
        <v>2114</v>
      </c>
      <c r="C146" s="1873"/>
      <c r="D146" s="1873"/>
      <c r="E146" s="1873"/>
      <c r="F146" s="1882">
        <v>0.05</v>
      </c>
    </row>
    <row r="147" spans="1:6" ht="24.75" thickBot="1">
      <c r="A147" s="1859" t="s">
        <v>1411</v>
      </c>
      <c r="B147" s="1863" t="s">
        <v>2115</v>
      </c>
      <c r="C147" s="1873"/>
      <c r="D147" s="1873"/>
      <c r="E147" s="1873"/>
      <c r="F147" s="1865">
        <v>0.05</v>
      </c>
    </row>
    <row r="148" spans="1:6" ht="24.75" thickBot="1">
      <c r="A148" s="1859" t="s">
        <v>1411</v>
      </c>
      <c r="B148" s="1863" t="s">
        <v>2116</v>
      </c>
      <c r="C148" s="1873"/>
      <c r="D148" s="1873"/>
      <c r="E148" s="1873"/>
      <c r="F148" s="1865">
        <v>0.05</v>
      </c>
    </row>
    <row r="149" spans="1:6" ht="24.75" thickBot="1">
      <c r="A149" s="1859" t="s">
        <v>1411</v>
      </c>
      <c r="B149" s="1863" t="s">
        <v>2117</v>
      </c>
      <c r="C149" s="1873"/>
      <c r="D149" s="1873"/>
      <c r="E149" s="1873"/>
      <c r="F149" s="1865">
        <v>0.05</v>
      </c>
    </row>
    <row r="150" spans="1:6" ht="24.75" thickBot="1">
      <c r="A150" s="1859" t="s">
        <v>1411</v>
      </c>
      <c r="B150" s="1863" t="s">
        <v>2118</v>
      </c>
      <c r="C150" s="1873"/>
      <c r="D150" s="1873"/>
      <c r="E150" s="1873"/>
      <c r="F150" s="1865">
        <v>0.05</v>
      </c>
    </row>
    <row r="151" spans="1:6" ht="24.75" thickBot="1">
      <c r="A151" s="1859" t="s">
        <v>1411</v>
      </c>
      <c r="B151" s="1863" t="s">
        <v>2119</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2120</v>
      </c>
      <c r="C153" s="1873"/>
      <c r="D153" s="1873"/>
      <c r="E153" s="1873"/>
      <c r="F153" s="1865">
        <v>0.05</v>
      </c>
    </row>
    <row r="154" spans="1:6" ht="14.25" thickBot="1">
      <c r="A154" s="1859" t="s">
        <v>1411</v>
      </c>
      <c r="B154" s="1863" t="s">
        <v>2121</v>
      </c>
      <c r="C154" s="1873"/>
      <c r="D154" s="1873"/>
      <c r="E154" s="1873"/>
      <c r="F154" s="1865">
        <v>0.05</v>
      </c>
    </row>
    <row r="155" spans="1:6" ht="24.75" thickBot="1">
      <c r="A155" s="1859" t="s">
        <v>1411</v>
      </c>
      <c r="B155" s="1863" t="s">
        <v>2122</v>
      </c>
      <c r="C155" s="1873"/>
      <c r="D155" s="1873"/>
      <c r="E155" s="1873"/>
      <c r="F155" s="1865">
        <v>0.05</v>
      </c>
    </row>
    <row r="156" spans="1:6" ht="24.75" thickBot="1">
      <c r="A156" s="1859" t="s">
        <v>1411</v>
      </c>
      <c r="B156" s="1863" t="s">
        <v>2123</v>
      </c>
      <c r="C156" s="1873"/>
      <c r="D156" s="1873"/>
      <c r="E156" s="1873"/>
      <c r="F156" s="1865">
        <v>0.05</v>
      </c>
    </row>
    <row r="157" spans="1:6" ht="14.25" thickBot="1">
      <c r="A157" s="1867" t="s">
        <v>1411</v>
      </c>
      <c r="B157" s="1874" t="s">
        <v>2124</v>
      </c>
      <c r="C157" s="1870"/>
      <c r="D157" s="1870"/>
      <c r="E157" s="1870"/>
      <c r="F157" s="1875">
        <v>0.05</v>
      </c>
    </row>
    <row r="158" spans="1:6" ht="14.25" thickBot="1">
      <c r="A158" s="1859" t="s">
        <v>1413</v>
      </c>
      <c r="B158" s="1860" t="s">
        <v>2125</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2126</v>
      </c>
      <c r="C171" s="1864">
        <v>0.127</v>
      </c>
      <c r="D171" s="1864">
        <v>0.126</v>
      </c>
      <c r="E171" s="1864">
        <v>0.126</v>
      </c>
      <c r="F171" s="1865">
        <v>0.11799999999999999</v>
      </c>
    </row>
    <row r="172" spans="1:6" ht="14.25" thickBot="1">
      <c r="A172" s="1859" t="s">
        <v>1413</v>
      </c>
      <c r="B172" s="1863" t="s">
        <v>2127</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2128</v>
      </c>
      <c r="C174" s="1864">
        <v>0.13</v>
      </c>
      <c r="D174" s="1864">
        <v>0.13</v>
      </c>
      <c r="E174" s="1864">
        <v>0.13</v>
      </c>
      <c r="F174" s="1865">
        <v>0.13</v>
      </c>
    </row>
    <row r="175" spans="1:6" ht="14.25" thickBot="1">
      <c r="A175" s="1859" t="s">
        <v>1413</v>
      </c>
      <c r="B175" s="1863" t="s">
        <v>2129</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2130</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2131</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2132</v>
      </c>
      <c r="C185" s="1864">
        <v>0.127</v>
      </c>
      <c r="D185" s="1864">
        <v>0.127</v>
      </c>
      <c r="E185" s="1864">
        <v>0.128</v>
      </c>
      <c r="F185" s="1865">
        <v>0.13</v>
      </c>
    </row>
    <row r="186" spans="1:6" ht="24.75" thickBot="1">
      <c r="A186" s="1859" t="s">
        <v>1413</v>
      </c>
      <c r="B186" s="1863" t="s">
        <v>2133</v>
      </c>
      <c r="C186" s="1873"/>
      <c r="D186" s="1873"/>
      <c r="E186" s="1873"/>
      <c r="F186" s="1865">
        <v>0.05</v>
      </c>
    </row>
    <row r="187" spans="1:6" ht="14.25" thickBot="1">
      <c r="A187" s="1859" t="s">
        <v>1413</v>
      </c>
      <c r="B187" s="1863" t="s">
        <v>2134</v>
      </c>
      <c r="C187" s="1873"/>
      <c r="D187" s="1873"/>
      <c r="E187" s="1873"/>
      <c r="F187" s="1865">
        <v>0.05</v>
      </c>
    </row>
    <row r="188" spans="1:6" ht="14.25" thickBot="1">
      <c r="A188" s="1859" t="s">
        <v>1413</v>
      </c>
      <c r="B188" s="1863" t="s">
        <v>2135</v>
      </c>
      <c r="C188" s="1873"/>
      <c r="D188" s="1873"/>
      <c r="E188" s="1873"/>
      <c r="F188" s="1865">
        <v>0.05</v>
      </c>
    </row>
    <row r="189" spans="1:6" ht="24.75" thickBot="1">
      <c r="A189" s="1859" t="s">
        <v>1413</v>
      </c>
      <c r="B189" s="1863" t="s">
        <v>2136</v>
      </c>
      <c r="C189" s="1873"/>
      <c r="D189" s="1873"/>
      <c r="E189" s="1873"/>
      <c r="F189" s="1865">
        <v>0.05</v>
      </c>
    </row>
    <row r="190" spans="1:6" ht="24.75" thickBot="1">
      <c r="A190" s="1859" t="s">
        <v>1413</v>
      </c>
      <c r="B190" s="1863" t="s">
        <v>2137</v>
      </c>
      <c r="C190" s="1873"/>
      <c r="D190" s="1873"/>
      <c r="E190" s="1873"/>
      <c r="F190" s="1865">
        <v>0.05</v>
      </c>
    </row>
    <row r="191" spans="1:6" ht="24.75" thickBot="1">
      <c r="A191" s="1859" t="s">
        <v>1413</v>
      </c>
      <c r="B191" s="1863" t="s">
        <v>2138</v>
      </c>
      <c r="C191" s="1873"/>
      <c r="D191" s="1873"/>
      <c r="E191" s="1873"/>
      <c r="F191" s="1865">
        <v>0.05</v>
      </c>
    </row>
    <row r="192" spans="1:6" ht="24.75" thickBot="1">
      <c r="A192" s="1859" t="s">
        <v>1413</v>
      </c>
      <c r="B192" s="1863" t="s">
        <v>2139</v>
      </c>
      <c r="C192" s="1873"/>
      <c r="D192" s="1873"/>
      <c r="E192" s="1873"/>
      <c r="F192" s="1865">
        <v>0.05</v>
      </c>
    </row>
    <row r="193" spans="1:6" ht="24.75" thickBot="1">
      <c r="A193" s="1859" t="s">
        <v>1413</v>
      </c>
      <c r="B193" s="1863" t="s">
        <v>2140</v>
      </c>
      <c r="C193" s="1873"/>
      <c r="D193" s="1873"/>
      <c r="E193" s="1873"/>
      <c r="F193" s="1865">
        <v>0.05</v>
      </c>
    </row>
    <row r="194" spans="1:6" ht="24.75" thickBot="1">
      <c r="A194" s="1859" t="s">
        <v>1413</v>
      </c>
      <c r="B194" s="1863" t="s">
        <v>2141</v>
      </c>
      <c r="C194" s="1873"/>
      <c r="D194" s="1873"/>
      <c r="E194" s="1873"/>
      <c r="F194" s="1865">
        <v>0.05</v>
      </c>
    </row>
    <row r="195" spans="1:6" ht="14.25" thickBot="1">
      <c r="A195" s="1859" t="s">
        <v>1413</v>
      </c>
      <c r="B195" s="1863" t="s">
        <v>2142</v>
      </c>
      <c r="C195" s="1873"/>
      <c r="D195" s="1873"/>
      <c r="E195" s="1873"/>
      <c r="F195" s="1865">
        <v>0.05</v>
      </c>
    </row>
    <row r="196" spans="1:6" ht="24.75" thickBot="1">
      <c r="A196" s="1859" t="s">
        <v>1413</v>
      </c>
      <c r="B196" s="1863" t="s">
        <v>2143</v>
      </c>
      <c r="C196" s="1873"/>
      <c r="D196" s="1873"/>
      <c r="E196" s="1873"/>
      <c r="F196" s="1865">
        <v>0.05</v>
      </c>
    </row>
    <row r="197" spans="1:6" ht="24.75" thickBot="1">
      <c r="A197" s="1859" t="s">
        <v>1413</v>
      </c>
      <c r="B197" s="1863" t="s">
        <v>2144</v>
      </c>
      <c r="C197" s="1873"/>
      <c r="D197" s="1873"/>
      <c r="E197" s="1873"/>
      <c r="F197" s="1865">
        <v>0.05</v>
      </c>
    </row>
    <row r="198" spans="1:6" ht="24.75" thickBot="1">
      <c r="A198" s="1859" t="s">
        <v>1413</v>
      </c>
      <c r="B198" s="1863" t="s">
        <v>2145</v>
      </c>
      <c r="C198" s="1873"/>
      <c r="D198" s="1873"/>
      <c r="E198" s="1873"/>
      <c r="F198" s="1865">
        <v>0.05</v>
      </c>
    </row>
    <row r="199" spans="1:6" ht="24.75" thickBot="1">
      <c r="A199" s="1859" t="s">
        <v>1413</v>
      </c>
      <c r="B199" s="1863" t="s">
        <v>2146</v>
      </c>
      <c r="C199" s="1873"/>
      <c r="D199" s="1873"/>
      <c r="E199" s="1873"/>
      <c r="F199" s="1865">
        <v>0.05</v>
      </c>
    </row>
    <row r="200" spans="1:6" ht="24.75" thickBot="1">
      <c r="A200" s="1859" t="s">
        <v>1413</v>
      </c>
      <c r="B200" s="1863" t="s">
        <v>2147</v>
      </c>
      <c r="C200" s="1873"/>
      <c r="D200" s="1873"/>
      <c r="E200" s="1873"/>
      <c r="F200" s="1865">
        <v>0.05</v>
      </c>
    </row>
    <row r="201" spans="1:6" ht="24.75" thickBot="1">
      <c r="A201" s="1859" t="s">
        <v>1413</v>
      </c>
      <c r="B201" s="1863" t="s">
        <v>2148</v>
      </c>
      <c r="C201" s="1873"/>
      <c r="D201" s="1873"/>
      <c r="E201" s="1873"/>
      <c r="F201" s="1865">
        <v>0.05</v>
      </c>
    </row>
    <row r="202" spans="1:6" ht="24.75" thickBot="1">
      <c r="A202" s="1859" t="s">
        <v>1413</v>
      </c>
      <c r="B202" s="1863" t="s">
        <v>2149</v>
      </c>
      <c r="C202" s="1873"/>
      <c r="D202" s="1873"/>
      <c r="E202" s="1873"/>
      <c r="F202" s="1865">
        <v>0.05</v>
      </c>
    </row>
    <row r="203" spans="1:6" ht="24.75" thickBot="1">
      <c r="A203" s="1859" t="s">
        <v>1413</v>
      </c>
      <c r="B203" s="1863" t="s">
        <v>2150</v>
      </c>
      <c r="C203" s="1873"/>
      <c r="D203" s="1873"/>
      <c r="E203" s="1873"/>
      <c r="F203" s="1865">
        <v>0.05</v>
      </c>
    </row>
    <row r="204" spans="1:6" ht="14.25" thickBot="1">
      <c r="A204" s="1859" t="s">
        <v>1413</v>
      </c>
      <c r="B204" s="1863" t="s">
        <v>2151</v>
      </c>
      <c r="C204" s="1873"/>
      <c r="D204" s="1873"/>
      <c r="E204" s="1873"/>
      <c r="F204" s="1865">
        <v>0.05</v>
      </c>
    </row>
    <row r="205" spans="1:6" ht="14.25" thickBot="1">
      <c r="A205" s="1867" t="s">
        <v>1413</v>
      </c>
      <c r="B205" s="1874" t="s">
        <v>2152</v>
      </c>
      <c r="C205" s="1870"/>
      <c r="D205" s="1870"/>
      <c r="E205" s="1870"/>
      <c r="F205" s="1875">
        <v>0.05</v>
      </c>
    </row>
    <row r="206" spans="1:6" ht="14.25" thickBot="1">
      <c r="A206" s="1859" t="s">
        <v>1415</v>
      </c>
      <c r="B206" s="1860" t="s">
        <v>2153</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2154</v>
      </c>
      <c r="C210" s="1864">
        <v>0.15</v>
      </c>
      <c r="D210" s="1864">
        <v>0.15</v>
      </c>
      <c r="E210" s="1864">
        <v>0.15</v>
      </c>
      <c r="F210" s="1865">
        <v>0.13800000000000001</v>
      </c>
    </row>
    <row r="211" spans="1:6" ht="14.25" thickBot="1">
      <c r="A211" s="1859" t="s">
        <v>1415</v>
      </c>
      <c r="B211" s="1863" t="s">
        <v>2155</v>
      </c>
      <c r="C211" s="1864">
        <v>0.13700000000000001</v>
      </c>
      <c r="D211" s="1864">
        <v>0.13500000000000001</v>
      </c>
      <c r="E211" s="1864">
        <v>0.13600000000000001</v>
      </c>
      <c r="F211" s="1865">
        <v>0.1</v>
      </c>
    </row>
    <row r="212" spans="1:6" ht="14.25" thickBot="1">
      <c r="A212" s="1859" t="s">
        <v>1415</v>
      </c>
      <c r="B212" s="1863" t="s">
        <v>2156</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2157</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2158</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2159</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2160</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2161</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2162</v>
      </c>
      <c r="C231" s="1864">
        <v>0.128</v>
      </c>
      <c r="D231" s="1864">
        <v>0.125</v>
      </c>
      <c r="E231" s="1864">
        <v>0.13200000000000001</v>
      </c>
      <c r="F231" s="1872"/>
    </row>
    <row r="232" spans="1:6" ht="14.25" thickBot="1">
      <c r="A232" s="1859" t="s">
        <v>1415</v>
      </c>
      <c r="B232" s="1863" t="s">
        <v>2163</v>
      </c>
      <c r="C232" s="1864">
        <v>0.14499999999999999</v>
      </c>
      <c r="D232" s="1864">
        <v>0.14399999999999999</v>
      </c>
      <c r="E232" s="1864">
        <v>0.14599999999999999</v>
      </c>
      <c r="F232" s="1865">
        <v>0.13800000000000001</v>
      </c>
    </row>
    <row r="233" spans="1:6" ht="14.25" thickBot="1">
      <c r="A233" s="1859" t="s">
        <v>1415</v>
      </c>
      <c r="B233" s="1863" t="s">
        <v>2164</v>
      </c>
      <c r="C233" s="1864">
        <v>0.14499999999999999</v>
      </c>
      <c r="D233" s="1864">
        <v>0.14299999999999999</v>
      </c>
      <c r="E233" s="1864">
        <v>0.14199999999999999</v>
      </c>
      <c r="F233" s="1872"/>
    </row>
    <row r="234" spans="1:6" ht="14.25" thickBot="1">
      <c r="A234" s="1859" t="s">
        <v>1415</v>
      </c>
      <c r="B234" s="1863" t="s">
        <v>2165</v>
      </c>
      <c r="C234" s="1864">
        <v>0.14000000000000001</v>
      </c>
      <c r="D234" s="1864">
        <v>0.14000000000000001</v>
      </c>
      <c r="E234" s="1864">
        <v>0.14399999999999999</v>
      </c>
      <c r="F234" s="1872"/>
    </row>
    <row r="235" spans="1:6" ht="14.25" thickBot="1">
      <c r="A235" s="1859" t="s">
        <v>1415</v>
      </c>
      <c r="B235" s="1863" t="s">
        <v>2166</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2167</v>
      </c>
      <c r="C237" s="1873"/>
      <c r="D237" s="1873"/>
      <c r="E237" s="1873"/>
      <c r="F237" s="1865">
        <v>0.05</v>
      </c>
    </row>
    <row r="238" spans="1:6" ht="24.75" thickBot="1">
      <c r="A238" s="1859" t="s">
        <v>1415</v>
      </c>
      <c r="B238" s="1863" t="s">
        <v>2168</v>
      </c>
      <c r="C238" s="1873"/>
      <c r="D238" s="1873"/>
      <c r="E238" s="1873"/>
      <c r="F238" s="1865">
        <v>0.05</v>
      </c>
    </row>
    <row r="239" spans="1:6" ht="24.75" thickBot="1">
      <c r="A239" s="1859" t="s">
        <v>1415</v>
      </c>
      <c r="B239" s="1863" t="s">
        <v>2169</v>
      </c>
      <c r="C239" s="1873"/>
      <c r="D239" s="1873"/>
      <c r="E239" s="1873"/>
      <c r="F239" s="1865">
        <v>0.05</v>
      </c>
    </row>
    <row r="240" spans="1:6" ht="24.75" thickBot="1">
      <c r="A240" s="1859" t="s">
        <v>1415</v>
      </c>
      <c r="B240" s="1863" t="s">
        <v>2170</v>
      </c>
      <c r="C240" s="1873"/>
      <c r="D240" s="1873"/>
      <c r="E240" s="1873"/>
      <c r="F240" s="1865">
        <v>0.05</v>
      </c>
    </row>
    <row r="241" spans="1:6" ht="24.75" thickBot="1">
      <c r="A241" s="1859" t="s">
        <v>1415</v>
      </c>
      <c r="B241" s="1863" t="s">
        <v>2171</v>
      </c>
      <c r="C241" s="1873"/>
      <c r="D241" s="1873"/>
      <c r="E241" s="1873"/>
      <c r="F241" s="1865">
        <v>0.05</v>
      </c>
    </row>
    <row r="242" spans="1:6" ht="24.75" thickBot="1">
      <c r="A242" s="1859" t="s">
        <v>1415</v>
      </c>
      <c r="B242" s="1863" t="s">
        <v>2172</v>
      </c>
      <c r="C242" s="1873"/>
      <c r="D242" s="1873"/>
      <c r="E242" s="1873"/>
      <c r="F242" s="1865">
        <v>0.05</v>
      </c>
    </row>
    <row r="243" spans="1:6" ht="24.75" thickBot="1">
      <c r="A243" s="1859" t="s">
        <v>1415</v>
      </c>
      <c r="B243" s="1863" t="s">
        <v>2173</v>
      </c>
      <c r="C243" s="1873"/>
      <c r="D243" s="1873"/>
      <c r="E243" s="1873"/>
      <c r="F243" s="1865">
        <v>0.05</v>
      </c>
    </row>
    <row r="244" spans="1:6" ht="24.75" thickBot="1">
      <c r="A244" s="1867" t="s">
        <v>1415</v>
      </c>
      <c r="B244" s="1874" t="s">
        <v>2174</v>
      </c>
      <c r="C244" s="1870"/>
      <c r="D244" s="1870"/>
      <c r="E244" s="1870"/>
      <c r="F244" s="1875">
        <v>0.05</v>
      </c>
    </row>
    <row r="245" spans="1:6" ht="14.25" thickBot="1">
      <c r="A245" s="1859" t="s">
        <v>1417</v>
      </c>
      <c r="B245" s="1860" t="s">
        <v>2175</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2176</v>
      </c>
      <c r="C247" s="1864">
        <v>0.15</v>
      </c>
      <c r="D247" s="1864">
        <v>0.15</v>
      </c>
      <c r="E247" s="1864">
        <v>0.15</v>
      </c>
      <c r="F247" s="1865">
        <v>0.15</v>
      </c>
    </row>
    <row r="248" spans="1:6" ht="14.25" thickBot="1">
      <c r="A248" s="1859" t="s">
        <v>1417</v>
      </c>
      <c r="B248" s="1863" t="s">
        <v>2177</v>
      </c>
      <c r="C248" s="1864">
        <v>0.15</v>
      </c>
      <c r="D248" s="1864">
        <v>0.15</v>
      </c>
      <c r="E248" s="1864">
        <v>0.15</v>
      </c>
      <c r="F248" s="1865">
        <v>0.14000000000000001</v>
      </c>
    </row>
    <row r="249" spans="1:6" ht="14.25" thickBot="1">
      <c r="A249" s="1859" t="s">
        <v>1417</v>
      </c>
      <c r="B249" s="1863" t="s">
        <v>2178</v>
      </c>
      <c r="C249" s="1864">
        <v>0.15</v>
      </c>
      <c r="D249" s="1864">
        <v>0.14899999999999999</v>
      </c>
      <c r="E249" s="1864">
        <v>0.15</v>
      </c>
      <c r="F249" s="1865">
        <v>0.1</v>
      </c>
    </row>
    <row r="250" spans="1:6" ht="14.25" thickBot="1">
      <c r="A250" s="1859" t="s">
        <v>1417</v>
      </c>
      <c r="B250" s="1863" t="s">
        <v>2179</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2180</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2181</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2182</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2183</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2184</v>
      </c>
      <c r="C273" s="1864">
        <v>0.14199999999999999</v>
      </c>
      <c r="D273" s="1864">
        <v>0.14299999999999999</v>
      </c>
      <c r="E273" s="1864">
        <v>0.15</v>
      </c>
      <c r="F273" s="1865">
        <v>0.1</v>
      </c>
    </row>
    <row r="274" spans="1:6" ht="14.25" thickBot="1">
      <c r="A274" s="1859" t="s">
        <v>1417</v>
      </c>
      <c r="B274" s="1863" t="s">
        <v>2185</v>
      </c>
      <c r="C274" s="1864">
        <v>0.14799999999999999</v>
      </c>
      <c r="D274" s="1864">
        <v>0.14799999999999999</v>
      </c>
      <c r="E274" s="1864">
        <v>0.15</v>
      </c>
      <c r="F274" s="1865">
        <v>6.7000000000000004E-2</v>
      </c>
    </row>
    <row r="275" spans="1:6" ht="14.25" thickBot="1">
      <c r="A275" s="1859" t="s">
        <v>1417</v>
      </c>
      <c r="B275" s="1863" t="s">
        <v>2186</v>
      </c>
      <c r="C275" s="1864">
        <v>0.15</v>
      </c>
      <c r="D275" s="1864">
        <v>0.15</v>
      </c>
      <c r="E275" s="1864">
        <v>0.15</v>
      </c>
      <c r="F275" s="1865">
        <v>0.15</v>
      </c>
    </row>
    <row r="276" spans="1:6" ht="14.25" thickBot="1">
      <c r="A276" s="1859" t="s">
        <v>1417</v>
      </c>
      <c r="B276" s="1863" t="s">
        <v>2187</v>
      </c>
      <c r="C276" s="1864">
        <v>0.14499999999999999</v>
      </c>
      <c r="D276" s="1864">
        <v>0.14299999999999999</v>
      </c>
      <c r="E276" s="1864">
        <v>0.15</v>
      </c>
      <c r="F276" s="1865">
        <v>5.8999999999999997E-2</v>
      </c>
    </row>
    <row r="277" spans="1:6" ht="14.25" thickBot="1">
      <c r="A277" s="1859" t="s">
        <v>1417</v>
      </c>
      <c r="B277" s="1863" t="s">
        <v>2188</v>
      </c>
      <c r="C277" s="1864">
        <v>0.15</v>
      </c>
      <c r="D277" s="1864">
        <v>0.15</v>
      </c>
      <c r="E277" s="1864">
        <v>0.15</v>
      </c>
      <c r="F277" s="1865">
        <v>0.121</v>
      </c>
    </row>
    <row r="278" spans="1:6" ht="14.25" thickBot="1">
      <c r="A278" s="1859" t="s">
        <v>1417</v>
      </c>
      <c r="B278" s="1863" t="s">
        <v>2189</v>
      </c>
      <c r="C278" s="1864">
        <v>0.15</v>
      </c>
      <c r="D278" s="1864">
        <v>0.15</v>
      </c>
      <c r="E278" s="1864">
        <v>0.15</v>
      </c>
      <c r="F278" s="1865">
        <v>0.13800000000000001</v>
      </c>
    </row>
    <row r="279" spans="1:6" ht="24.75" thickBot="1">
      <c r="A279" s="1859" t="s">
        <v>1417</v>
      </c>
      <c r="B279" s="1863" t="s">
        <v>2190</v>
      </c>
      <c r="C279" s="1873"/>
      <c r="D279" s="1873"/>
      <c r="E279" s="1873"/>
      <c r="F279" s="1865">
        <v>0.05</v>
      </c>
    </row>
    <row r="280" spans="1:6" ht="24.75" thickBot="1">
      <c r="A280" s="1859" t="s">
        <v>1417</v>
      </c>
      <c r="B280" s="1863" t="s">
        <v>2191</v>
      </c>
      <c r="C280" s="1873"/>
      <c r="D280" s="1873"/>
      <c r="E280" s="1873"/>
      <c r="F280" s="1865">
        <v>0.05</v>
      </c>
    </row>
    <row r="281" spans="1:6" ht="24.75" thickBot="1">
      <c r="A281" s="1859" t="s">
        <v>1417</v>
      </c>
      <c r="B281" s="1863" t="s">
        <v>2192</v>
      </c>
      <c r="C281" s="1873"/>
      <c r="D281" s="1873"/>
      <c r="E281" s="1873"/>
      <c r="F281" s="1865">
        <v>0.05</v>
      </c>
    </row>
    <row r="282" spans="1:6" ht="24.75" thickBot="1">
      <c r="A282" s="1859" t="s">
        <v>1417</v>
      </c>
      <c r="B282" s="1863" t="s">
        <v>2193</v>
      </c>
      <c r="C282" s="1873"/>
      <c r="D282" s="1873"/>
      <c r="E282" s="1873"/>
      <c r="F282" s="1865">
        <v>0.05</v>
      </c>
    </row>
    <row r="283" spans="1:6" ht="24.75" thickBot="1">
      <c r="A283" s="1859" t="s">
        <v>1417</v>
      </c>
      <c r="B283" s="1863" t="s">
        <v>2194</v>
      </c>
      <c r="C283" s="1873"/>
      <c r="D283" s="1873"/>
      <c r="E283" s="1873"/>
      <c r="F283" s="1865">
        <v>0.05</v>
      </c>
    </row>
    <row r="284" spans="1:6" ht="24.75" thickBot="1">
      <c r="A284" s="1859" t="s">
        <v>1417</v>
      </c>
      <c r="B284" s="1863" t="s">
        <v>2195</v>
      </c>
      <c r="C284" s="1873"/>
      <c r="D284" s="1873"/>
      <c r="E284" s="1873"/>
      <c r="F284" s="1865">
        <v>0.05</v>
      </c>
    </row>
    <row r="285" spans="1:6" ht="24.75" thickBot="1">
      <c r="A285" s="1859" t="s">
        <v>1417</v>
      </c>
      <c r="B285" s="1863" t="s">
        <v>2196</v>
      </c>
      <c r="C285" s="1873"/>
      <c r="D285" s="1873"/>
      <c r="E285" s="1873"/>
      <c r="F285" s="1865">
        <v>0.05</v>
      </c>
    </row>
    <row r="286" spans="1:6" ht="24.75" thickBot="1">
      <c r="A286" s="1859" t="s">
        <v>1417</v>
      </c>
      <c r="B286" s="1863" t="s">
        <v>2197</v>
      </c>
      <c r="C286" s="1873"/>
      <c r="D286" s="1873"/>
      <c r="E286" s="1873"/>
      <c r="F286" s="1865">
        <v>0.05</v>
      </c>
    </row>
    <row r="287" spans="1:6" ht="24.75" thickBot="1">
      <c r="A287" s="1859" t="s">
        <v>1417</v>
      </c>
      <c r="B287" s="1863" t="s">
        <v>2198</v>
      </c>
      <c r="C287" s="1873"/>
      <c r="D287" s="1873"/>
      <c r="E287" s="1873"/>
      <c r="F287" s="1865">
        <v>0.05</v>
      </c>
    </row>
    <row r="288" spans="1:6" ht="24.75" thickBot="1">
      <c r="A288" s="1859" t="s">
        <v>1417</v>
      </c>
      <c r="B288" s="1863" t="s">
        <v>2199</v>
      </c>
      <c r="C288" s="1873"/>
      <c r="D288" s="1873"/>
      <c r="E288" s="1873"/>
      <c r="F288" s="1865">
        <v>0.05</v>
      </c>
    </row>
    <row r="289" spans="1:6" ht="24.75" thickBot="1">
      <c r="A289" s="1867" t="s">
        <v>1417</v>
      </c>
      <c r="B289" s="1874" t="s">
        <v>2200</v>
      </c>
      <c r="C289" s="1870"/>
      <c r="D289" s="1870"/>
      <c r="E289" s="1870"/>
      <c r="F289" s="1875">
        <v>0.05</v>
      </c>
    </row>
    <row r="290" spans="1:6" ht="14.25" thickBot="1">
      <c r="A290" s="1859" t="s">
        <v>1421</v>
      </c>
      <c r="B290" s="1860" t="s">
        <v>2201</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2202</v>
      </c>
      <c r="C292" s="1864">
        <v>0.15</v>
      </c>
      <c r="D292" s="1864">
        <v>0.15</v>
      </c>
      <c r="E292" s="1864">
        <v>0.15</v>
      </c>
      <c r="F292" s="1865">
        <v>0.14699999999999999</v>
      </c>
    </row>
    <row r="293" spans="1:6" ht="14.25" thickBot="1">
      <c r="A293" s="1859" t="s">
        <v>1421</v>
      </c>
      <c r="B293" s="1863" t="s">
        <v>2203</v>
      </c>
      <c r="C293" s="1873"/>
      <c r="D293" s="1873"/>
      <c r="E293" s="1873"/>
      <c r="F293" s="1865">
        <v>0.1</v>
      </c>
    </row>
    <row r="294" spans="1:6" ht="14.25" thickBot="1">
      <c r="A294" s="1859" t="s">
        <v>1421</v>
      </c>
      <c r="B294" s="1863" t="s">
        <v>2204</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2205</v>
      </c>
      <c r="C296" s="1864">
        <v>0.15</v>
      </c>
      <c r="D296" s="1864">
        <v>0.15</v>
      </c>
      <c r="E296" s="1864">
        <v>0.15</v>
      </c>
      <c r="F296" s="1865">
        <v>0.15</v>
      </c>
    </row>
    <row r="297" spans="1:6" ht="14.25" thickBot="1">
      <c r="A297" s="1859" t="s">
        <v>1421</v>
      </c>
      <c r="B297" s="1863" t="s">
        <v>2206</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2207</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2208</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2209</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2210</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2211</v>
      </c>
      <c r="C310" s="1864">
        <v>0.15</v>
      </c>
      <c r="D310" s="1864">
        <v>0.15</v>
      </c>
      <c r="E310" s="1864">
        <v>0.15</v>
      </c>
      <c r="F310" s="1865">
        <v>0.13700000000000001</v>
      </c>
    </row>
    <row r="311" spans="1:6" ht="14.25" thickBot="1">
      <c r="A311" s="1859" t="s">
        <v>1421</v>
      </c>
      <c r="B311" s="1863" t="s">
        <v>2212</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2213</v>
      </c>
      <c r="C313" s="1864">
        <v>0.15</v>
      </c>
      <c r="D313" s="1864">
        <v>0.15</v>
      </c>
      <c r="E313" s="1864">
        <v>0.15</v>
      </c>
      <c r="F313" s="1865">
        <v>0.15</v>
      </c>
    </row>
    <row r="314" spans="1:6" ht="24.75" thickBot="1">
      <c r="A314" s="1859" t="s">
        <v>1421</v>
      </c>
      <c r="B314" s="1863" t="s">
        <v>2214</v>
      </c>
      <c r="C314" s="1873"/>
      <c r="D314" s="1873"/>
      <c r="E314" s="1873"/>
      <c r="F314" s="1865">
        <v>0.05</v>
      </c>
    </row>
    <row r="315" spans="1:6" ht="24.75" thickBot="1">
      <c r="A315" s="1859" t="s">
        <v>1421</v>
      </c>
      <c r="B315" s="1863" t="s">
        <v>2215</v>
      </c>
      <c r="C315" s="1873"/>
      <c r="D315" s="1873"/>
      <c r="E315" s="1873"/>
      <c r="F315" s="1865">
        <v>0.05</v>
      </c>
    </row>
    <row r="316" spans="1:6" ht="24.75" thickBot="1">
      <c r="A316" s="1867" t="s">
        <v>1421</v>
      </c>
      <c r="B316" s="1874" t="s">
        <v>2216</v>
      </c>
      <c r="C316" s="1870"/>
      <c r="D316" s="1870"/>
      <c r="E316" s="1870"/>
      <c r="F316" s="1875">
        <v>0.05</v>
      </c>
    </row>
    <row r="317" spans="1:6" ht="14.25" thickBot="1">
      <c r="A317" s="1859" t="s">
        <v>2217</v>
      </c>
      <c r="B317" s="1860" t="s">
        <v>2218</v>
      </c>
      <c r="C317" s="1861">
        <v>0.15</v>
      </c>
      <c r="D317" s="1861">
        <v>0.15</v>
      </c>
      <c r="E317" s="1861">
        <v>0.15</v>
      </c>
      <c r="F317" s="1862">
        <v>0.15</v>
      </c>
    </row>
    <row r="318" spans="1:6" ht="14.25" thickBot="1">
      <c r="A318" s="1859" t="s">
        <v>2217</v>
      </c>
      <c r="B318" s="1863" t="s">
        <v>2219</v>
      </c>
      <c r="C318" s="1864">
        <v>0.107</v>
      </c>
      <c r="D318" s="1864">
        <v>0.11</v>
      </c>
      <c r="E318" s="1864">
        <v>0.112</v>
      </c>
      <c r="F318" s="1872"/>
    </row>
    <row r="319" spans="1:6" ht="14.25" thickBot="1">
      <c r="A319" s="1859" t="s">
        <v>2217</v>
      </c>
      <c r="B319" s="1863" t="s">
        <v>2220</v>
      </c>
      <c r="C319" s="1864">
        <v>0.15</v>
      </c>
      <c r="D319" s="1864">
        <v>0.15</v>
      </c>
      <c r="E319" s="1864">
        <v>0.15</v>
      </c>
      <c r="F319" s="1865">
        <v>0.15</v>
      </c>
    </row>
    <row r="320" spans="1:6" ht="14.25" thickBot="1">
      <c r="A320" s="1859" t="s">
        <v>2217</v>
      </c>
      <c r="B320" s="1863" t="s">
        <v>1109</v>
      </c>
      <c r="C320" s="1864">
        <v>0.15</v>
      </c>
      <c r="D320" s="1864">
        <v>0.15</v>
      </c>
      <c r="E320" s="1864">
        <v>0.15</v>
      </c>
      <c r="F320" s="1872"/>
    </row>
    <row r="321" spans="1:6" ht="14.25" thickBot="1">
      <c r="A321" s="1859" t="s">
        <v>2217</v>
      </c>
      <c r="B321" s="1863" t="s">
        <v>2221</v>
      </c>
      <c r="C321" s="1864">
        <v>0.15</v>
      </c>
      <c r="D321" s="1864">
        <v>0.15</v>
      </c>
      <c r="E321" s="1864">
        <v>0.15</v>
      </c>
      <c r="F321" s="1872"/>
    </row>
    <row r="322" spans="1:6" ht="14.25" thickBot="1">
      <c r="A322" s="1859" t="s">
        <v>2217</v>
      </c>
      <c r="B322" s="1863" t="s">
        <v>2222</v>
      </c>
      <c r="C322" s="1864">
        <v>0.15</v>
      </c>
      <c r="D322" s="1864">
        <v>0.15</v>
      </c>
      <c r="E322" s="1864">
        <v>0.15</v>
      </c>
      <c r="F322" s="1865">
        <v>0.15</v>
      </c>
    </row>
    <row r="323" spans="1:6" ht="14.25" thickBot="1">
      <c r="A323" s="1859" t="s">
        <v>2217</v>
      </c>
      <c r="B323" s="1863" t="s">
        <v>2223</v>
      </c>
      <c r="C323" s="1864">
        <v>0.15</v>
      </c>
      <c r="D323" s="1864">
        <v>0.15</v>
      </c>
      <c r="E323" s="1864">
        <v>0.15</v>
      </c>
      <c r="F323" s="1872"/>
    </row>
    <row r="324" spans="1:6" ht="14.25" thickBot="1">
      <c r="A324" s="1859" t="s">
        <v>2217</v>
      </c>
      <c r="B324" s="1863" t="s">
        <v>2224</v>
      </c>
      <c r="C324" s="1864">
        <v>0.15</v>
      </c>
      <c r="D324" s="1864">
        <v>0.15</v>
      </c>
      <c r="E324" s="1864">
        <v>0.15</v>
      </c>
      <c r="F324" s="1872"/>
    </row>
    <row r="325" spans="1:6" ht="14.25" thickBot="1">
      <c r="A325" s="1859" t="s">
        <v>2217</v>
      </c>
      <c r="B325" s="1863" t="s">
        <v>2225</v>
      </c>
      <c r="C325" s="1864">
        <v>0.15</v>
      </c>
      <c r="D325" s="1864">
        <v>0.15</v>
      </c>
      <c r="E325" s="1864">
        <v>0.15</v>
      </c>
      <c r="F325" s="1865">
        <v>0.14699999999999999</v>
      </c>
    </row>
    <row r="326" spans="1:6" ht="14.25" thickBot="1">
      <c r="A326" s="1859" t="s">
        <v>2217</v>
      </c>
      <c r="B326" s="1863" t="s">
        <v>1178</v>
      </c>
      <c r="C326" s="1864">
        <v>0.15</v>
      </c>
      <c r="D326" s="1864">
        <v>0.15</v>
      </c>
      <c r="E326" s="1864">
        <v>0.15</v>
      </c>
      <c r="F326" s="1872"/>
    </row>
    <row r="327" spans="1:6" ht="14.25" thickBot="1">
      <c r="A327" s="1859" t="s">
        <v>2217</v>
      </c>
      <c r="B327" s="1863" t="s">
        <v>2226</v>
      </c>
      <c r="C327" s="1864">
        <v>0.15</v>
      </c>
      <c r="D327" s="1864">
        <v>0.15</v>
      </c>
      <c r="E327" s="1864">
        <v>0.15</v>
      </c>
      <c r="F327" s="1865">
        <v>0.15</v>
      </c>
    </row>
    <row r="328" spans="1:6" ht="14.25" thickBot="1">
      <c r="A328" s="1859" t="s">
        <v>2217</v>
      </c>
      <c r="B328" s="1863" t="s">
        <v>1198</v>
      </c>
      <c r="C328" s="1864">
        <v>0.15</v>
      </c>
      <c r="D328" s="1864">
        <v>0.15</v>
      </c>
      <c r="E328" s="1864">
        <v>0.15</v>
      </c>
      <c r="F328" s="1865">
        <v>0.14099999999999999</v>
      </c>
    </row>
    <row r="329" spans="1:6" ht="14.25" thickBot="1">
      <c r="A329" s="1859" t="s">
        <v>2217</v>
      </c>
      <c r="B329" s="1863" t="s">
        <v>1208</v>
      </c>
      <c r="C329" s="1864">
        <v>0.15</v>
      </c>
      <c r="D329" s="1864">
        <v>0.15</v>
      </c>
      <c r="E329" s="1864">
        <v>0.15</v>
      </c>
      <c r="F329" s="1865">
        <v>0.15</v>
      </c>
    </row>
    <row r="330" spans="1:6" ht="14.25" thickBot="1">
      <c r="A330" s="1859" t="s">
        <v>2217</v>
      </c>
      <c r="B330" s="1863" t="s">
        <v>1218</v>
      </c>
      <c r="C330" s="1864">
        <v>0.15</v>
      </c>
      <c r="D330" s="1864">
        <v>0.15</v>
      </c>
      <c r="E330" s="1864">
        <v>0.15</v>
      </c>
      <c r="F330" s="1872"/>
    </row>
    <row r="331" spans="1:6" ht="14.25" thickBot="1">
      <c r="A331" s="1859" t="s">
        <v>2217</v>
      </c>
      <c r="B331" s="1863" t="s">
        <v>2227</v>
      </c>
      <c r="C331" s="1864">
        <v>0.15</v>
      </c>
      <c r="D331" s="1864">
        <v>0.15</v>
      </c>
      <c r="E331" s="1864">
        <v>0.15</v>
      </c>
      <c r="F331" s="1865">
        <v>0.15</v>
      </c>
    </row>
    <row r="332" spans="1:6" ht="14.25" thickBot="1">
      <c r="A332" s="1859" t="s">
        <v>2217</v>
      </c>
      <c r="B332" s="1863" t="s">
        <v>1238</v>
      </c>
      <c r="C332" s="1864">
        <v>0.15</v>
      </c>
      <c r="D332" s="1864">
        <v>0.15</v>
      </c>
      <c r="E332" s="1864">
        <v>0.15</v>
      </c>
      <c r="F332" s="1865">
        <v>0.15</v>
      </c>
    </row>
    <row r="333" spans="1:6" ht="14.25" thickBot="1">
      <c r="A333" s="1859" t="s">
        <v>2217</v>
      </c>
      <c r="B333" s="1863" t="s">
        <v>2228</v>
      </c>
      <c r="C333" s="1864">
        <v>0.15</v>
      </c>
      <c r="D333" s="1864">
        <v>0.15</v>
      </c>
      <c r="E333" s="1864">
        <v>0.15</v>
      </c>
      <c r="F333" s="1865">
        <v>0.14099999999999999</v>
      </c>
    </row>
    <row r="334" spans="1:6" ht="14.25" thickBot="1">
      <c r="A334" s="1859" t="s">
        <v>2217</v>
      </c>
      <c r="B334" s="1863" t="s">
        <v>1258</v>
      </c>
      <c r="C334" s="1864">
        <v>0.15</v>
      </c>
      <c r="D334" s="1864">
        <v>0.15</v>
      </c>
      <c r="E334" s="1864">
        <v>0.15</v>
      </c>
      <c r="F334" s="1865">
        <v>0.15</v>
      </c>
    </row>
    <row r="335" spans="1:6" ht="14.25" thickBot="1">
      <c r="A335" s="1859" t="s">
        <v>2217</v>
      </c>
      <c r="B335" s="1863" t="s">
        <v>1268</v>
      </c>
      <c r="C335" s="1864">
        <v>0.15</v>
      </c>
      <c r="D335" s="1864">
        <v>0.15</v>
      </c>
      <c r="E335" s="1864">
        <v>0.15</v>
      </c>
      <c r="F335" s="1872"/>
    </row>
    <row r="336" spans="1:6" ht="14.25" thickBot="1">
      <c r="A336" s="1859" t="s">
        <v>2217</v>
      </c>
      <c r="B336" s="1863" t="s">
        <v>2229</v>
      </c>
      <c r="C336" s="1864">
        <v>0.15</v>
      </c>
      <c r="D336" s="1864">
        <v>0.15</v>
      </c>
      <c r="E336" s="1864">
        <v>0.15</v>
      </c>
      <c r="F336" s="1865">
        <v>0.11799999999999999</v>
      </c>
    </row>
    <row r="337" spans="1:6" ht="14.25" thickBot="1">
      <c r="A337" s="1867" t="s">
        <v>2217</v>
      </c>
      <c r="B337" s="1874" t="s">
        <v>1286</v>
      </c>
      <c r="C337" s="1870"/>
      <c r="D337" s="1870"/>
      <c r="E337" s="1870"/>
      <c r="F337" s="1875">
        <v>0.14299999999999999</v>
      </c>
    </row>
    <row r="338" spans="1:6" ht="14.25" thickBot="1">
      <c r="A338" s="1859" t="s">
        <v>2230</v>
      </c>
      <c r="B338" s="1860" t="s">
        <v>2231</v>
      </c>
      <c r="C338" s="1861">
        <v>0.15</v>
      </c>
      <c r="D338" s="1861">
        <v>0.15</v>
      </c>
      <c r="E338" s="1861">
        <v>0.15</v>
      </c>
      <c r="F338" s="1883"/>
    </row>
    <row r="339" spans="1:6" ht="14.25" thickBot="1">
      <c r="A339" s="1859" t="s">
        <v>2230</v>
      </c>
      <c r="B339" s="1863" t="s">
        <v>2232</v>
      </c>
      <c r="C339" s="1864">
        <v>0.15</v>
      </c>
      <c r="D339" s="1864">
        <v>0.15</v>
      </c>
      <c r="E339" s="1864">
        <v>0.15</v>
      </c>
      <c r="F339" s="1872"/>
    </row>
    <row r="340" spans="1:6" ht="14.25" thickBot="1">
      <c r="A340" s="1859" t="s">
        <v>2230</v>
      </c>
      <c r="B340" s="1863" t="s">
        <v>2233</v>
      </c>
      <c r="C340" s="1864">
        <v>0.15</v>
      </c>
      <c r="D340" s="1864">
        <v>0.15</v>
      </c>
      <c r="E340" s="1864">
        <v>0.15</v>
      </c>
      <c r="F340" s="1872"/>
    </row>
    <row r="341" spans="1:6" ht="14.25" thickBot="1">
      <c r="A341" s="1859" t="s">
        <v>2234</v>
      </c>
      <c r="B341" s="1863" t="s">
        <v>2235</v>
      </c>
      <c r="C341" s="1864">
        <v>0.15</v>
      </c>
      <c r="D341" s="1864">
        <v>0.15</v>
      </c>
      <c r="E341" s="1864">
        <v>0.15</v>
      </c>
      <c r="F341" s="1865">
        <v>0.15</v>
      </c>
    </row>
    <row r="342" spans="1:6" ht="14.25" thickBot="1">
      <c r="A342" s="1859" t="s">
        <v>2230</v>
      </c>
      <c r="B342" s="1863" t="s">
        <v>2236</v>
      </c>
      <c r="C342" s="1864">
        <v>0.15</v>
      </c>
      <c r="D342" s="1864">
        <v>0.15</v>
      </c>
      <c r="E342" s="1864">
        <v>0.15</v>
      </c>
      <c r="F342" s="1865">
        <v>0.15</v>
      </c>
    </row>
    <row r="343" spans="1:6" ht="14.25" thickBot="1">
      <c r="A343" s="1859" t="s">
        <v>2230</v>
      </c>
      <c r="B343" s="1863" t="s">
        <v>2237</v>
      </c>
      <c r="C343" s="1864">
        <v>0.15</v>
      </c>
      <c r="D343" s="1864">
        <v>0.15</v>
      </c>
      <c r="E343" s="1864">
        <v>0.15</v>
      </c>
      <c r="F343" s="1865">
        <v>0.15</v>
      </c>
    </row>
    <row r="344" spans="1:6" ht="14.25" thickBot="1">
      <c r="A344" s="1867" t="s">
        <v>2230</v>
      </c>
      <c r="B344" s="1874" t="s">
        <v>2238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2955</v>
      </c>
      <c r="B1" s="3138"/>
      <c r="C1" s="3138"/>
      <c r="D1" s="3138"/>
      <c r="E1" s="3138"/>
      <c r="F1" s="3138"/>
    </row>
    <row r="2" spans="1:6" ht="14.25">
      <c r="A2" s="3139" t="s">
        <v>2949</v>
      </c>
      <c r="B2" s="3140" t="e">
        <f ca="1">SUMIF(B7:B14,"&lt;&gt;#ref!",B7:B14)</f>
        <v>#DIV/0!</v>
      </c>
      <c r="C2" s="3139" t="s">
        <v>2950</v>
      </c>
      <c r="D2" s="3138"/>
      <c r="E2" s="3138"/>
      <c r="F2" s="3138"/>
    </row>
    <row r="3" spans="1:6" ht="14.25">
      <c r="A3" s="3139" t="s">
        <v>2952</v>
      </c>
      <c r="B3" s="3140" t="e">
        <f ca="1">ROUND(B2*10000/E3,0)</f>
        <v>#DIV/0!</v>
      </c>
      <c r="C3" s="3139" t="s">
        <v>2079</v>
      </c>
      <c r="D3" s="3139" t="s">
        <v>2951</v>
      </c>
      <c r="E3" s="3140" t="e">
        <f ca="1">SUM(E7:E14)</f>
        <v>#REF!</v>
      </c>
      <c r="F3" s="3138"/>
    </row>
    <row r="4" spans="1:6" ht="14.25">
      <c r="A4" s="3139" t="s">
        <v>2959</v>
      </c>
      <c r="B4" s="3140" t="e">
        <f ca="1">ROUND(B2*10000/E4,0)</f>
        <v>#DIV/0!</v>
      </c>
      <c r="C4" s="3139" t="s">
        <v>2079</v>
      </c>
      <c r="D4" s="3139" t="s">
        <v>2960</v>
      </c>
      <c r="E4" s="3140" t="e">
        <f ca="1">SUM(F7:F14)</f>
        <v>#REF!</v>
      </c>
      <c r="F4" s="3138"/>
    </row>
    <row r="5" spans="1:6" ht="14.25">
      <c r="A5" s="3141"/>
      <c r="B5" s="1885"/>
      <c r="C5" s="1885"/>
      <c r="D5" s="1885"/>
      <c r="E5" s="1885"/>
      <c r="F5" s="3138"/>
    </row>
    <row r="6" spans="1:6" ht="28.5">
      <c r="A6" s="3142" t="s">
        <v>2956</v>
      </c>
      <c r="B6" s="3139" t="s">
        <v>2953</v>
      </c>
      <c r="C6" s="3140"/>
      <c r="D6" s="1885"/>
      <c r="E6" s="3139" t="s">
        <v>2954</v>
      </c>
      <c r="F6" s="3139" t="s">
        <v>2958</v>
      </c>
    </row>
    <row r="7" spans="1:6" ht="14.25">
      <c r="A7" s="259" t="s">
        <v>2957</v>
      </c>
      <c r="B7" s="3143" t="e">
        <f ca="1">SUMIF(INDIRECT("'"&amp;A7&amp;"'"&amp;"!A:A"),"总价",INDIRECT("'"&amp;A7&amp;"'"&amp;"!B:B"))</f>
        <v>#DIV/0!</v>
      </c>
      <c r="C7" s="3139" t="s">
        <v>2950</v>
      </c>
      <c r="D7" s="1885"/>
      <c r="E7" s="3144">
        <f ca="1">SUMIF(INDIRECT("'"&amp;A7&amp;"'"&amp;"!C:C"),"建筑面积",INDIRECT("'"&amp;A7&amp;"'"&amp;"!D:D"))</f>
        <v>0</v>
      </c>
      <c r="F7" s="3144">
        <f ca="1">SUMIF(INDIRECT("'"&amp;A7&amp;"'"&amp;"!E:E"),"土地面积",INDIRECT("'"&amp;A7&amp;"'"&amp;"!F:F"))</f>
        <v>0</v>
      </c>
    </row>
    <row r="8" spans="1:6" ht="14.25">
      <c r="A8" s="259"/>
      <c r="B8" s="3143" t="e">
        <f t="shared" ref="B8:B14" ca="1" si="0">SUMIF(INDIRECT("'"&amp;A8&amp;"'"&amp;"!A:A"),"总价",INDIRECT("'"&amp;A8&amp;"'"&amp;"!B:B"))</f>
        <v>#REF!</v>
      </c>
      <c r="C8" s="3139" t="s">
        <v>2950</v>
      </c>
      <c r="D8" s="1885"/>
      <c r="E8" s="3144" t="e">
        <f t="shared" ref="E8:E14" ca="1" si="1">SUMIF(INDIRECT("'"&amp;A8&amp;"'"&amp;"!C:C"),"建筑面积",INDIRECT("'"&amp;A8&amp;"'"&amp;"!D:D"))</f>
        <v>#REF!</v>
      </c>
      <c r="F8" s="3144" t="e">
        <f t="shared" ref="F8:F14" ca="1" si="2">SUMIF(INDIRECT("'"&amp;A8&amp;"'"&amp;"!E:E"),"土地面积",INDIRECT("'"&amp;A8&amp;"'"&amp;"!F:F"))</f>
        <v>#REF!</v>
      </c>
    </row>
    <row r="9" spans="1:6" ht="14.25">
      <c r="A9" s="259"/>
      <c r="B9" s="3143" t="e">
        <f t="shared" ca="1" si="0"/>
        <v>#REF!</v>
      </c>
      <c r="C9" s="3139" t="s">
        <v>2950</v>
      </c>
      <c r="D9" s="1885"/>
      <c r="E9" s="3144" t="e">
        <f t="shared" ca="1" si="1"/>
        <v>#REF!</v>
      </c>
      <c r="F9" s="3144" t="e">
        <f t="shared" ca="1" si="2"/>
        <v>#REF!</v>
      </c>
    </row>
    <row r="10" spans="1:6" ht="14.25">
      <c r="A10" s="259"/>
      <c r="B10" s="3143" t="e">
        <f t="shared" ca="1" si="0"/>
        <v>#REF!</v>
      </c>
      <c r="C10" s="3139" t="s">
        <v>2950</v>
      </c>
      <c r="D10" s="1885"/>
      <c r="E10" s="3144" t="e">
        <f t="shared" ca="1" si="1"/>
        <v>#REF!</v>
      </c>
      <c r="F10" s="3144" t="e">
        <f t="shared" ca="1" si="2"/>
        <v>#REF!</v>
      </c>
    </row>
    <row r="11" spans="1:6" ht="14.25">
      <c r="A11" s="259"/>
      <c r="B11" s="3143" t="e">
        <f t="shared" ca="1" si="0"/>
        <v>#REF!</v>
      </c>
      <c r="C11" s="3139" t="s">
        <v>2950</v>
      </c>
      <c r="D11" s="1885"/>
      <c r="E11" s="3144" t="e">
        <f t="shared" ca="1" si="1"/>
        <v>#REF!</v>
      </c>
      <c r="F11" s="3144" t="e">
        <f t="shared" ca="1" si="2"/>
        <v>#REF!</v>
      </c>
    </row>
    <row r="12" spans="1:6" ht="14.25">
      <c r="A12" s="259"/>
      <c r="B12" s="3143" t="e">
        <f t="shared" ca="1" si="0"/>
        <v>#REF!</v>
      </c>
      <c r="C12" s="3139" t="s">
        <v>2950</v>
      </c>
      <c r="D12" s="1885"/>
      <c r="E12" s="3144" t="e">
        <f t="shared" ca="1" si="1"/>
        <v>#REF!</v>
      </c>
      <c r="F12" s="3144" t="e">
        <f t="shared" ca="1" si="2"/>
        <v>#REF!</v>
      </c>
    </row>
    <row r="13" spans="1:6" ht="14.25">
      <c r="A13" s="259"/>
      <c r="B13" s="3143" t="e">
        <f t="shared" ca="1" si="0"/>
        <v>#REF!</v>
      </c>
      <c r="C13" s="3139" t="s">
        <v>2950</v>
      </c>
      <c r="D13" s="1885"/>
      <c r="E13" s="3144" t="e">
        <f t="shared" ca="1" si="1"/>
        <v>#REF!</v>
      </c>
      <c r="F13" s="3144" t="e">
        <f t="shared" ca="1" si="2"/>
        <v>#REF!</v>
      </c>
    </row>
    <row r="14" spans="1:6" ht="14.25">
      <c r="A14" s="3137"/>
      <c r="B14" s="3143" t="e">
        <f t="shared" ca="1" si="0"/>
        <v>#REF!</v>
      </c>
      <c r="C14" s="3139" t="s">
        <v>2950</v>
      </c>
      <c r="D14" s="1885"/>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629</v>
      </c>
      <c r="B1" s="740"/>
      <c r="C1" s="775"/>
      <c r="D1" s="2054"/>
      <c r="E1" s="2415" t="s">
        <v>2376</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630</v>
      </c>
      <c r="B2" s="777">
        <f ca="1">IF(ISERROR(C45+J31),0,C45+J31)</f>
        <v>0</v>
      </c>
      <c r="C2" s="1353"/>
      <c r="D2" s="2059"/>
      <c r="E2" s="2060"/>
      <c r="F2" s="2060"/>
      <c r="G2" s="1593"/>
      <c r="H2" s="1365"/>
      <c r="I2" s="2061"/>
      <c r="J2" s="2061"/>
      <c r="K2" s="2062"/>
      <c r="L2" s="2061"/>
      <c r="M2" s="2061"/>
    </row>
    <row r="3" spans="1:25" ht="18" customHeight="1">
      <c r="A3" s="1648" t="s">
        <v>1685</v>
      </c>
      <c r="B3" s="1394">
        <f ca="1">ROUND(B2*10000/'数据-汇总表'!E3,0)</f>
        <v>0</v>
      </c>
      <c r="C3" s="1353"/>
      <c r="D3" s="2059"/>
      <c r="E3" s="2060"/>
      <c r="F3" s="2060"/>
      <c r="G3" s="1593"/>
      <c r="H3" s="778" t="s">
        <v>696</v>
      </c>
      <c r="I3" s="2061"/>
      <c r="J3" s="2061"/>
      <c r="K3" s="2062"/>
      <c r="L3" s="2061"/>
      <c r="M3" s="2061"/>
    </row>
    <row r="4" spans="1:25" ht="18" customHeight="1">
      <c r="A4" s="1649" t="s">
        <v>697</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698</v>
      </c>
      <c r="D5" s="2059"/>
      <c r="E5" s="2060"/>
      <c r="F5" s="2060"/>
      <c r="G5" s="1593"/>
      <c r="H5" s="778"/>
      <c r="I5" s="2061"/>
      <c r="J5" s="2061"/>
      <c r="K5" s="2062"/>
      <c r="L5" s="2061"/>
      <c r="M5" s="2061"/>
    </row>
    <row r="6" spans="1:25" ht="18" customHeight="1">
      <c r="A6" s="1832" t="s">
        <v>699</v>
      </c>
      <c r="B6" s="1824" t="s">
        <v>700</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2461</v>
      </c>
      <c r="C7" s="53">
        <f ca="1">C8+C12+C14</f>
        <v>0</v>
      </c>
      <c r="D7" s="2524" t="s">
        <v>2464</v>
      </c>
      <c r="E7" s="2518"/>
      <c r="F7" s="2519"/>
      <c r="G7" s="1595"/>
      <c r="H7" s="783">
        <v>1</v>
      </c>
      <c r="I7" s="784" t="s">
        <v>2461</v>
      </c>
      <c r="J7" s="53">
        <f ca="1">J8+J12+J14</f>
        <v>0</v>
      </c>
      <c r="K7" s="2524" t="s">
        <v>2464</v>
      </c>
      <c r="L7" s="2518"/>
      <c r="M7" s="2519"/>
    </row>
    <row r="8" spans="1:25" ht="18" customHeight="1">
      <c r="A8" s="1834" t="s">
        <v>1823</v>
      </c>
      <c r="B8" s="3437" t="s">
        <v>2466</v>
      </c>
      <c r="C8" s="1829">
        <f ca="1">ROUND(F8*F10*F9*(1-F11)/10000,0)</f>
        <v>0</v>
      </c>
      <c r="D8" s="1826" t="s">
        <v>2538</v>
      </c>
      <c r="E8" s="61" t="s">
        <v>638</v>
      </c>
      <c r="F8" s="787">
        <f ca="1">INDIRECT("'数据-取费表'!u"&amp;$G$1)</f>
        <v>0</v>
      </c>
      <c r="G8" s="1595"/>
      <c r="H8" s="2532" t="s">
        <v>1823</v>
      </c>
      <c r="I8" s="3437" t="s">
        <v>2466</v>
      </c>
      <c r="J8" s="785">
        <f ca="1">ROUND(M8*M10*M9*(1-M11)/10000,0)</f>
        <v>0</v>
      </c>
      <c r="K8" s="343" t="s">
        <v>2538</v>
      </c>
      <c r="L8" s="786" t="s">
        <v>1737</v>
      </c>
      <c r="M8" s="787">
        <f ca="1">INDIRECT("'数据-取费表'!z"&amp;$G$1)</f>
        <v>0</v>
      </c>
    </row>
    <row r="9" spans="1:25" ht="18" customHeight="1">
      <c r="A9" s="2528"/>
      <c r="B9" s="3438"/>
      <c r="C9" s="1830"/>
      <c r="D9" s="1827"/>
      <c r="E9" s="61" t="s">
        <v>639</v>
      </c>
      <c r="F9" s="787">
        <f ca="1">IF(INDIRECT("'数据-取费表'!ah"&amp;$G$1)="",INDIRECT("'数据-取费表'!k"&amp;$G$1),INDIRECT("'数据-取费表'!ah"&amp;$G$1))</f>
        <v>0</v>
      </c>
      <c r="G9" s="1595"/>
      <c r="H9" s="2517"/>
      <c r="I9" s="3438"/>
      <c r="J9" s="790"/>
      <c r="K9" s="791"/>
      <c r="L9" s="786" t="s">
        <v>1738</v>
      </c>
      <c r="M9" s="787">
        <f ca="1">F9</f>
        <v>0</v>
      </c>
    </row>
    <row r="10" spans="1:25" ht="18" customHeight="1">
      <c r="A10" s="2521"/>
      <c r="B10" s="3439"/>
      <c r="C10" s="1830"/>
      <c r="D10" s="1827"/>
      <c r="E10" s="61" t="s">
        <v>640</v>
      </c>
      <c r="F10" s="787">
        <f ca="1">INDIRECT("'数据-取费表'!ai"&amp;$G$1)</f>
        <v>0</v>
      </c>
      <c r="G10" s="1595"/>
      <c r="H10" s="2517"/>
      <c r="I10" s="3439"/>
      <c r="J10" s="790"/>
      <c r="K10" s="791"/>
      <c r="L10" s="786" t="s">
        <v>1739</v>
      </c>
      <c r="M10" s="787">
        <f ca="1">INDIRECT("'数据-取费表'!ai"&amp;$G$1)</f>
        <v>0</v>
      </c>
    </row>
    <row r="11" spans="1:25" ht="18" customHeight="1">
      <c r="A11" s="788"/>
      <c r="B11" s="3440"/>
      <c r="C11" s="1830"/>
      <c r="D11" s="1827"/>
      <c r="E11" s="61" t="s">
        <v>641</v>
      </c>
      <c r="F11" s="796">
        <f ca="1">INDIRECT("'数据-取费表'!w"&amp;$G$1)</f>
        <v>0</v>
      </c>
      <c r="G11" s="1595"/>
      <c r="H11" s="2533"/>
      <c r="I11" s="3439"/>
      <c r="J11" s="790"/>
      <c r="K11" s="791"/>
      <c r="L11" s="797" t="s">
        <v>1740</v>
      </c>
      <c r="M11" s="798">
        <f ca="1">INDIRECT("'数据-取费表'!ab"&amp;$G$1)</f>
        <v>0</v>
      </c>
    </row>
    <row r="12" spans="1:25" ht="18" customHeight="1">
      <c r="A12" s="1834" t="s">
        <v>1824</v>
      </c>
      <c r="B12" s="2522" t="s">
        <v>2462</v>
      </c>
      <c r="C12" s="801">
        <f ca="1">ROUND(IF(F12="押一",F8*F10*F9/12*F13,IF(F12="押二",F8*F10*F9/12*2*F13,IF(F12="押三",F8*F10*F9/12*3*F13,C13*F13)))/10000,0)</f>
        <v>0</v>
      </c>
      <c r="D12" s="2529" t="s">
        <v>2469</v>
      </c>
      <c r="E12" s="2526" t="s">
        <v>2467</v>
      </c>
      <c r="F12" s="2649"/>
      <c r="G12" s="1595"/>
      <c r="H12" s="2589" t="s">
        <v>1824</v>
      </c>
      <c r="I12" s="2594" t="s">
        <v>2462</v>
      </c>
      <c r="J12" s="785">
        <f ca="1">ROUND(IF(M12="押一",M8*M10*M9/12*M13,IF(M12="押二",M8*M10*M9/12*2*M13,IF(M12="押三",M8*M10*M9/12*3*M13,J13*M13)))/10000,0)</f>
        <v>0</v>
      </c>
      <c r="K12" s="2529" t="s">
        <v>2469</v>
      </c>
      <c r="L12" s="2526" t="s">
        <v>2467</v>
      </c>
      <c r="M12" s="2649"/>
    </row>
    <row r="13" spans="1:25" ht="18" customHeight="1">
      <c r="A13" s="792"/>
      <c r="B13" s="2523" t="s">
        <v>2577</v>
      </c>
      <c r="C13" s="2527"/>
      <c r="D13" s="791"/>
      <c r="E13" s="2526" t="s">
        <v>2459</v>
      </c>
      <c r="F13" s="798">
        <f ca="1">'数据-取费表'!B39</f>
        <v>1.4999999999999999E-2</v>
      </c>
      <c r="G13" s="1595"/>
      <c r="H13" s="2590"/>
      <c r="I13" s="2523" t="s">
        <v>2577</v>
      </c>
      <c r="J13" s="2527"/>
      <c r="K13" s="2591"/>
      <c r="L13" s="2526" t="s">
        <v>2459</v>
      </c>
      <c r="M13" s="2520">
        <f ca="1">'数据-取费表'!B39</f>
        <v>1.4999999999999999E-2</v>
      </c>
    </row>
    <row r="14" spans="1:25" ht="18" customHeight="1" thickBot="1">
      <c r="A14" s="2565" t="s">
        <v>2471</v>
      </c>
      <c r="B14" s="2566" t="s">
        <v>2463</v>
      </c>
      <c r="C14" s="2567"/>
      <c r="D14" s="2568"/>
      <c r="E14" s="2569"/>
      <c r="F14" s="2570"/>
      <c r="G14" s="1595"/>
      <c r="H14" s="2579" t="s">
        <v>2471</v>
      </c>
      <c r="I14" s="2592" t="s">
        <v>2463</v>
      </c>
      <c r="J14" s="2593"/>
      <c r="K14" s="2568"/>
      <c r="L14" s="2569"/>
      <c r="M14" s="2582"/>
    </row>
    <row r="15" spans="1:25" ht="18" customHeight="1" thickTop="1">
      <c r="A15" s="1833" t="s">
        <v>1873</v>
      </c>
      <c r="B15" s="1831" t="s">
        <v>642</v>
      </c>
      <c r="C15" s="794">
        <f ca="1">ROUND(C31*F15,0)</f>
        <v>0</v>
      </c>
      <c r="D15" s="1838" t="s">
        <v>643</v>
      </c>
      <c r="E15" s="797" t="s">
        <v>644</v>
      </c>
      <c r="F15" s="802">
        <f ca="1">INDIRECT("'数据-取费表'!y"&amp;$G$1)</f>
        <v>0</v>
      </c>
      <c r="G15" s="1595"/>
      <c r="H15" s="1833" t="s">
        <v>1825</v>
      </c>
      <c r="I15" s="1831" t="s">
        <v>645</v>
      </c>
      <c r="J15" s="1823">
        <f ca="1">ROUND(J16*J17,0)</f>
        <v>0</v>
      </c>
      <c r="K15" s="1825" t="s">
        <v>643</v>
      </c>
      <c r="L15" s="803"/>
      <c r="M15" s="804"/>
    </row>
    <row r="16" spans="1:25" ht="18" customHeight="1">
      <c r="A16" s="805" t="s">
        <v>1874</v>
      </c>
      <c r="B16" s="786" t="s">
        <v>646</v>
      </c>
      <c r="C16" s="806">
        <f ca="1">INDIRECT("'数据-取费表'!m"&amp;$G$1)+INDIRECT("'数据-取费表'!t"&amp;$G$1)</f>
        <v>0</v>
      </c>
      <c r="D16" s="1983" t="s">
        <v>647</v>
      </c>
      <c r="E16" s="1984"/>
      <c r="F16" s="807"/>
      <c r="G16" s="1595"/>
      <c r="H16" s="805" t="s">
        <v>2070</v>
      </c>
      <c r="I16" s="2235" t="s">
        <v>2831</v>
      </c>
      <c r="J16" s="53">
        <f ca="1">C31</f>
        <v>0</v>
      </c>
      <c r="K16" s="26"/>
      <c r="L16" s="803"/>
      <c r="M16" s="804"/>
    </row>
    <row r="17" spans="1:25" s="2068" customFormat="1" ht="18" customHeight="1">
      <c r="A17" s="805" t="s">
        <v>1848</v>
      </c>
      <c r="B17" s="786" t="s">
        <v>648</v>
      </c>
      <c r="C17" s="53">
        <f ca="1">ROUND(C16*F17,0)</f>
        <v>0</v>
      </c>
      <c r="D17" s="808" t="s">
        <v>649</v>
      </c>
      <c r="E17" s="808" t="s">
        <v>650</v>
      </c>
      <c r="F17" s="809">
        <f>'数据-取费表'!B33</f>
        <v>0.03</v>
      </c>
      <c r="G17" s="1596"/>
      <c r="H17" s="805" t="s">
        <v>2071</v>
      </c>
      <c r="I17" s="786" t="s">
        <v>644</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1849</v>
      </c>
      <c r="B18" s="786" t="s">
        <v>651</v>
      </c>
      <c r="C18" s="53">
        <f ca="1">ROUND(INDIRECT("'数据-取费表'!m"&amp;$G$1)*F18,0)</f>
        <v>0</v>
      </c>
      <c r="D18" s="786" t="s">
        <v>649</v>
      </c>
      <c r="E18" s="786" t="s">
        <v>650</v>
      </c>
      <c r="F18" s="811">
        <f ca="1">IF(INDIRECT("'数据-取费表'!c"&amp;$G$1)="住宅",'数据-取费表'!B34,0)</f>
        <v>0</v>
      </c>
      <c r="G18" s="1595"/>
      <c r="H18" s="799" t="s">
        <v>1826</v>
      </c>
      <c r="I18" s="800" t="s">
        <v>652</v>
      </c>
      <c r="J18" s="801">
        <f ca="1">ROUND(J19+J24+J25+J26,0)</f>
        <v>0</v>
      </c>
      <c r="K18" s="26" t="s">
        <v>653</v>
      </c>
      <c r="L18" s="1986"/>
      <c r="M18" s="56"/>
    </row>
    <row r="19" spans="1:25" s="2068" customFormat="1" ht="18" customHeight="1">
      <c r="A19" s="805" t="s">
        <v>1850</v>
      </c>
      <c r="B19" s="786" t="s">
        <v>654</v>
      </c>
      <c r="C19" s="53">
        <f ca="1">ROUND(F19*(INDIRECT("'数据-取费表'!k"&amp;$G$1)+INDIRECT("'数据-取费表'!S"&amp;$G$1))/10000,0)</f>
        <v>0</v>
      </c>
      <c r="D19" s="786" t="s">
        <v>655</v>
      </c>
      <c r="E19" s="786" t="s">
        <v>656</v>
      </c>
      <c r="F19" s="56">
        <f>'数据-取费表'!B35</f>
        <v>200</v>
      </c>
      <c r="G19" s="1596"/>
      <c r="H19" s="805" t="s">
        <v>2070</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1851</v>
      </c>
      <c r="B20" s="786" t="s">
        <v>660</v>
      </c>
      <c r="C20" s="53">
        <f ca="1">ROUND(C16*F20,0)</f>
        <v>0</v>
      </c>
      <c r="D20" s="786" t="s">
        <v>649</v>
      </c>
      <c r="E20" s="786" t="s">
        <v>650</v>
      </c>
      <c r="F20" s="811">
        <f>'数据-取费表'!B36</f>
        <v>1.4999999999999999E-2</v>
      </c>
      <c r="G20" s="1596"/>
      <c r="H20" s="805" t="s">
        <v>1830</v>
      </c>
      <c r="I20" s="786" t="s">
        <v>661</v>
      </c>
      <c r="J20" s="53">
        <f ca="1">ROUND(J7*M20/1.05,1)</f>
        <v>0</v>
      </c>
      <c r="K20" s="1981" t="s">
        <v>662</v>
      </c>
      <c r="L20" s="786" t="s">
        <v>650</v>
      </c>
      <c r="M20" s="811">
        <f>'数据-取费表'!B41</f>
        <v>5.5000000000000007E-2</v>
      </c>
      <c r="N20" s="2067"/>
      <c r="O20" s="2067"/>
      <c r="P20" s="2067"/>
      <c r="Q20" s="2067"/>
      <c r="R20" s="2067"/>
      <c r="S20" s="2067"/>
      <c r="T20" s="2067"/>
      <c r="U20" s="2067"/>
      <c r="V20" s="2067"/>
      <c r="W20" s="2067"/>
      <c r="X20" s="2067"/>
      <c r="Y20" s="2067"/>
    </row>
    <row r="21" spans="1:25" ht="18" customHeight="1">
      <c r="A21" s="805" t="s">
        <v>1875</v>
      </c>
      <c r="B21" s="786" t="s">
        <v>663</v>
      </c>
      <c r="C21" s="53">
        <f ca="1">SUM(C16:C20)</f>
        <v>0</v>
      </c>
      <c r="D21" s="260" t="s">
        <v>664</v>
      </c>
      <c r="E21" s="1986"/>
      <c r="F21" s="56"/>
      <c r="G21" s="1595"/>
      <c r="H21" s="1834" t="s">
        <v>1848</v>
      </c>
      <c r="I21" s="786" t="s">
        <v>665</v>
      </c>
      <c r="J21" s="53">
        <f ca="1">IF(K21="按租金收入计税",ROUND(J7*M21,1),ROUND(C31*F35*0.7,1))</f>
        <v>0</v>
      </c>
      <c r="K21" s="813" t="s">
        <v>666</v>
      </c>
      <c r="L21" s="786" t="s">
        <v>650</v>
      </c>
      <c r="M21" s="811">
        <f>IF(K21="按租金收入计税",'数据-取费表'!B51,'数据-取费表'!B50)</f>
        <v>1.2E-2</v>
      </c>
    </row>
    <row r="22" spans="1:25" s="2068" customFormat="1" ht="18" customHeight="1">
      <c r="A22" s="805" t="s">
        <v>1876</v>
      </c>
      <c r="B22" s="786" t="s">
        <v>667</v>
      </c>
      <c r="C22" s="53">
        <f ca="1">ROUND(C21*F22,0)</f>
        <v>0</v>
      </c>
      <c r="D22" s="814" t="s">
        <v>668</v>
      </c>
      <c r="E22" s="786" t="s">
        <v>650</v>
      </c>
      <c r="F22" s="811">
        <f>'数据-取费表'!B37</f>
        <v>0.02</v>
      </c>
      <c r="G22" s="1596"/>
      <c r="H22" s="1836" t="s">
        <v>1849</v>
      </c>
      <c r="I22" s="1826" t="s">
        <v>669</v>
      </c>
      <c r="J22" s="54">
        <f ca="1">ROUND(M22*M23/10000,0)</f>
        <v>0</v>
      </c>
      <c r="K22" s="816" t="s">
        <v>670</v>
      </c>
      <c r="L22" s="786" t="s">
        <v>671</v>
      </c>
      <c r="M22" s="642">
        <f>'数据-取费表'!B52</f>
        <v>1.5</v>
      </c>
      <c r="N22" s="2067"/>
      <c r="O22" s="2067"/>
      <c r="P22" s="2067"/>
      <c r="Q22" s="2067"/>
      <c r="R22" s="2067"/>
      <c r="S22" s="2067"/>
      <c r="T22" s="2067"/>
      <c r="U22" s="2067"/>
      <c r="V22" s="2067"/>
      <c r="W22" s="2067"/>
      <c r="X22" s="2067"/>
      <c r="Y22" s="2067"/>
    </row>
    <row r="23" spans="1:25" s="2068" customFormat="1" ht="18" customHeight="1">
      <c r="A23" s="805" t="s">
        <v>1877</v>
      </c>
      <c r="B23" s="786" t="s">
        <v>672</v>
      </c>
      <c r="C23" s="53" t="s">
        <v>1</v>
      </c>
      <c r="D23" s="814" t="s">
        <v>673</v>
      </c>
      <c r="E23" s="786" t="s">
        <v>674</v>
      </c>
      <c r="F23" s="811">
        <f>'数据-取费表'!B38</f>
        <v>0.02</v>
      </c>
      <c r="G23" s="1596"/>
      <c r="H23" s="1837"/>
      <c r="I23" s="1828"/>
      <c r="J23" s="69"/>
      <c r="K23" s="818"/>
      <c r="L23" s="786" t="s">
        <v>675</v>
      </c>
      <c r="M23" s="787">
        <f ca="1">INDIRECT("'数据-取费表'!r"&amp;$G$1)</f>
        <v>0</v>
      </c>
      <c r="N23" s="2067"/>
      <c r="O23" s="2067"/>
      <c r="P23" s="2067"/>
      <c r="Q23" s="2067"/>
      <c r="R23" s="2067"/>
      <c r="S23" s="2067"/>
      <c r="T23" s="2067"/>
      <c r="U23" s="2067"/>
      <c r="V23" s="2067"/>
      <c r="W23" s="2067"/>
      <c r="X23" s="2067"/>
      <c r="Y23" s="2067"/>
    </row>
    <row r="24" spans="1:25" ht="18" customHeight="1">
      <c r="A24" s="805" t="s">
        <v>1878</v>
      </c>
      <c r="B24" s="786" t="s">
        <v>676</v>
      </c>
      <c r="C24" s="53"/>
      <c r="D24" s="2600" t="str">
        <f>IF(F25&lt;=1,"单利计息。","复利计息。")&amp;"建造成本、管理费用、销售费用产生的利息。"</f>
        <v>复利计息。建造成本、管理费用、销售费用产生的利息。</v>
      </c>
      <c r="E24" s="1986"/>
      <c r="F24" s="56"/>
      <c r="G24" s="1595"/>
      <c r="H24" s="1835" t="s">
        <v>2071</v>
      </c>
      <c r="I24" s="786" t="s">
        <v>677</v>
      </c>
      <c r="J24" s="53">
        <f ca="1">ROUND(J16*M24,0)</f>
        <v>0</v>
      </c>
      <c r="K24" s="1981" t="s">
        <v>678</v>
      </c>
      <c r="L24" s="786" t="s">
        <v>650</v>
      </c>
      <c r="M24" s="819">
        <f ca="1">INDIRECT("'数据-取费表'!Ak"&amp;$G$1)</f>
        <v>0</v>
      </c>
    </row>
    <row r="25" spans="1:25" s="2068" customFormat="1" ht="18" customHeight="1">
      <c r="A25" s="805" t="s">
        <v>1874</v>
      </c>
      <c r="B25" s="786" t="s">
        <v>2439</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2</v>
      </c>
      <c r="G25" s="1596"/>
      <c r="H25" s="805" t="s">
        <v>1877</v>
      </c>
      <c r="I25" s="786" t="s">
        <v>680</v>
      </c>
      <c r="J25" s="53">
        <f ca="1">ROUND(J15*M25,0)</f>
        <v>0</v>
      </c>
      <c r="K25" s="1981" t="s">
        <v>681</v>
      </c>
      <c r="L25" s="786" t="s">
        <v>650</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1848</v>
      </c>
      <c r="B26" s="786" t="s">
        <v>682</v>
      </c>
      <c r="C26" s="53">
        <f ca="1">ROUND(IF('数据-取费表'!B22&lt;=1,F23*F26*F25/2,F23*(POWER((1+F26),F25/2)-1)),4)</f>
        <v>1E-3</v>
      </c>
      <c r="D26" s="2599" t="str">
        <f>IF(F25&lt;=1,"销售费用×利率×(建设周期÷2)","销售费用×((1+利率)^(建设周期÷2)-1)")</f>
        <v>销售费用×((1+利率)^(建设周期÷2)-1)</v>
      </c>
      <c r="E26" s="786" t="s">
        <v>683</v>
      </c>
      <c r="F26" s="821">
        <f ca="1">'数据-取费表'!B40</f>
        <v>4.7500000000000001E-2</v>
      </c>
      <c r="G26" s="1596"/>
      <c r="H26" s="805" t="s">
        <v>1878</v>
      </c>
      <c r="I26" s="786" t="s">
        <v>667</v>
      </c>
      <c r="J26" s="53">
        <f ca="1">ROUND(J7*M26,0)</f>
        <v>0</v>
      </c>
      <c r="K26" s="1981" t="s">
        <v>684</v>
      </c>
      <c r="L26" s="786" t="s">
        <v>650</v>
      </c>
      <c r="M26" s="796">
        <f ca="1">INDIRECT("'数据-取费表'!Am"&amp;$G$1)</f>
        <v>0</v>
      </c>
      <c r="N26" s="2067"/>
      <c r="O26" s="2067"/>
      <c r="P26" s="2067"/>
      <c r="Q26" s="2067"/>
      <c r="R26" s="2067"/>
      <c r="S26" s="2067"/>
      <c r="T26" s="2067"/>
      <c r="U26" s="2067"/>
      <c r="V26" s="2067"/>
      <c r="W26" s="2067"/>
      <c r="X26" s="2067"/>
      <c r="Y26" s="2067"/>
    </row>
    <row r="27" spans="1:25" ht="18" customHeight="1">
      <c r="A27" s="805" t="s">
        <v>1880</v>
      </c>
      <c r="B27" s="786" t="s">
        <v>685</v>
      </c>
      <c r="C27" s="53"/>
      <c r="D27" s="260" t="s">
        <v>686</v>
      </c>
      <c r="E27" s="1986"/>
      <c r="F27" s="56"/>
      <c r="G27" s="1595"/>
      <c r="H27" s="799" t="s">
        <v>1827</v>
      </c>
      <c r="I27" s="3041" t="s">
        <v>2828</v>
      </c>
      <c r="J27" s="801">
        <f ca="1">J7-J18</f>
        <v>0</v>
      </c>
      <c r="K27" s="1983" t="s">
        <v>701</v>
      </c>
      <c r="L27" s="1985"/>
      <c r="M27" s="822"/>
    </row>
    <row r="28" spans="1:25" ht="18" customHeight="1">
      <c r="A28" s="805" t="s">
        <v>1874</v>
      </c>
      <c r="B28" s="786" t="s">
        <v>2440</v>
      </c>
      <c r="C28" s="53">
        <f ca="1">ROUND((C21+C22)*F28,0)</f>
        <v>0</v>
      </c>
      <c r="D28" s="814" t="s">
        <v>702</v>
      </c>
      <c r="E28" s="797" t="s">
        <v>703</v>
      </c>
      <c r="F28" s="796">
        <f ca="1">INDIRECT("'数据-取费表'!q"&amp;$G$1)</f>
        <v>0</v>
      </c>
      <c r="G28" s="1595"/>
      <c r="H28" s="783" t="s">
        <v>1836</v>
      </c>
      <c r="I28" s="784" t="s">
        <v>704</v>
      </c>
      <c r="J28" s="785">
        <f ca="1">IF(J7&lt;&gt;0,ROUND(J27*(1-((1+M30)/(1+M28))^M29)/(M28-M30),0),0)</f>
        <v>0</v>
      </c>
      <c r="K28" s="816" t="s">
        <v>705</v>
      </c>
      <c r="L28" s="786" t="s">
        <v>706</v>
      </c>
      <c r="M28" s="796">
        <f ca="1">INDIRECT("'数据-取费表'!I"&amp;$G$1)</f>
        <v>0</v>
      </c>
    </row>
    <row r="29" spans="1:25" ht="18" customHeight="1">
      <c r="A29" s="805" t="s">
        <v>1848</v>
      </c>
      <c r="B29" s="786" t="s">
        <v>687</v>
      </c>
      <c r="C29" s="53">
        <f ca="1">ROUND(F23*F28,4)</f>
        <v>0</v>
      </c>
      <c r="D29" s="814" t="s">
        <v>707</v>
      </c>
      <c r="E29" s="808"/>
      <c r="F29" s="809"/>
      <c r="G29" s="1595"/>
      <c r="H29" s="788"/>
      <c r="I29" s="789"/>
      <c r="J29" s="790"/>
      <c r="K29" s="823" t="s">
        <v>708</v>
      </c>
      <c r="L29" s="786" t="s">
        <v>709</v>
      </c>
      <c r="M29" s="824">
        <f ca="1">INDIRECT("'数据-取费表'!ag"&amp;$G$1)</f>
        <v>0</v>
      </c>
    </row>
    <row r="30" spans="1:25" s="2068" customFormat="1" ht="18" customHeight="1">
      <c r="A30" s="805" t="s">
        <v>1881</v>
      </c>
      <c r="B30" s="786" t="s">
        <v>688</v>
      </c>
      <c r="C30" s="53">
        <f>ROUND(F30/(1+'数据-取费表'!C42),4)</f>
        <v>5.2400000000000002E-2</v>
      </c>
      <c r="D30" s="814" t="s">
        <v>710</v>
      </c>
      <c r="E30" s="786" t="s">
        <v>650</v>
      </c>
      <c r="F30" s="811">
        <f>'数据-取费表'!B41</f>
        <v>5.5000000000000007E-2</v>
      </c>
      <c r="G30" s="1596"/>
      <c r="H30" s="792"/>
      <c r="I30" s="793"/>
      <c r="J30" s="794"/>
      <c r="K30" s="818"/>
      <c r="L30" s="786" t="s">
        <v>711</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1882</v>
      </c>
      <c r="B31" s="2569" t="s">
        <v>2829</v>
      </c>
      <c r="C31" s="2572">
        <f ca="1">ROUND((C21+C22+C25+C28)/(1-F23-C26-C29-C30),0)</f>
        <v>0</v>
      </c>
      <c r="D31" s="2573"/>
      <c r="E31" s="2574"/>
      <c r="F31" s="2575"/>
      <c r="G31" s="1596"/>
      <c r="H31" s="825" t="s">
        <v>1871</v>
      </c>
      <c r="I31" s="3042" t="s">
        <v>2830</v>
      </c>
      <c r="J31" s="827">
        <f ca="1">ROUND(J28/(1+F45)^F46,0)</f>
        <v>0</v>
      </c>
      <c r="K31" s="828" t="s">
        <v>689</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4">
        <f ca="1">ROUND(C33+C38+C39+C40,0)</f>
        <v>0</v>
      </c>
      <c r="D32" s="1825" t="s">
        <v>653</v>
      </c>
      <c r="E32" s="2515"/>
      <c r="F32" s="2519"/>
      <c r="G32" s="2066"/>
      <c r="H32" s="2069"/>
      <c r="I32" s="2070"/>
      <c r="J32" s="2071"/>
      <c r="K32" s="2072"/>
      <c r="L32" s="2073"/>
      <c r="M32" s="2074"/>
    </row>
    <row r="33" spans="1:18" ht="18" customHeight="1">
      <c r="A33" s="805" t="s">
        <v>1875</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1874</v>
      </c>
      <c r="B34" s="786" t="s">
        <v>661</v>
      </c>
      <c r="C34" s="53">
        <f ca="1">ROUND(C7*F34/1.05,1)</f>
        <v>0</v>
      </c>
      <c r="D34" s="1981" t="s">
        <v>662</v>
      </c>
      <c r="E34" s="786" t="s">
        <v>650</v>
      </c>
      <c r="F34" s="811">
        <f>'数据-取费表'!B41</f>
        <v>5.5000000000000007E-2</v>
      </c>
      <c r="G34" s="2066"/>
      <c r="H34" s="2075"/>
      <c r="I34" s="2076"/>
      <c r="J34" s="2077"/>
      <c r="K34" s="2078"/>
      <c r="L34" s="2079"/>
      <c r="M34" s="2080"/>
    </row>
    <row r="35" spans="1:18" ht="18" customHeight="1">
      <c r="A35" s="805" t="s">
        <v>1848</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6"/>
      <c r="H35" s="2081"/>
      <c r="I35" s="2081"/>
      <c r="J35" s="2081"/>
      <c r="K35" s="2082"/>
      <c r="L35" s="2081"/>
      <c r="M35" s="2081"/>
    </row>
    <row r="36" spans="1:18" ht="18" customHeight="1">
      <c r="A36" s="815" t="s">
        <v>1879</v>
      </c>
      <c r="B36" s="343" t="s">
        <v>669</v>
      </c>
      <c r="C36" s="54">
        <f ca="1">ROUND(F36*F37/10000,1)</f>
        <v>0</v>
      </c>
      <c r="D36" s="816" t="s">
        <v>670</v>
      </c>
      <c r="E36" s="786" t="s">
        <v>671</v>
      </c>
      <c r="F36" s="642">
        <f>'数据-取费表'!B52</f>
        <v>1.5</v>
      </c>
      <c r="G36" s="2066"/>
      <c r="H36" s="2069"/>
      <c r="I36" s="3436"/>
      <c r="J36" s="2083"/>
      <c r="K36" s="2084"/>
      <c r="L36" s="2083"/>
      <c r="M36" s="2083"/>
    </row>
    <row r="37" spans="1:18" ht="18" customHeight="1">
      <c r="A37" s="817"/>
      <c r="B37" s="795"/>
      <c r="C37" s="69"/>
      <c r="D37" s="818"/>
      <c r="E37" s="786" t="s">
        <v>675</v>
      </c>
      <c r="F37" s="787">
        <f ca="1">INDIRECT("'数据-取费表'!r"&amp;$G$1)</f>
        <v>0</v>
      </c>
      <c r="G37" s="2066"/>
      <c r="H37" s="2069"/>
      <c r="I37" s="3436"/>
      <c r="J37" s="2081"/>
      <c r="K37" s="2082"/>
      <c r="L37" s="2081"/>
      <c r="M37" s="2081"/>
    </row>
    <row r="38" spans="1:18" ht="18" customHeight="1">
      <c r="A38" s="805" t="s">
        <v>1876</v>
      </c>
      <c r="B38" s="786" t="s">
        <v>677</v>
      </c>
      <c r="C38" s="53">
        <f ca="1">ROUND(C31*F38,1)</f>
        <v>0</v>
      </c>
      <c r="D38" s="1981" t="s">
        <v>692</v>
      </c>
      <c r="E38" s="786" t="s">
        <v>650</v>
      </c>
      <c r="F38" s="819">
        <f ca="1">INDIRECT("'数据-取费表'!Ak"&amp;$G$1)</f>
        <v>0</v>
      </c>
      <c r="G38" s="2066"/>
      <c r="H38" s="2081"/>
      <c r="I38" s="2085"/>
      <c r="J38" s="1992"/>
      <c r="K38" s="2086"/>
      <c r="L38" s="2081"/>
      <c r="M38" s="2081"/>
    </row>
    <row r="39" spans="1:18" ht="18" customHeight="1">
      <c r="A39" s="805" t="s">
        <v>1877</v>
      </c>
      <c r="B39" s="786" t="s">
        <v>680</v>
      </c>
      <c r="C39" s="53">
        <f ca="1">ROUND(C15*F39,1)</f>
        <v>0</v>
      </c>
      <c r="D39" s="1981" t="s">
        <v>681</v>
      </c>
      <c r="E39" s="786" t="s">
        <v>650</v>
      </c>
      <c r="F39" s="820">
        <f ca="1">INDIRECT("'数据-取费表'!Al"&amp;$G$1)</f>
        <v>0</v>
      </c>
      <c r="G39" s="2066"/>
      <c r="H39" s="2081"/>
      <c r="I39" s="2085"/>
      <c r="J39" s="1992"/>
      <c r="K39" s="2086"/>
      <c r="L39" s="2081"/>
      <c r="M39" s="2081"/>
    </row>
    <row r="40" spans="1:18" ht="18" customHeight="1" thickBot="1">
      <c r="A40" s="2588" t="s">
        <v>1878</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5"/>
      <c r="D41" s="1356"/>
      <c r="E41" s="1356"/>
      <c r="F41" s="1357"/>
      <c r="G41" s="2066"/>
      <c r="H41" s="2066"/>
      <c r="I41" s="2066"/>
      <c r="J41" s="2066"/>
      <c r="K41" s="2087"/>
      <c r="L41" s="2066"/>
      <c r="M41" s="2066"/>
    </row>
    <row r="42" spans="1:18" ht="18" customHeight="1">
      <c r="A42" s="805" t="s">
        <v>1875</v>
      </c>
      <c r="B42" s="837" t="s">
        <v>694</v>
      </c>
      <c r="C42" s="831">
        <f ca="1">C7-C32</f>
        <v>0</v>
      </c>
      <c r="D42" s="1983" t="s">
        <v>695</v>
      </c>
      <c r="E42" s="1985"/>
      <c r="F42" s="822"/>
      <c r="G42" s="2066"/>
      <c r="H42" s="2066"/>
      <c r="I42" s="2066"/>
      <c r="J42" s="2066"/>
      <c r="K42" s="2087"/>
      <c r="L42" s="2066"/>
      <c r="M42" s="2066"/>
    </row>
    <row r="43" spans="1:18" ht="18" customHeight="1">
      <c r="A43" s="805" t="s">
        <v>1876</v>
      </c>
      <c r="B43" s="837" t="s">
        <v>712</v>
      </c>
      <c r="C43" s="838">
        <f ca="1">ROUND(C15*F43,0)</f>
        <v>0</v>
      </c>
      <c r="D43" s="1358" t="s">
        <v>713</v>
      </c>
      <c r="E43" s="3157" t="s">
        <v>2968</v>
      </c>
      <c r="F43" s="3158">
        <f ca="1">INDIRECT("'数据-取费表'!j"&amp;$G$1)</f>
        <v>0</v>
      </c>
      <c r="G43" s="2066"/>
      <c r="H43" s="2066"/>
      <c r="I43" s="2066"/>
      <c r="J43" s="2066"/>
      <c r="K43" s="2087"/>
      <c r="L43" s="2066"/>
      <c r="M43" s="2066"/>
    </row>
    <row r="44" spans="1:18" ht="18" customHeight="1">
      <c r="A44" s="805" t="s">
        <v>1877</v>
      </c>
      <c r="B44" s="837" t="s">
        <v>714</v>
      </c>
      <c r="C44" s="1359">
        <f ca="1">C42-C43</f>
        <v>0</v>
      </c>
      <c r="D44" s="465" t="s">
        <v>715</v>
      </c>
      <c r="E44" s="466"/>
      <c r="F44" s="467"/>
      <c r="G44" s="2066"/>
      <c r="H44" s="2066"/>
      <c r="I44" s="2066"/>
      <c r="J44" s="2066"/>
      <c r="K44" s="2087"/>
      <c r="L44" s="2066"/>
      <c r="M44" s="2066"/>
    </row>
    <row r="45" spans="1:18" ht="18" customHeight="1">
      <c r="A45" s="805" t="s">
        <v>1878</v>
      </c>
      <c r="B45" s="1358" t="s">
        <v>716</v>
      </c>
      <c r="C45" s="3067">
        <f ca="1">ROUND(-PV(F45,F46,C44,0),0)</f>
        <v>0</v>
      </c>
      <c r="D45" s="1360" t="s">
        <v>717</v>
      </c>
      <c r="E45" s="808" t="s">
        <v>718</v>
      </c>
      <c r="F45" s="832">
        <f ca="1">INDIRECT("'数据-取费表'!h"&amp;$G$1)</f>
        <v>0</v>
      </c>
      <c r="G45" s="2066"/>
      <c r="H45" s="2066"/>
      <c r="I45" s="2066"/>
      <c r="J45" s="2066"/>
      <c r="K45" s="2087"/>
      <c r="L45" s="2066"/>
      <c r="M45" s="2066"/>
    </row>
    <row r="46" spans="1:18" ht="18" customHeight="1" thickBot="1">
      <c r="A46" s="833"/>
      <c r="B46" s="1361"/>
      <c r="C46" s="1362"/>
      <c r="D46" s="1363"/>
      <c r="E46" s="3159" t="s">
        <v>2971</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2344</v>
      </c>
      <c r="J47" s="2383"/>
      <c r="K47" s="2384"/>
      <c r="L47" s="2385" t="str">
        <f ca="1">IF(M48="住宅",0,IF(L49&gt;J52,L61,J61))</f>
        <v>0</v>
      </c>
      <c r="O47" s="2422" t="s">
        <v>2412</v>
      </c>
      <c r="P47" s="1595"/>
      <c r="Q47" s="1607"/>
      <c r="R47" s="1595"/>
    </row>
    <row r="48" spans="1:18" s="2063" customFormat="1" ht="18" customHeight="1" thickBot="1">
      <c r="A48" s="2088"/>
      <c r="C48" s="2091"/>
      <c r="D48" s="2092"/>
      <c r="E48" s="2092"/>
      <c r="F48" s="2093"/>
      <c r="G48" s="2094"/>
      <c r="I48" s="2386" t="s">
        <v>2345</v>
      </c>
      <c r="J48" s="2391"/>
      <c r="K48" s="2392" t="s">
        <v>2351</v>
      </c>
      <c r="L48" s="2393">
        <f ca="1">INDIRECT("'数据-取费表'!d"&amp;$G$1)</f>
        <v>0</v>
      </c>
      <c r="M48" s="3154" t="str">
        <f>IF(ISNUMBER(FIND("住宅",C1)),"住宅","非住宅")</f>
        <v>非住宅</v>
      </c>
      <c r="O48" s="2423" t="s">
        <v>2377</v>
      </c>
      <c r="P48" s="2424" t="s">
        <v>2378</v>
      </c>
      <c r="Q48" s="2425" t="s">
        <v>2379</v>
      </c>
      <c r="R48" s="2424" t="s">
        <v>2380</v>
      </c>
    </row>
    <row r="49" spans="1:18" s="2063" customFormat="1" ht="18" customHeight="1" thickBot="1">
      <c r="A49" s="2088"/>
      <c r="D49" s="2095"/>
      <c r="E49" s="2096"/>
      <c r="F49" s="2093"/>
      <c r="G49" s="2094"/>
      <c r="H49" s="2097"/>
      <c r="I49" s="2387" t="s">
        <v>2346</v>
      </c>
      <c r="J49" s="2394"/>
      <c r="K49" s="2395" t="s">
        <v>2353</v>
      </c>
      <c r="L49" s="2396">
        <f ca="1">INDIRECT("'数据-取费表'!f"&amp;$G$1)</f>
        <v>0</v>
      </c>
      <c r="O49" s="2426" t="s">
        <v>2381</v>
      </c>
      <c r="P49" s="2427" t="s">
        <v>2407</v>
      </c>
      <c r="Q49" s="2428">
        <f ca="1">C41+J31</f>
        <v>0</v>
      </c>
      <c r="R49" s="2427" t="s">
        <v>2382</v>
      </c>
    </row>
    <row r="50" spans="1:18" s="2063" customFormat="1" ht="18" customHeight="1" thickBot="1">
      <c r="A50" s="2088"/>
      <c r="D50" s="2098"/>
      <c r="E50" s="2098"/>
      <c r="F50" s="2092"/>
      <c r="G50" s="2099"/>
      <c r="H50" s="2097"/>
      <c r="I50" s="2387" t="s">
        <v>2347</v>
      </c>
      <c r="J50" s="2397"/>
      <c r="K50" s="2398" t="s">
        <v>2354</v>
      </c>
      <c r="L50" s="2399"/>
      <c r="O50" s="2426" t="s">
        <v>2383</v>
      </c>
      <c r="P50" s="2427" t="s">
        <v>2408</v>
      </c>
      <c r="Q50" s="2428" t="str">
        <f ca="1">J61</f>
        <v>0</v>
      </c>
      <c r="R50" s="2427" t="s">
        <v>2384</v>
      </c>
    </row>
    <row r="51" spans="1:18" s="2063" customFormat="1" ht="18" customHeight="1" thickBot="1">
      <c r="A51" s="2100"/>
      <c r="D51" s="2098"/>
      <c r="E51" s="2098"/>
      <c r="F51" s="2089"/>
      <c r="H51" s="2097"/>
      <c r="I51" s="2387" t="s">
        <v>2348</v>
      </c>
      <c r="J51" s="2400">
        <f>SUMPRODUCT((I64:I66=J48)*(J63:L63=J49)*(J64:L66))</f>
        <v>0</v>
      </c>
      <c r="K51" s="2398" t="s">
        <v>2355</v>
      </c>
      <c r="L51" s="2399"/>
      <c r="O51" s="2429" t="s">
        <v>2385</v>
      </c>
      <c r="P51" s="2427" t="s">
        <v>2409</v>
      </c>
      <c r="Q51" s="2428">
        <f ca="1">C31</f>
        <v>0</v>
      </c>
      <c r="R51" s="2427" t="s">
        <v>2382</v>
      </c>
    </row>
    <row r="52" spans="1:18" s="2063" customFormat="1" ht="18" customHeight="1" thickBot="1">
      <c r="A52" s="2100"/>
      <c r="F52" s="2089"/>
      <c r="I52" s="2388" t="s">
        <v>2349</v>
      </c>
      <c r="J52" s="2401">
        <f>IF(J50="",J51,J50+J51-YEAR('数据-取费表'!B3))</f>
        <v>0</v>
      </c>
      <c r="K52" s="2387" t="s">
        <v>2356</v>
      </c>
      <c r="L52" s="2402">
        <f ca="1">ROUND(-PV(INDIRECT("'数据-取费表'!h"&amp;$G$1),L49,(C40-C14*J36),0),0)</f>
        <v>0</v>
      </c>
      <c r="O52" s="2429" t="s">
        <v>2386</v>
      </c>
      <c r="P52" s="2427" t="s">
        <v>2387</v>
      </c>
      <c r="Q52" s="2430" t="e">
        <f ca="1">J59</f>
        <v>#VALUE!</v>
      </c>
      <c r="R52" s="2431"/>
    </row>
    <row r="53" spans="1:18" s="2063" customFormat="1" ht="18" customHeight="1" thickBot="1">
      <c r="A53" s="2100"/>
      <c r="F53" s="2089"/>
      <c r="I53" s="2389" t="s">
        <v>2423</v>
      </c>
      <c r="J53" s="2403"/>
      <c r="K53" s="2389" t="s">
        <v>2422</v>
      </c>
      <c r="L53" s="2403"/>
      <c r="O53" s="2429" t="s">
        <v>2388</v>
      </c>
      <c r="P53" s="2427" t="s">
        <v>2389</v>
      </c>
      <c r="Q53" s="2430">
        <f>J53</f>
        <v>0</v>
      </c>
      <c r="R53" s="2431"/>
    </row>
    <row r="54" spans="1:18" s="2063" customFormat="1" ht="43.5" thickBot="1">
      <c r="A54" s="2100"/>
      <c r="I54" s="2390" t="s">
        <v>2350</v>
      </c>
      <c r="J54" s="2404">
        <f ca="1">IF(M48="住宅",J52,IF(J52&gt;L49,L49-'数据-取费表'!B25,J52))</f>
        <v>0</v>
      </c>
      <c r="K54" s="3441"/>
      <c r="L54" s="3442"/>
      <c r="O54" s="2429" t="s">
        <v>2390</v>
      </c>
      <c r="P54" s="2427" t="s">
        <v>2391</v>
      </c>
      <c r="Q54" s="2428">
        <f ca="1">J54</f>
        <v>0</v>
      </c>
      <c r="R54" s="2427" t="s">
        <v>2392</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2393</v>
      </c>
      <c r="P55" s="2427" t="s">
        <v>2410</v>
      </c>
      <c r="Q55" s="2428">
        <f ca="1">Q49+Q50</f>
        <v>0</v>
      </c>
      <c r="R55" s="2431" t="s">
        <v>2394</v>
      </c>
    </row>
    <row r="56" spans="1:18" s="2063" customFormat="1" ht="16.5" thickBot="1">
      <c r="A56" s="2100"/>
      <c r="B56" s="2101"/>
      <c r="C56" s="2101"/>
      <c r="I56" s="3131" t="s">
        <v>2357</v>
      </c>
      <c r="J56" s="3155" t="e">
        <f ca="1">ROUND(IF(J48="钢混",J58/J51,1-(1-2%)*(J51-J58)/J51),3)</f>
        <v>#VALUE!</v>
      </c>
      <c r="K56" s="2405" t="s">
        <v>2358</v>
      </c>
      <c r="L56" s="2406"/>
      <c r="O56" s="2432" t="s">
        <v>2413</v>
      </c>
      <c r="P56" s="1595"/>
      <c r="Q56" s="1607"/>
      <c r="R56" s="1595"/>
    </row>
    <row r="57" spans="1:18" s="2063" customFormat="1" ht="43.5" thickBot="1">
      <c r="A57" s="2100"/>
      <c r="B57" s="2101"/>
      <c r="C57" s="2101"/>
      <c r="I57" s="2407" t="s">
        <v>2359</v>
      </c>
      <c r="J57" s="3154" t="s">
        <v>1680</v>
      </c>
      <c r="K57" s="2387" t="s">
        <v>2364</v>
      </c>
      <c r="L57" s="2396">
        <f ca="1">IF(L49&lt;J52,"——",L49-J52)</f>
        <v>0</v>
      </c>
      <c r="O57" s="2423" t="s">
        <v>2377</v>
      </c>
      <c r="P57" s="2424" t="s">
        <v>2378</v>
      </c>
      <c r="Q57" s="2425" t="s">
        <v>2379</v>
      </c>
      <c r="R57" s="2424" t="s">
        <v>2380</v>
      </c>
    </row>
    <row r="58" spans="1:18" s="2063" customFormat="1" ht="29.25" thickBot="1">
      <c r="A58" s="2100"/>
      <c r="B58" s="2101"/>
      <c r="C58" s="2101"/>
      <c r="I58" s="2408" t="s">
        <v>2360</v>
      </c>
      <c r="J58" s="2410" t="str">
        <f ca="1">IF(OR(M48="住宅",J52&lt;L49,J57="是"),"——",J52-L49)</f>
        <v>——</v>
      </c>
      <c r="K58" s="2387" t="s">
        <v>2365</v>
      </c>
      <c r="L58" s="2396">
        <f ca="1">IF(L49&lt;J52,"——",IF(L56="比较法",L50,IF(L56="基准地价",L51,L52)))</f>
        <v>0</v>
      </c>
      <c r="O58" s="2426" t="s">
        <v>2381</v>
      </c>
      <c r="P58" s="2427" t="s">
        <v>2407</v>
      </c>
      <c r="Q58" s="2428">
        <f ca="1">C41+J31</f>
        <v>0</v>
      </c>
      <c r="R58" s="2427" t="s">
        <v>2382</v>
      </c>
    </row>
    <row r="59" spans="1:18" s="2063" customFormat="1" ht="29.25" thickBot="1">
      <c r="A59" s="2100"/>
      <c r="B59" s="2101"/>
      <c r="C59" s="2101"/>
      <c r="I59" s="2408" t="s">
        <v>2361</v>
      </c>
      <c r="J59" s="3156" t="e">
        <f ca="1">IF(J56&lt;0.4,0.4,J56)</f>
        <v>#VALUE!</v>
      </c>
      <c r="K59" s="2387" t="s">
        <v>2366</v>
      </c>
      <c r="L59" s="2396">
        <f ca="1">IF(ISERROR(POWER(1+L53,L48-L49)*(POWER(1+L53,L49)-1)/(POWER(1+L53,L48)-1)),0,POWER(1+L53,L48-L49)*(POWER(1+L53,L49)-1)/(POWER(1+L53,L48)-1))</f>
        <v>0</v>
      </c>
      <c r="O59" s="2426" t="s">
        <v>2383</v>
      </c>
      <c r="P59" s="2427" t="s">
        <v>2414</v>
      </c>
      <c r="Q59" s="2428" t="e">
        <f ca="1">L61</f>
        <v>#DIV/0!</v>
      </c>
      <c r="R59" s="2431" t="s">
        <v>2416</v>
      </c>
    </row>
    <row r="60" spans="1:18" s="2063" customFormat="1" ht="29.25" thickBot="1">
      <c r="A60" s="2100"/>
      <c r="B60" s="2101"/>
      <c r="C60" s="2101"/>
      <c r="I60" s="2408" t="s">
        <v>2362</v>
      </c>
      <c r="J60" s="2410" t="str">
        <f ca="1">IF(OR(M48="住宅",J52&lt;L49,J57="是"),"——",ROUND(C30*J59,0))</f>
        <v>——</v>
      </c>
      <c r="K60" s="2387" t="s">
        <v>2367</v>
      </c>
      <c r="L60" s="2396">
        <f ca="1">IF(ISERROR(POWER(1+L53,L48-J52)*(POWER(1+L53,J52)-1)/(POWER(1+L53,L48)-1)),0,POWER(1+L53,L48-J52)*(POWER(1+L53,J52)-1)/(POWER(1+L53,L48)-1))</f>
        <v>0</v>
      </c>
      <c r="O60" s="2429" t="s">
        <v>2385</v>
      </c>
      <c r="P60" s="2427" t="s">
        <v>2415</v>
      </c>
      <c r="Q60" s="2428">
        <f>IF(L56="比较法",L50,IF(L56="基准地价",L51,0))</f>
        <v>0</v>
      </c>
      <c r="R60" s="2427" t="s">
        <v>2382</v>
      </c>
    </row>
    <row r="61" spans="1:18" s="2063" customFormat="1" ht="15.75" thickBot="1">
      <c r="A61" s="2100"/>
      <c r="B61" s="2101"/>
      <c r="C61" s="2101"/>
      <c r="I61" s="2409" t="s">
        <v>2363</v>
      </c>
      <c r="J61" s="2411" t="str">
        <f ca="1">IF(OR(M48="住宅",J52&lt;L49,J57="是"),"0",ROUND(J60/(1+J53)^J54,0))</f>
        <v>0</v>
      </c>
      <c r="K61" s="2412" t="s">
        <v>2368</v>
      </c>
      <c r="L61" s="2411" t="e">
        <f ca="1">IF(OR(M48="住宅",L49&lt;J52),0,ROUND(L58*(L59/L60-1),0))</f>
        <v>#DIV/0!</v>
      </c>
      <c r="O61" s="2429" t="s">
        <v>2386</v>
      </c>
      <c r="P61" s="2427" t="s">
        <v>2395</v>
      </c>
      <c r="Q61" s="2430">
        <f>L53</f>
        <v>0</v>
      </c>
      <c r="R61" s="2431"/>
    </row>
    <row r="62" spans="1:18" s="2063" customFormat="1" ht="20.25" thickBot="1">
      <c r="A62" s="2100"/>
      <c r="B62" s="2101"/>
      <c r="C62" s="2101"/>
      <c r="K62" s="2090"/>
      <c r="O62" s="2429" t="s">
        <v>2388</v>
      </c>
      <c r="P62" s="2427" t="s">
        <v>2396</v>
      </c>
      <c r="Q62" s="2428">
        <f ca="1">L59</f>
        <v>0</v>
      </c>
      <c r="R62" s="2431" t="s">
        <v>2397</v>
      </c>
    </row>
    <row r="63" spans="1:18" s="2063" customFormat="1" ht="20.25" thickBot="1">
      <c r="A63" s="2100"/>
      <c r="B63" s="2101"/>
      <c r="C63" s="2101"/>
      <c r="I63" s="2413" t="s">
        <v>2369</v>
      </c>
      <c r="J63" s="2414" t="s">
        <v>2370</v>
      </c>
      <c r="K63" s="2414" t="s">
        <v>2371</v>
      </c>
      <c r="L63" s="2414" t="s">
        <v>2352</v>
      </c>
      <c r="M63" s="3133" t="s">
        <v>2947</v>
      </c>
      <c r="O63" s="2429" t="s">
        <v>2390</v>
      </c>
      <c r="P63" s="2427" t="s">
        <v>2398</v>
      </c>
      <c r="Q63" s="2428">
        <f ca="1">L60</f>
        <v>0</v>
      </c>
      <c r="R63" s="2431" t="s">
        <v>2399</v>
      </c>
    </row>
    <row r="64" spans="1:18" s="2063" customFormat="1" ht="15.75" thickBot="1">
      <c r="A64" s="2100"/>
      <c r="B64" s="2101"/>
      <c r="C64" s="2101"/>
      <c r="I64" s="2413" t="s">
        <v>2372</v>
      </c>
      <c r="J64" s="2414">
        <v>70</v>
      </c>
      <c r="K64" s="2414">
        <v>50</v>
      </c>
      <c r="L64" s="2414">
        <v>80</v>
      </c>
      <c r="M64" s="3134">
        <v>0.02</v>
      </c>
      <c r="O64" s="2426" t="s">
        <v>2393</v>
      </c>
      <c r="P64" s="2427" t="s">
        <v>2410</v>
      </c>
      <c r="Q64" s="2428" t="e">
        <f ca="1">Q58+Q59</f>
        <v>#DIV/0!</v>
      </c>
      <c r="R64" s="2431" t="s">
        <v>2394</v>
      </c>
    </row>
    <row r="65" spans="1:18" s="2063" customFormat="1" ht="16.5" thickBot="1">
      <c r="A65" s="2100"/>
      <c r="B65" s="2101"/>
      <c r="C65" s="2101"/>
      <c r="I65" s="2413" t="s">
        <v>2373</v>
      </c>
      <c r="J65" s="2414">
        <v>50</v>
      </c>
      <c r="K65" s="2414">
        <v>35</v>
      </c>
      <c r="L65" s="2414">
        <v>60</v>
      </c>
      <c r="M65" s="3135">
        <v>0</v>
      </c>
      <c r="O65" s="2432" t="s">
        <v>2417</v>
      </c>
      <c r="P65" s="1595"/>
      <c r="Q65" s="1607"/>
      <c r="R65" s="1595"/>
    </row>
    <row r="66" spans="1:18" s="2063" customFormat="1" ht="15.75" thickBot="1">
      <c r="A66" s="2100"/>
      <c r="B66" s="2101"/>
      <c r="C66" s="2101"/>
      <c r="I66" s="2413" t="s">
        <v>2374</v>
      </c>
      <c r="J66" s="2414">
        <v>40</v>
      </c>
      <c r="K66" s="2414">
        <v>30</v>
      </c>
      <c r="L66" s="2414">
        <v>50</v>
      </c>
      <c r="M66" s="3134">
        <v>0.02</v>
      </c>
      <c r="O66" s="2423" t="s">
        <v>2377</v>
      </c>
      <c r="P66" s="2424" t="s">
        <v>2378</v>
      </c>
      <c r="Q66" s="2425" t="s">
        <v>2379</v>
      </c>
      <c r="R66" s="2424" t="s">
        <v>2380</v>
      </c>
    </row>
    <row r="67" spans="1:18" s="2063" customFormat="1" ht="15.75" thickBot="1">
      <c r="A67" s="2100"/>
      <c r="B67" s="2101"/>
      <c r="C67" s="2101"/>
      <c r="K67" s="2090"/>
      <c r="O67" s="2426" t="s">
        <v>2381</v>
      </c>
      <c r="P67" s="2427" t="s">
        <v>2407</v>
      </c>
      <c r="Q67" s="2428">
        <f ca="1">C41+J31</f>
        <v>0</v>
      </c>
      <c r="R67" s="2427" t="s">
        <v>2382</v>
      </c>
    </row>
    <row r="68" spans="1:18" s="2063" customFormat="1" ht="20.25" thickBot="1">
      <c r="A68" s="2100"/>
      <c r="B68" s="2101"/>
      <c r="C68" s="2101"/>
      <c r="K68" s="2090"/>
      <c r="O68" s="2426" t="s">
        <v>2383</v>
      </c>
      <c r="P68" s="2427" t="s">
        <v>2414</v>
      </c>
      <c r="Q68" s="2428" t="e">
        <f ca="1">L61</f>
        <v>#DIV/0!</v>
      </c>
      <c r="R68" s="2431" t="s">
        <v>2416</v>
      </c>
    </row>
    <row r="69" spans="1:18" s="2063" customFormat="1" ht="21.75" thickBot="1">
      <c r="A69" s="2100"/>
      <c r="B69" s="2101"/>
      <c r="C69" s="2101"/>
      <c r="K69" s="2090"/>
      <c r="O69" s="2429" t="s">
        <v>2385</v>
      </c>
      <c r="P69" s="2427" t="s">
        <v>2415</v>
      </c>
      <c r="Q69" s="2433">
        <f ca="1">L52</f>
        <v>0</v>
      </c>
      <c r="R69" s="2434" t="s">
        <v>2418</v>
      </c>
    </row>
    <row r="70" spans="1:18" s="2063" customFormat="1" ht="20.25" thickBot="1">
      <c r="A70" s="2100"/>
      <c r="B70" s="2101"/>
      <c r="C70" s="2101"/>
      <c r="K70" s="2090"/>
      <c r="O70" s="2429" t="s">
        <v>2386</v>
      </c>
      <c r="P70" s="2435" t="s">
        <v>2400</v>
      </c>
      <c r="Q70" s="2428">
        <f ca="1">ROUND(Q71-Q72*Q73,0)</f>
        <v>0</v>
      </c>
      <c r="R70" s="2431"/>
    </row>
    <row r="71" spans="1:18" s="2063" customFormat="1" ht="15.75" thickBot="1">
      <c r="A71" s="2100"/>
      <c r="B71" s="2101"/>
      <c r="C71" s="2101"/>
      <c r="K71" s="2090"/>
      <c r="O71" s="2429" t="s">
        <v>2401</v>
      </c>
      <c r="P71" s="2435" t="s">
        <v>2402</v>
      </c>
      <c r="Q71" s="2428">
        <f ca="1">C42</f>
        <v>0</v>
      </c>
      <c r="R71" s="2427" t="s">
        <v>2382</v>
      </c>
    </row>
    <row r="72" spans="1:18" s="2063" customFormat="1" ht="15.75" thickBot="1">
      <c r="A72" s="2100"/>
      <c r="B72" s="2101"/>
      <c r="C72" s="2101"/>
      <c r="K72" s="2090"/>
      <c r="O72" s="2429" t="s">
        <v>2403</v>
      </c>
      <c r="P72" s="2435" t="s">
        <v>2404</v>
      </c>
      <c r="Q72" s="2428">
        <f ca="1">C15</f>
        <v>0</v>
      </c>
      <c r="R72" s="2427" t="s">
        <v>2382</v>
      </c>
    </row>
    <row r="73" spans="1:18" s="2063" customFormat="1" ht="15.75" thickBot="1">
      <c r="A73" s="2100"/>
      <c r="B73" s="2101"/>
      <c r="C73" s="2101"/>
      <c r="K73" s="2090"/>
      <c r="O73" s="2429" t="s">
        <v>2405</v>
      </c>
      <c r="P73" s="2435" t="s">
        <v>2406</v>
      </c>
      <c r="Q73" s="2430">
        <f ca="1">F43</f>
        <v>0</v>
      </c>
      <c r="R73" s="2431"/>
    </row>
    <row r="74" spans="1:18" s="2063" customFormat="1" ht="15.75" thickBot="1">
      <c r="A74" s="2100"/>
      <c r="B74" s="2101"/>
      <c r="C74" s="2101"/>
      <c r="K74" s="2090"/>
      <c r="O74" s="2429" t="s">
        <v>2388</v>
      </c>
      <c r="P74" s="2427" t="s">
        <v>2395</v>
      </c>
      <c r="Q74" s="2430">
        <f>L53</f>
        <v>0</v>
      </c>
      <c r="R74" s="2431"/>
    </row>
    <row r="75" spans="1:18" s="2063" customFormat="1" ht="20.25" thickBot="1">
      <c r="A75" s="2100"/>
      <c r="B75" s="2101"/>
      <c r="C75" s="2101"/>
      <c r="K75" s="2090"/>
      <c r="O75" s="2429" t="s">
        <v>2390</v>
      </c>
      <c r="P75" s="2427" t="s">
        <v>2396</v>
      </c>
      <c r="Q75" s="2428">
        <f ca="1">L59</f>
        <v>0</v>
      </c>
      <c r="R75" s="2431" t="s">
        <v>2397</v>
      </c>
    </row>
    <row r="76" spans="1:18" s="2063" customFormat="1" ht="20.25" thickBot="1">
      <c r="A76" s="2100"/>
      <c r="B76" s="2101"/>
      <c r="C76" s="2101"/>
      <c r="K76" s="2090"/>
      <c r="O76" s="2429" t="s">
        <v>2419</v>
      </c>
      <c r="P76" s="2427" t="s">
        <v>2398</v>
      </c>
      <c r="Q76" s="2428">
        <f ca="1">L60</f>
        <v>0</v>
      </c>
      <c r="R76" s="2431" t="s">
        <v>2399</v>
      </c>
    </row>
    <row r="77" spans="1:18" s="2063" customFormat="1" ht="15.75" thickBot="1">
      <c r="A77" s="2100"/>
      <c r="B77" s="2101"/>
      <c r="C77" s="2101"/>
      <c r="K77" s="2090"/>
      <c r="O77" s="2426" t="s">
        <v>2393</v>
      </c>
      <c r="P77" s="2427" t="s">
        <v>2410</v>
      </c>
      <c r="Q77" s="2428" t="e">
        <f ca="1">Q67+Q68</f>
        <v>#DIV/0!</v>
      </c>
      <c r="R77" s="2431" t="s">
        <v>2394</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5" t="s">
        <v>2580</v>
      </c>
      <c r="C1" s="3445"/>
      <c r="D1" s="3445"/>
      <c r="E1" s="3445"/>
      <c r="F1" s="3445"/>
      <c r="G1" s="3444" t="s">
        <v>2581</v>
      </c>
      <c r="H1" s="3444"/>
      <c r="I1" s="3444"/>
      <c r="J1" s="3444"/>
      <c r="K1" s="3444"/>
      <c r="L1" s="3444"/>
      <c r="N1" s="3444" t="s">
        <v>2582</v>
      </c>
      <c r="O1" s="3444"/>
      <c r="P1" s="3444"/>
      <c r="Q1" s="3444"/>
      <c r="R1" s="2683"/>
      <c r="S1" s="3444" t="s">
        <v>2583</v>
      </c>
      <c r="T1" s="3444"/>
      <c r="U1" s="3444"/>
      <c r="V1" s="3444"/>
      <c r="X1" s="3443" t="s">
        <v>2644</v>
      </c>
      <c r="Y1" s="3444"/>
      <c r="Z1" s="3444"/>
      <c r="AA1" s="3444"/>
      <c r="AB1" s="3444"/>
      <c r="AD1" s="3443" t="s">
        <v>2649</v>
      </c>
      <c r="AE1" s="3444"/>
      <c r="AF1" s="3444"/>
      <c r="AG1" s="3444"/>
      <c r="AH1" s="3444"/>
    </row>
    <row r="2" spans="1:34" s="2785" customFormat="1" ht="14.25" thickBot="1">
      <c r="B2" s="2794" t="s">
        <v>2584</v>
      </c>
      <c r="C2" s="2794" t="s">
        <v>2647</v>
      </c>
      <c r="D2" s="2786" t="s">
        <v>1646</v>
      </c>
      <c r="E2" s="2786" t="s">
        <v>1950</v>
      </c>
      <c r="F2" s="2794" t="s">
        <v>2648</v>
      </c>
      <c r="G2" s="2789"/>
      <c r="H2" s="2788"/>
      <c r="I2" s="2794" t="s">
        <v>2962</v>
      </c>
      <c r="J2" s="2786" t="s">
        <v>2964</v>
      </c>
      <c r="K2" s="2786" t="s">
        <v>2965</v>
      </c>
      <c r="L2" s="2794" t="s">
        <v>2966</v>
      </c>
      <c r="N2" s="2794" t="s">
        <v>2584</v>
      </c>
      <c r="O2" s="2786" t="s">
        <v>2963</v>
      </c>
      <c r="P2" s="2786" t="s">
        <v>1950</v>
      </c>
      <c r="Q2" s="2794" t="s">
        <v>2648</v>
      </c>
      <c r="R2" s="2787"/>
      <c r="S2" s="2794" t="s">
        <v>2584</v>
      </c>
      <c r="T2" s="2786" t="s">
        <v>2963</v>
      </c>
      <c r="U2" s="2786" t="s">
        <v>1950</v>
      </c>
      <c r="V2" s="2794" t="s">
        <v>2648</v>
      </c>
      <c r="X2" s="2794" t="s">
        <v>2584</v>
      </c>
      <c r="Y2" s="2794" t="s">
        <v>2647</v>
      </c>
      <c r="Z2" s="2786" t="s">
        <v>1646</v>
      </c>
      <c r="AA2" s="2786" t="s">
        <v>1950</v>
      </c>
      <c r="AB2" s="2794" t="s">
        <v>2648</v>
      </c>
      <c r="AD2" s="2794" t="s">
        <v>2584</v>
      </c>
      <c r="AE2" s="2794" t="s">
        <v>2647</v>
      </c>
      <c r="AF2" s="2786" t="s">
        <v>1646</v>
      </c>
      <c r="AG2" s="2786" t="s">
        <v>1950</v>
      </c>
      <c r="AH2" s="2794" t="s">
        <v>2648</v>
      </c>
    </row>
    <row r="3" spans="1:34" s="2778" customFormat="1" ht="14.25">
      <c r="B3" s="2779"/>
      <c r="C3" s="2779"/>
      <c r="D3" s="2780"/>
      <c r="E3" s="2780"/>
      <c r="F3" s="2779"/>
      <c r="G3" s="2784"/>
      <c r="H3" s="2781"/>
      <c r="I3" s="3165"/>
      <c r="J3" s="3165"/>
      <c r="K3" s="3165"/>
      <c r="L3" s="3165"/>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2974</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2"/>
      <c r="S4" s="2784"/>
      <c r="T4" s="2782"/>
      <c r="U4" s="2782"/>
      <c r="V4" s="2782"/>
      <c r="X4" s="2783"/>
      <c r="Y4" s="2783"/>
      <c r="Z4" s="2783"/>
      <c r="AA4" s="2783"/>
      <c r="AB4" s="2783"/>
      <c r="AD4" s="2703"/>
      <c r="AE4" s="2703"/>
      <c r="AF4" s="2703"/>
      <c r="AG4" s="2703"/>
      <c r="AH4" s="2703"/>
    </row>
    <row r="5" spans="1:34" s="3148" customFormat="1">
      <c r="A5" s="3146" t="s">
        <v>2973</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52">
        <v>2017</v>
      </c>
      <c r="H5" s="3147">
        <v>4</v>
      </c>
      <c r="I5" s="3166">
        <f>ROUND(AVERAGE(I6:I20),2)</f>
        <v>2.4900000000000002</v>
      </c>
      <c r="J5" s="3166">
        <f>ROUND(AVERAGE(J6:J20),2)</f>
        <v>1.64</v>
      </c>
      <c r="K5" s="3166">
        <f>ROUND(AVERAGE(K6:K20),2)</f>
        <v>2.78</v>
      </c>
      <c r="L5" s="3166">
        <f>ROUND(AVERAGE(L6:L20),2)</f>
        <v>1.39</v>
      </c>
      <c r="N5" s="2791">
        <f t="shared" si="7"/>
        <v>2.4900000000000002E-2</v>
      </c>
      <c r="O5" s="2791">
        <f t="shared" ref="O5" si="15">J5/100</f>
        <v>1.6399999999999998E-2</v>
      </c>
      <c r="P5" s="2791">
        <f t="shared" ref="P5" si="16">K5/100</f>
        <v>2.7799999999999998E-2</v>
      </c>
      <c r="Q5" s="2791">
        <f t="shared" ref="Q5" si="17">L5/100</f>
        <v>1.3899999999999999E-2</v>
      </c>
      <c r="R5" s="3149"/>
      <c r="S5" s="3150"/>
      <c r="T5" s="3149"/>
      <c r="U5" s="3149"/>
      <c r="V5" s="3149"/>
      <c r="W5" s="2792" t="s">
        <v>2645</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4" t="s">
        <v>2585</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7"/>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49"/>
      <c r="S6" s="2687"/>
      <c r="T6" s="3162"/>
      <c r="U6" s="3162"/>
      <c r="V6" s="3162"/>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2586</v>
      </c>
      <c r="B7" s="2698">
        <f t="shared" si="18"/>
        <v>419.31181600000002</v>
      </c>
      <c r="C7" s="2698">
        <f t="shared" si="18"/>
        <v>313.95436800000004</v>
      </c>
      <c r="D7" s="2698">
        <f t="shared" si="3"/>
        <v>313.95436800000004</v>
      </c>
      <c r="E7" s="2698">
        <f t="shared" si="19"/>
        <v>596.63028431999999</v>
      </c>
      <c r="F7" s="2698">
        <f t="shared" si="19"/>
        <v>274.74220703999998</v>
      </c>
      <c r="G7" s="3447"/>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2587</v>
      </c>
      <c r="B8" s="2698">
        <f t="shared" si="18"/>
        <v>405.524</v>
      </c>
      <c r="C8" s="2698">
        <f t="shared" si="18"/>
        <v>307.79840000000002</v>
      </c>
      <c r="D8" s="2698">
        <f t="shared" si="3"/>
        <v>307.79840000000002</v>
      </c>
      <c r="E8" s="2698">
        <f t="shared" si="19"/>
        <v>574.67759999999998</v>
      </c>
      <c r="F8" s="2698">
        <f t="shared" si="19"/>
        <v>270.20280000000002</v>
      </c>
      <c r="G8" s="3448"/>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52">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7"/>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47"/>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48"/>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46">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7"/>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47"/>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48"/>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46">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7"/>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47"/>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48"/>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2646</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2588</v>
      </c>
      <c r="B21" s="2690">
        <v>299</v>
      </c>
      <c r="C21" s="2690">
        <v>252</v>
      </c>
      <c r="D21" s="2690">
        <f t="shared" si="28"/>
        <v>252</v>
      </c>
      <c r="E21" s="2690">
        <v>409</v>
      </c>
      <c r="F21" s="2691">
        <v>227</v>
      </c>
      <c r="G21" s="3449">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2589</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50"/>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2590</v>
      </c>
      <c r="B23" s="2698">
        <f t="shared" si="37"/>
        <v>288.2649053828776</v>
      </c>
      <c r="C23" s="2698">
        <f t="shared" si="37"/>
        <v>243.64564425013293</v>
      </c>
      <c r="D23" s="2698">
        <f t="shared" si="28"/>
        <v>243.64564425013293</v>
      </c>
      <c r="E23" s="2698">
        <f t="shared" si="38"/>
        <v>393.31080825986544</v>
      </c>
      <c r="F23" s="2698">
        <f t="shared" si="38"/>
        <v>223.07903790551154</v>
      </c>
      <c r="G23" s="3450"/>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2591</v>
      </c>
      <c r="B24" s="2698">
        <f t="shared" si="37"/>
        <v>282.50186729015837</v>
      </c>
      <c r="C24" s="2698">
        <f t="shared" si="37"/>
        <v>238.09796174155468</v>
      </c>
      <c r="D24" s="2698">
        <f t="shared" si="28"/>
        <v>238.09796174155468</v>
      </c>
      <c r="E24" s="2698">
        <f t="shared" si="38"/>
        <v>385.33438646014054</v>
      </c>
      <c r="F24" s="2698">
        <f t="shared" si="38"/>
        <v>221.55034055567739</v>
      </c>
      <c r="G24" s="3451"/>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2592</v>
      </c>
      <c r="B25" s="2728">
        <v>278</v>
      </c>
      <c r="C25" s="2728">
        <v>234</v>
      </c>
      <c r="D25" s="2728">
        <f t="shared" si="28"/>
        <v>234</v>
      </c>
      <c r="E25" s="2728">
        <v>379</v>
      </c>
      <c r="F25" s="2729">
        <v>220</v>
      </c>
      <c r="G25" s="3446">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2593</v>
      </c>
      <c r="B26" s="2698">
        <f>B25/(1+N25)</f>
        <v>275.49301357645425</v>
      </c>
      <c r="C26" s="2698">
        <f>C25/(1+O25)</f>
        <v>232.41954707985698</v>
      </c>
      <c r="D26" s="2698">
        <f t="shared" si="28"/>
        <v>232.41954707985698</v>
      </c>
      <c r="E26" s="2698">
        <f t="shared" ref="E26:F28" si="39">E25/(1+P25)</f>
        <v>375.32184591008121</v>
      </c>
      <c r="F26" s="2698">
        <f t="shared" si="39"/>
        <v>218.03766105054513</v>
      </c>
      <c r="G26" s="3447"/>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2594</v>
      </c>
      <c r="B27" s="2698">
        <f>B26/(1+N26)</f>
        <v>275.24529281292263</v>
      </c>
      <c r="C27" s="2698">
        <f>C26/(1+O26)</f>
        <v>231.74747938962707</v>
      </c>
      <c r="D27" s="2698">
        <f t="shared" si="28"/>
        <v>231.74747938962707</v>
      </c>
      <c r="E27" s="2698">
        <f t="shared" si="39"/>
        <v>375.35938184826603</v>
      </c>
      <c r="F27" s="2698">
        <f t="shared" si="39"/>
        <v>216.78033510692495</v>
      </c>
      <c r="G27" s="3447"/>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2595</v>
      </c>
      <c r="B28" s="2698">
        <f>B27/(1+N27)</f>
        <v>275.19025476197027</v>
      </c>
      <c r="C28" s="2730">
        <v>232</v>
      </c>
      <c r="D28" s="2730">
        <f t="shared" si="28"/>
        <v>232</v>
      </c>
      <c r="E28" s="2698">
        <f t="shared" si="39"/>
        <v>375.65990977608692</v>
      </c>
      <c r="F28" s="2698">
        <f t="shared" si="39"/>
        <v>214.12518283971252</v>
      </c>
      <c r="G28" s="3448"/>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2596</v>
      </c>
      <c r="B29" s="2690">
        <v>275</v>
      </c>
      <c r="C29" s="2690">
        <v>232</v>
      </c>
      <c r="D29" s="2690">
        <f t="shared" si="28"/>
        <v>232</v>
      </c>
      <c r="E29" s="2690">
        <v>376</v>
      </c>
      <c r="F29" s="2691">
        <v>213</v>
      </c>
      <c r="G29" s="3446">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2597</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7">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2598</v>
      </c>
      <c r="B31" s="2698">
        <f t="shared" si="40"/>
        <v>275.19335084830601</v>
      </c>
      <c r="C31" s="2698">
        <f t="shared" si="40"/>
        <v>230.18088050139744</v>
      </c>
      <c r="D31" s="2698">
        <f t="shared" si="28"/>
        <v>230.18088050139744</v>
      </c>
      <c r="E31" s="2698">
        <f t="shared" si="41"/>
        <v>377.58482925212331</v>
      </c>
      <c r="F31" s="2698">
        <f t="shared" si="41"/>
        <v>210.90687997847917</v>
      </c>
      <c r="G31" s="3447">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2599</v>
      </c>
      <c r="B32" s="2698">
        <f t="shared" si="40"/>
        <v>276.29854502841971</v>
      </c>
      <c r="C32" s="2698">
        <f t="shared" si="40"/>
        <v>229.79023709833027</v>
      </c>
      <c r="D32" s="2698">
        <f t="shared" si="28"/>
        <v>229.79023709833027</v>
      </c>
      <c r="E32" s="2698">
        <f t="shared" si="41"/>
        <v>379.78759731655936</v>
      </c>
      <c r="F32" s="2698">
        <f t="shared" si="41"/>
        <v>211.32953905659235</v>
      </c>
      <c r="G32" s="3448">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2600</v>
      </c>
      <c r="B33" s="2690">
        <v>269</v>
      </c>
      <c r="C33" s="2690">
        <v>221</v>
      </c>
      <c r="D33" s="2690">
        <f t="shared" si="28"/>
        <v>221</v>
      </c>
      <c r="E33" s="2690">
        <v>373</v>
      </c>
      <c r="F33" s="2691">
        <v>196</v>
      </c>
      <c r="G33" s="3446">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2601</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7">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2602</v>
      </c>
      <c r="B35" s="2698">
        <f t="shared" si="42"/>
        <v>242.95398227588385</v>
      </c>
      <c r="C35" s="2698">
        <f t="shared" si="42"/>
        <v>199.59137053614126</v>
      </c>
      <c r="D35" s="2698">
        <f t="shared" si="28"/>
        <v>199.59137053614126</v>
      </c>
      <c r="E35" s="2698">
        <f t="shared" si="43"/>
        <v>335.92189522342125</v>
      </c>
      <c r="F35" s="2698">
        <f t="shared" si="43"/>
        <v>183.10139991109489</v>
      </c>
      <c r="G35" s="3447">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2603</v>
      </c>
      <c r="B36" s="2698">
        <f t="shared" si="42"/>
        <v>232.06990378821649</v>
      </c>
      <c r="C36" s="2698">
        <f t="shared" si="42"/>
        <v>192.74878854286936</v>
      </c>
      <c r="D36" s="2698">
        <f t="shared" si="28"/>
        <v>192.74878854286936</v>
      </c>
      <c r="E36" s="2698">
        <f t="shared" si="43"/>
        <v>319.71247284992984</v>
      </c>
      <c r="F36" s="2698">
        <f t="shared" si="43"/>
        <v>175.67053622862409</v>
      </c>
      <c r="G36" s="3448">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2604</v>
      </c>
      <c r="B37" s="2690">
        <v>220</v>
      </c>
      <c r="C37" s="2690">
        <v>187</v>
      </c>
      <c r="D37" s="2690">
        <f t="shared" si="28"/>
        <v>187</v>
      </c>
      <c r="E37" s="2690">
        <v>301</v>
      </c>
      <c r="F37" s="2691">
        <v>168</v>
      </c>
      <c r="G37" s="3446">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2605</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7">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2606</v>
      </c>
      <c r="B39" s="2698">
        <f t="shared" si="44"/>
        <v>210.630522469011</v>
      </c>
      <c r="C39" s="2698">
        <f t="shared" si="44"/>
        <v>181.69567812247232</v>
      </c>
      <c r="D39" s="2698">
        <f t="shared" si="28"/>
        <v>181.69567812247232</v>
      </c>
      <c r="E39" s="2698">
        <f t="shared" si="45"/>
        <v>286.13517466736738</v>
      </c>
      <c r="F39" s="2698">
        <f t="shared" si="45"/>
        <v>165.47535084591149</v>
      </c>
      <c r="G39" s="3447">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2607</v>
      </c>
      <c r="B40" s="2698">
        <f t="shared" si="44"/>
        <v>208.83454537875372</v>
      </c>
      <c r="C40" s="2698">
        <f t="shared" si="44"/>
        <v>183.77230517090351</v>
      </c>
      <c r="D40" s="2698">
        <f t="shared" si="28"/>
        <v>183.77230517090351</v>
      </c>
      <c r="E40" s="2698">
        <f t="shared" si="45"/>
        <v>281.10342338870947</v>
      </c>
      <c r="F40" s="2698">
        <f t="shared" si="45"/>
        <v>168.97309388942256</v>
      </c>
      <c r="G40" s="3448">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2608</v>
      </c>
      <c r="B41" s="2728">
        <v>214</v>
      </c>
      <c r="C41" s="2728">
        <v>188</v>
      </c>
      <c r="D41" s="2728">
        <f t="shared" si="28"/>
        <v>188</v>
      </c>
      <c r="E41" s="2728">
        <v>289</v>
      </c>
      <c r="F41" s="2729">
        <v>166</v>
      </c>
      <c r="G41" s="3446">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2609</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7">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2610</v>
      </c>
      <c r="B43" s="2698">
        <f t="shared" si="46"/>
        <v>206.31694671589116</v>
      </c>
      <c r="C43" s="2698">
        <f t="shared" si="46"/>
        <v>183.61041121036101</v>
      </c>
      <c r="D43" s="2698">
        <f t="shared" si="28"/>
        <v>183.61041121036101</v>
      </c>
      <c r="E43" s="2698">
        <f t="shared" si="47"/>
        <v>276.66850301795557</v>
      </c>
      <c r="F43" s="2698">
        <f t="shared" si="47"/>
        <v>165.1360938278614</v>
      </c>
      <c r="G43" s="3447">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2611</v>
      </c>
      <c r="B44" s="2731">
        <f t="shared" si="46"/>
        <v>196.62341248059772</v>
      </c>
      <c r="C44" s="2731">
        <f t="shared" si="46"/>
        <v>170.99125648199012</v>
      </c>
      <c r="D44" s="2731">
        <f t="shared" si="28"/>
        <v>170.99125648199012</v>
      </c>
      <c r="E44" s="2731">
        <f t="shared" si="47"/>
        <v>266.07857570490052</v>
      </c>
      <c r="F44" s="2731">
        <f t="shared" si="47"/>
        <v>154.53499328828505</v>
      </c>
      <c r="G44" s="3448">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2612</v>
      </c>
      <c r="B45" s="2690">
        <v>188</v>
      </c>
      <c r="C45" s="2690">
        <v>165</v>
      </c>
      <c r="D45" s="2690">
        <f t="shared" si="28"/>
        <v>165</v>
      </c>
      <c r="E45" s="2690">
        <v>254</v>
      </c>
      <c r="F45" s="2691">
        <v>148</v>
      </c>
      <c r="G45" s="3446">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2613</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7">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2614</v>
      </c>
      <c r="B47" s="2698">
        <f t="shared" si="50"/>
        <v>168.82017748715555</v>
      </c>
      <c r="C47" s="2698">
        <f t="shared" si="50"/>
        <v>148.06267029972753</v>
      </c>
      <c r="D47" s="2698">
        <f t="shared" si="28"/>
        <v>148.06267029972753</v>
      </c>
      <c r="E47" s="2698">
        <f t="shared" si="51"/>
        <v>216.46288379323747</v>
      </c>
      <c r="F47" s="2698">
        <f t="shared" si="51"/>
        <v>134.23529411764704</v>
      </c>
      <c r="G47" s="3447">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2615</v>
      </c>
      <c r="B48" s="2698">
        <f t="shared" si="50"/>
        <v>163.84913591779542</v>
      </c>
      <c r="C48" s="2698">
        <f t="shared" si="50"/>
        <v>145.0283378746594</v>
      </c>
      <c r="D48" s="2698">
        <f t="shared" si="28"/>
        <v>145.0283378746594</v>
      </c>
      <c r="E48" s="2698">
        <f t="shared" si="51"/>
        <v>204.95180722891567</v>
      </c>
      <c r="F48" s="2698">
        <f t="shared" si="51"/>
        <v>125.95920303605313</v>
      </c>
      <c r="G48" s="3448">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2616</v>
      </c>
      <c r="B49" s="2712">
        <v>159</v>
      </c>
      <c r="C49" s="2712">
        <v>141</v>
      </c>
      <c r="D49" s="2712">
        <f t="shared" si="28"/>
        <v>141</v>
      </c>
      <c r="E49" s="2712">
        <v>195</v>
      </c>
      <c r="F49" s="2713">
        <v>122</v>
      </c>
      <c r="G49" s="3446">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2617</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7">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2618</v>
      </c>
      <c r="B51" s="2698">
        <f t="shared" si="54"/>
        <v>146.57412060301507</v>
      </c>
      <c r="C51" s="2698">
        <f t="shared" si="54"/>
        <v>136.46831955922866</v>
      </c>
      <c r="D51" s="2698">
        <f t="shared" si="28"/>
        <v>136.46831955922866</v>
      </c>
      <c r="E51" s="2698">
        <f t="shared" si="55"/>
        <v>166.73864894795128</v>
      </c>
      <c r="F51" s="2698">
        <f t="shared" si="55"/>
        <v>115.05882352941177</v>
      </c>
      <c r="G51" s="3447">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2619</v>
      </c>
      <c r="B52" s="2698">
        <f t="shared" si="54"/>
        <v>144.04145728643215</v>
      </c>
      <c r="C52" s="2698">
        <f t="shared" si="54"/>
        <v>136.12396694214877</v>
      </c>
      <c r="D52" s="2698">
        <f t="shared" si="28"/>
        <v>136.12396694214877</v>
      </c>
      <c r="E52" s="2698">
        <f t="shared" si="55"/>
        <v>158.32225913621264</v>
      </c>
      <c r="F52" s="2698">
        <f t="shared" si="55"/>
        <v>114.04278074866311</v>
      </c>
      <c r="G52" s="3448">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2620</v>
      </c>
      <c r="B53" s="2712">
        <v>138</v>
      </c>
      <c r="C53" s="2712">
        <v>131</v>
      </c>
      <c r="D53" s="2712">
        <f t="shared" si="28"/>
        <v>131</v>
      </c>
      <c r="E53" s="2712">
        <v>155</v>
      </c>
      <c r="F53" s="2713">
        <v>114</v>
      </c>
      <c r="G53" s="3446">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2621</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7">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2622</v>
      </c>
      <c r="B55" s="2698">
        <f t="shared" si="58"/>
        <v>124.29032258064517</v>
      </c>
      <c r="C55" s="2698">
        <f t="shared" si="58"/>
        <v>123.8968609865471</v>
      </c>
      <c r="D55" s="2698">
        <f t="shared" si="28"/>
        <v>123.8968609865471</v>
      </c>
      <c r="E55" s="2698">
        <f t="shared" si="59"/>
        <v>138.00507614213197</v>
      </c>
      <c r="F55" s="2698">
        <f t="shared" si="59"/>
        <v>107.96106557377048</v>
      </c>
      <c r="G55" s="3447">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2623</v>
      </c>
      <c r="B56" s="2698">
        <f t="shared" si="58"/>
        <v>122.57204301075269</v>
      </c>
      <c r="C56" s="2698">
        <f t="shared" si="58"/>
        <v>123.4932735426009</v>
      </c>
      <c r="D56" s="2698">
        <f t="shared" si="28"/>
        <v>123.4932735426009</v>
      </c>
      <c r="E56" s="2698">
        <f t="shared" si="59"/>
        <v>129.82233502538071</v>
      </c>
      <c r="F56" s="2698">
        <f t="shared" si="59"/>
        <v>107.39446721311475</v>
      </c>
      <c r="G56" s="3448">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2624</v>
      </c>
      <c r="B57" s="2728">
        <v>121</v>
      </c>
      <c r="C57" s="2728">
        <v>122</v>
      </c>
      <c r="D57" s="2728">
        <f t="shared" si="28"/>
        <v>122</v>
      </c>
      <c r="E57" s="2728">
        <v>124</v>
      </c>
      <c r="F57" s="2729">
        <v>107</v>
      </c>
      <c r="G57" s="3446">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2625</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7">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2626</v>
      </c>
      <c r="B59" s="2698">
        <f t="shared" si="62"/>
        <v>116.99099099099099</v>
      </c>
      <c r="C59" s="2698">
        <f t="shared" si="62"/>
        <v>118.84848484848486</v>
      </c>
      <c r="D59" s="2698">
        <f t="shared" si="28"/>
        <v>118.84848484848486</v>
      </c>
      <c r="E59" s="2698">
        <f t="shared" si="63"/>
        <v>117.60960960960961</v>
      </c>
      <c r="F59" s="2698">
        <f t="shared" si="63"/>
        <v>104</v>
      </c>
      <c r="G59" s="3447">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2627</v>
      </c>
      <c r="B60" s="2731">
        <f t="shared" si="62"/>
        <v>112.48648648648648</v>
      </c>
      <c r="C60" s="2731">
        <f t="shared" si="62"/>
        <v>115.21212121212122</v>
      </c>
      <c r="D60" s="2731">
        <f t="shared" si="28"/>
        <v>115.21212121212122</v>
      </c>
      <c r="E60" s="2731">
        <f t="shared" si="63"/>
        <v>110.4024024024024</v>
      </c>
      <c r="F60" s="2731">
        <f t="shared" si="63"/>
        <v>104</v>
      </c>
      <c r="G60" s="3448">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2628</v>
      </c>
      <c r="B61" s="2749">
        <v>111</v>
      </c>
      <c r="C61" s="2749">
        <v>114</v>
      </c>
      <c r="D61" s="2749">
        <f t="shared" si="28"/>
        <v>114</v>
      </c>
      <c r="E61" s="2749">
        <v>108</v>
      </c>
      <c r="F61" s="2750">
        <v>104</v>
      </c>
      <c r="G61" s="3446">
        <v>2003</v>
      </c>
      <c r="H61" s="2739">
        <v>4</v>
      </c>
      <c r="I61" s="2751"/>
      <c r="J61" s="2751"/>
      <c r="K61" s="2751"/>
      <c r="L61" s="2751"/>
      <c r="N61" s="2752"/>
      <c r="O61" s="2751"/>
      <c r="P61" s="2751"/>
      <c r="Q61" s="2751"/>
      <c r="S61" s="2752"/>
      <c r="T61" s="2751"/>
      <c r="U61" s="2751"/>
      <c r="V61" s="2751"/>
      <c r="X61" s="2743"/>
      <c r="Y61" s="2743"/>
      <c r="Z61" s="2743"/>
    </row>
    <row r="62" spans="1:26">
      <c r="A62" s="2684" t="s">
        <v>2629</v>
      </c>
      <c r="B62" s="2753">
        <f t="shared" ref="B62:C64" si="64">B63+(B$61-B$65)/4</f>
        <v>109.75</v>
      </c>
      <c r="C62" s="2753">
        <f t="shared" si="64"/>
        <v>112.25</v>
      </c>
      <c r="D62" s="2753">
        <f t="shared" si="28"/>
        <v>112.25</v>
      </c>
      <c r="E62" s="2753">
        <f t="shared" ref="E62:F64" si="65">E63+(E$61-E$65)/4</f>
        <v>107.25</v>
      </c>
      <c r="F62" s="2753">
        <f t="shared" si="65"/>
        <v>103.5</v>
      </c>
      <c r="G62" s="3447">
        <v>2003</v>
      </c>
      <c r="H62" s="2709">
        <v>3</v>
      </c>
      <c r="I62" s="2751"/>
      <c r="J62" s="2751"/>
      <c r="K62" s="2751"/>
      <c r="L62" s="2751"/>
      <c r="X62" s="2743"/>
      <c r="Y62" s="2743"/>
      <c r="Z62" s="2743"/>
    </row>
    <row r="63" spans="1:26">
      <c r="A63" s="2684" t="s">
        <v>2630</v>
      </c>
      <c r="B63" s="2753">
        <f t="shared" si="64"/>
        <v>108.5</v>
      </c>
      <c r="C63" s="2753">
        <f t="shared" si="64"/>
        <v>110.5</v>
      </c>
      <c r="D63" s="2753">
        <f t="shared" si="28"/>
        <v>110.5</v>
      </c>
      <c r="E63" s="2753">
        <f t="shared" si="65"/>
        <v>106.5</v>
      </c>
      <c r="F63" s="2753">
        <f t="shared" si="65"/>
        <v>103</v>
      </c>
      <c r="G63" s="3447">
        <v>2003</v>
      </c>
      <c r="H63" s="2689">
        <v>2</v>
      </c>
      <c r="I63" s="2751"/>
      <c r="J63" s="2751"/>
      <c r="K63" s="2751"/>
      <c r="L63" s="2751"/>
      <c r="X63" s="2743"/>
      <c r="Y63" s="2743"/>
      <c r="Z63" s="2743"/>
    </row>
    <row r="64" spans="1:26" ht="13.5" thickBot="1">
      <c r="A64" s="2684" t="s">
        <v>2631</v>
      </c>
      <c r="B64" s="2753">
        <f t="shared" si="64"/>
        <v>107.25</v>
      </c>
      <c r="C64" s="2753">
        <f t="shared" si="64"/>
        <v>108.75</v>
      </c>
      <c r="D64" s="2753">
        <f t="shared" si="28"/>
        <v>108.75</v>
      </c>
      <c r="E64" s="2753">
        <f t="shared" si="65"/>
        <v>105.75</v>
      </c>
      <c r="F64" s="2753">
        <f t="shared" si="65"/>
        <v>102.5</v>
      </c>
      <c r="G64" s="3448">
        <v>2003</v>
      </c>
      <c r="H64" s="2754">
        <v>1</v>
      </c>
      <c r="I64" s="2751"/>
      <c r="J64" s="2751"/>
      <c r="K64" s="2751"/>
      <c r="L64" s="2751"/>
      <c r="S64" s="2693"/>
      <c r="T64" s="2694"/>
      <c r="U64" s="2694"/>
      <c r="X64" s="2743"/>
      <c r="Y64" s="2743"/>
      <c r="Z64" s="2743"/>
    </row>
    <row r="65" spans="1:26" ht="13.5" thickBot="1">
      <c r="A65" s="2684" t="s">
        <v>2632</v>
      </c>
      <c r="B65" s="2755">
        <v>106</v>
      </c>
      <c r="C65" s="2755">
        <v>107</v>
      </c>
      <c r="D65" s="2755">
        <f t="shared" si="28"/>
        <v>107</v>
      </c>
      <c r="E65" s="2755">
        <v>105</v>
      </c>
      <c r="F65" s="2756">
        <v>102</v>
      </c>
      <c r="G65" s="3446">
        <v>2002</v>
      </c>
      <c r="H65" s="2704">
        <v>4</v>
      </c>
      <c r="I65" s="2751"/>
      <c r="J65" s="2751"/>
      <c r="K65" s="2751"/>
      <c r="L65" s="2751"/>
      <c r="N65" s="2752"/>
      <c r="O65" s="2751"/>
      <c r="P65" s="2751"/>
      <c r="Q65" s="2751"/>
      <c r="S65" s="2752"/>
      <c r="T65" s="2751"/>
      <c r="U65" s="2751"/>
      <c r="V65" s="2751"/>
      <c r="X65" s="2743"/>
      <c r="Y65" s="2743"/>
      <c r="Z65" s="2743"/>
    </row>
    <row r="66" spans="1:26">
      <c r="A66" s="2684" t="s">
        <v>2633</v>
      </c>
      <c r="B66" s="2753">
        <f t="shared" ref="B66:C68" si="66">B67+(B$65-B$69)/4</f>
        <v>105</v>
      </c>
      <c r="C66" s="2753">
        <f t="shared" si="66"/>
        <v>106</v>
      </c>
      <c r="D66" s="2753">
        <f t="shared" si="28"/>
        <v>106</v>
      </c>
      <c r="E66" s="2753">
        <f t="shared" ref="E66:F68" si="67">E67+(E$65-E$69)/4</f>
        <v>104.5</v>
      </c>
      <c r="F66" s="2753">
        <f t="shared" si="67"/>
        <v>101.5</v>
      </c>
      <c r="G66" s="3447">
        <v>2002</v>
      </c>
      <c r="H66" s="2709">
        <v>3</v>
      </c>
      <c r="I66" s="2751"/>
      <c r="J66" s="2751"/>
      <c r="K66" s="2751"/>
      <c r="L66" s="2751"/>
      <c r="X66" s="2743"/>
      <c r="Y66" s="2743"/>
      <c r="Z66" s="2743"/>
    </row>
    <row r="67" spans="1:26">
      <c r="A67" s="2684" t="s">
        <v>2634</v>
      </c>
      <c r="B67" s="2753">
        <f t="shared" si="66"/>
        <v>104</v>
      </c>
      <c r="C67" s="2753">
        <f t="shared" si="66"/>
        <v>105</v>
      </c>
      <c r="D67" s="2753">
        <f t="shared" si="28"/>
        <v>105</v>
      </c>
      <c r="E67" s="2753">
        <f t="shared" si="67"/>
        <v>104</v>
      </c>
      <c r="F67" s="2753">
        <f t="shared" si="67"/>
        <v>101</v>
      </c>
      <c r="G67" s="3447">
        <v>2002</v>
      </c>
      <c r="H67" s="2689">
        <v>2</v>
      </c>
      <c r="I67" s="2751"/>
      <c r="J67" s="2751"/>
      <c r="K67" s="2751"/>
      <c r="L67" s="2751"/>
      <c r="X67" s="2743"/>
      <c r="Y67" s="2743"/>
      <c r="Z67" s="2743"/>
    </row>
    <row r="68" spans="1:26" s="2720" customFormat="1" ht="13.5" thickBot="1">
      <c r="A68" s="2716" t="s">
        <v>2635</v>
      </c>
      <c r="B68" s="2757">
        <f t="shared" si="66"/>
        <v>103</v>
      </c>
      <c r="C68" s="2757">
        <f t="shared" si="66"/>
        <v>104</v>
      </c>
      <c r="D68" s="2757">
        <f t="shared" si="28"/>
        <v>104</v>
      </c>
      <c r="E68" s="2757">
        <f t="shared" si="67"/>
        <v>103.5</v>
      </c>
      <c r="F68" s="2757">
        <f t="shared" si="67"/>
        <v>100.5</v>
      </c>
      <c r="G68" s="3448">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2636</v>
      </c>
      <c r="G71" s="2767"/>
      <c r="N71" s="2767"/>
      <c r="S71" s="2767"/>
    </row>
    <row r="72" spans="1:26" s="2766" customFormat="1">
      <c r="A72" s="2766" t="s">
        <v>2637</v>
      </c>
      <c r="G72" s="2767"/>
      <c r="N72" s="2767"/>
      <c r="S72" s="2767"/>
    </row>
    <row r="73" spans="1:26" s="2766" customFormat="1">
      <c r="A73" s="2766" t="s">
        <v>2638</v>
      </c>
      <c r="G73" s="2767"/>
      <c r="I73" s="2768"/>
      <c r="J73" s="2768"/>
      <c r="K73" s="2768"/>
      <c r="L73" s="2768"/>
      <c r="N73" s="2769"/>
      <c r="O73" s="2768"/>
      <c r="P73" s="2768"/>
      <c r="Q73" s="2768"/>
      <c r="S73" s="2769"/>
      <c r="T73" s="2768"/>
      <c r="U73" s="2768"/>
      <c r="V73" s="2768"/>
    </row>
    <row r="74" spans="1:26" s="2766" customFormat="1">
      <c r="A74" s="2766" t="s">
        <v>2639</v>
      </c>
      <c r="G74" s="2767"/>
      <c r="N74" s="2767"/>
      <c r="S74" s="2767"/>
    </row>
    <row r="81" spans="7:22" ht="13.5" thickBot="1"/>
    <row r="82" spans="7:22">
      <c r="G82" s="2692"/>
      <c r="S82" s="2770" t="s">
        <v>2640</v>
      </c>
      <c r="T82" s="2771" t="s">
        <v>2641</v>
      </c>
      <c r="U82" s="2771" t="s">
        <v>2642</v>
      </c>
      <c r="V82" s="2771" t="s">
        <v>2643</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鹏瑞利美融加一（北京）置业有限公司：</v>
      </c>
    </row>
    <row r="4" spans="1:4" ht="56.25">
      <c r="A4" s="1795" t="str">
        <f>"受贵公司委托，我公司对"&amp;项目基本情况!K2&amp;项目基本情况!B9&amp;"进行了预评估。"</f>
        <v>受贵公司委托，我公司对北京市通州区运河核心区Ⅷ-14-2地块F3其他类多功能用地项目商务金融（办公、商业及地下车库）用地出让国有建设用地使用权抵押价格进行了预评估。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-14-2地块F3其他类多功能用地项目商务金融（办公、商业及地下车库）用地出让国有建设用地使用权。根据《国有土地使用证》[]，估价对象（分摊）出让国有建设用地使用权面积为9969.76平方米。根据《建设工程规划许可证》[]、《出让合同》[]，估价对象规划建筑面积为130076.72平方米。</v>
      </c>
    </row>
    <row r="7" spans="1:4" ht="56.25">
      <c r="A7" s="1799" t="s">
        <v>2753</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2946</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根据《国有土地使用证》[]，估价对象（分摊）出让国有建设用地使用权面积为9969.76平方米。根据《建设工程规划许可证》[]、《出让合同》[]，估价对象规划建筑面积为130076.72平方米。</v>
      </c>
    </row>
    <row r="21" spans="1:1" ht="18.75">
      <c r="A21" s="1795" t="s">
        <v>2075</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1679</v>
      </c>
      <c r="D1" s="3160" t="s">
        <v>953</v>
      </c>
      <c r="E1" s="2415" t="s">
        <v>871</v>
      </c>
      <c r="F1" s="2416">
        <f ca="1">J53</f>
        <v>45.05</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0</v>
      </c>
      <c r="C2" s="2061"/>
      <c r="D2" s="2059"/>
      <c r="E2" s="2060"/>
      <c r="F2" s="2060"/>
      <c r="G2" s="1593"/>
      <c r="H2" s="2061"/>
      <c r="I2" s="2061"/>
      <c r="J2" s="2061"/>
      <c r="K2" s="2062"/>
      <c r="L2" s="2061"/>
      <c r="M2" s="2061"/>
    </row>
    <row r="3" spans="1:33" ht="18" customHeight="1" thickBot="1">
      <c r="A3" s="835" t="s">
        <v>520</v>
      </c>
      <c r="B3" s="836">
        <f ca="1">IF(ISERROR(B2*10000/F43),0,ROUND(B2*10000/F43,0))</f>
        <v>0</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0</v>
      </c>
      <c r="D5" s="2524" t="s">
        <v>2464</v>
      </c>
      <c r="E5" s="2518"/>
      <c r="F5" s="2519"/>
      <c r="G5" s="1595"/>
      <c r="H5" s="783">
        <v>1</v>
      </c>
      <c r="I5" s="784" t="s">
        <v>2461</v>
      </c>
      <c r="J5" s="55">
        <f ca="1">J6+J10+J12</f>
        <v>0</v>
      </c>
      <c r="K5" s="2524" t="s">
        <v>2464</v>
      </c>
      <c r="L5" s="2518"/>
      <c r="M5" s="2519"/>
    </row>
    <row r="6" spans="1:33" ht="18" customHeight="1">
      <c r="A6" s="1834" t="s">
        <v>1823</v>
      </c>
      <c r="B6" s="3437" t="s">
        <v>2466</v>
      </c>
      <c r="C6" s="785">
        <f ca="1">ROUND(F6*F8*F7*(1-F9)/10000,0)</f>
        <v>0</v>
      </c>
      <c r="D6" s="2525" t="s">
        <v>2465</v>
      </c>
      <c r="E6" s="786" t="s">
        <v>638</v>
      </c>
      <c r="F6" s="787">
        <f ca="1">INDIRECT("'数据-取费表'!u"&amp;$G$1)</f>
        <v>0</v>
      </c>
      <c r="G6" s="1595"/>
      <c r="H6" s="2532" t="s">
        <v>1823</v>
      </c>
      <c r="I6" s="3437" t="s">
        <v>2466</v>
      </c>
      <c r="J6" s="785">
        <f ca="1">ROUND(M6*M8*M7*(1-M9)/10000,0)</f>
        <v>0</v>
      </c>
      <c r="K6" s="343" t="s">
        <v>1736</v>
      </c>
      <c r="L6" s="786" t="s">
        <v>638</v>
      </c>
      <c r="M6" s="787">
        <f ca="1">INDIRECT("'数据-取费表'!z"&amp;$G$1)</f>
        <v>0</v>
      </c>
    </row>
    <row r="7" spans="1:33" ht="18" customHeight="1">
      <c r="A7" s="2528"/>
      <c r="B7" s="3438"/>
      <c r="C7" s="790"/>
      <c r="D7" s="791"/>
      <c r="E7" s="786" t="s">
        <v>639</v>
      </c>
      <c r="F7" s="787">
        <f ca="1">IF(INDIRECT("'数据-取费表'!ah"&amp;$G$1)="",INDIRECT("'数据-取费表'!k"&amp;$G$1),INDIRECT("'数据-取费表'!ah"&amp;$G$1))</f>
        <v>90798.46</v>
      </c>
      <c r="G7" s="1595"/>
      <c r="H7" s="2517"/>
      <c r="I7" s="3438"/>
      <c r="J7" s="790"/>
      <c r="K7" s="791"/>
      <c r="L7" s="786" t="s">
        <v>639</v>
      </c>
      <c r="M7" s="787">
        <f ca="1">F7</f>
        <v>90798.46</v>
      </c>
    </row>
    <row r="8" spans="1:33" ht="18" customHeight="1">
      <c r="A8" s="2521"/>
      <c r="B8" s="3439"/>
      <c r="C8" s="790"/>
      <c r="D8" s="791"/>
      <c r="E8" s="786" t="s">
        <v>640</v>
      </c>
      <c r="F8" s="787">
        <f ca="1">INDIRECT("'数据-取费表'!ai"&amp;$G$1)</f>
        <v>365</v>
      </c>
      <c r="G8" s="1595"/>
      <c r="H8" s="2517"/>
      <c r="I8" s="3439"/>
      <c r="J8" s="790"/>
      <c r="K8" s="791"/>
      <c r="L8" s="786" t="s">
        <v>640</v>
      </c>
      <c r="M8" s="787">
        <f ca="1">INDIRECT("'数据-取费表'!ai"&amp;$G$1)</f>
        <v>365</v>
      </c>
    </row>
    <row r="9" spans="1:33" ht="18" customHeight="1">
      <c r="A9" s="788"/>
      <c r="B9" s="3440"/>
      <c r="C9" s="790"/>
      <c r="D9" s="791"/>
      <c r="E9" s="786" t="s">
        <v>1740</v>
      </c>
      <c r="F9" s="796">
        <f ca="1">INDIRECT("'数据-取费表'!w"&amp;$G$1)</f>
        <v>0</v>
      </c>
      <c r="G9" s="1595"/>
      <c r="H9" s="2533"/>
      <c r="I9" s="3439"/>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0</v>
      </c>
      <c r="D10" s="2529" t="s">
        <v>2469</v>
      </c>
      <c r="E10" s="2526" t="s">
        <v>2467</v>
      </c>
      <c r="F10" s="2649" t="s">
        <v>3137</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0</v>
      </c>
      <c r="D13" s="1838" t="s">
        <v>2298</v>
      </c>
      <c r="E13" s="1838" t="s">
        <v>644</v>
      </c>
      <c r="F13" s="2564">
        <f ca="1">INDIRECT("'数据-取费表'!y"&amp;$G$1)</f>
        <v>0</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38506</v>
      </c>
      <c r="D14" s="3168" t="s">
        <v>1744</v>
      </c>
      <c r="E14" s="3169"/>
      <c r="F14" s="807"/>
      <c r="G14" s="1595"/>
      <c r="H14" s="1652" t="s">
        <v>1823</v>
      </c>
      <c r="I14" s="2235" t="s">
        <v>2831</v>
      </c>
      <c r="J14" s="53">
        <f ca="1">C29</f>
        <v>60645</v>
      </c>
      <c r="K14" s="26"/>
      <c r="L14" s="803"/>
      <c r="M14" s="804"/>
    </row>
    <row r="15" spans="1:33" s="2068" customFormat="1" ht="18" customHeight="1" thickBot="1">
      <c r="A15" s="1651" t="s">
        <v>1831</v>
      </c>
      <c r="B15" s="786" t="s">
        <v>648</v>
      </c>
      <c r="C15" s="53">
        <f ca="1">ROUND(C14*F15,0)</f>
        <v>1155</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1420</v>
      </c>
      <c r="K16" s="1825" t="s">
        <v>653</v>
      </c>
      <c r="L16" s="3170"/>
      <c r="M16" s="2519"/>
    </row>
    <row r="17" spans="1:33" s="2068" customFormat="1" ht="18" customHeight="1">
      <c r="A17" s="1651" t="s">
        <v>1886</v>
      </c>
      <c r="B17" s="786" t="s">
        <v>654</v>
      </c>
      <c r="C17" s="53">
        <f ca="1">ROUND(F17*(F43+INDIRECT("'数据-取费表'!S"&amp;$G$1))/10000,0)</f>
        <v>1991</v>
      </c>
      <c r="D17" s="786" t="s">
        <v>655</v>
      </c>
      <c r="E17" s="786" t="s">
        <v>656</v>
      </c>
      <c r="F17" s="56">
        <f>'数据-取费表'!B35</f>
        <v>200</v>
      </c>
      <c r="G17" s="1596"/>
      <c r="H17" s="1652" t="s">
        <v>1823</v>
      </c>
      <c r="I17" s="786" t="s">
        <v>657</v>
      </c>
      <c r="J17" s="53">
        <f ca="1">ROUND(IF(项目基本情况!B11="自然人",J5*M17,J18+J19+J20),0)</f>
        <v>510</v>
      </c>
      <c r="K17" s="3168" t="s">
        <v>658</v>
      </c>
      <c r="L17" s="3167"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578</v>
      </c>
      <c r="D18" s="786" t="s">
        <v>649</v>
      </c>
      <c r="E18" s="786" t="s">
        <v>650</v>
      </c>
      <c r="F18" s="811">
        <f>'数据-取费表'!B36</f>
        <v>1.4999999999999999E-2</v>
      </c>
      <c r="G18" s="1596"/>
      <c r="H18" s="1651" t="s">
        <v>1830</v>
      </c>
      <c r="I18" s="786" t="s">
        <v>661</v>
      </c>
      <c r="J18" s="53">
        <f ca="1">ROUND(J5*M18/1.05,1)</f>
        <v>0</v>
      </c>
      <c r="K18" s="3167"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42230</v>
      </c>
      <c r="D19" s="260" t="s">
        <v>664</v>
      </c>
      <c r="E19" s="3172"/>
      <c r="F19" s="56"/>
      <c r="G19" s="1595"/>
      <c r="H19" s="1651" t="s">
        <v>1831</v>
      </c>
      <c r="I19" s="786" t="s">
        <v>665</v>
      </c>
      <c r="J19" s="53">
        <f ca="1">IF(K19="按租金收入计税",ROUND(J5*M19,1),ROUND(C29*F33*0.7,1))</f>
        <v>509.4</v>
      </c>
      <c r="K19" s="813" t="s">
        <v>666</v>
      </c>
      <c r="L19" s="786" t="s">
        <v>650</v>
      </c>
      <c r="M19" s="811">
        <f>IF(K19="按租金收入计税",'数据-取费表'!B51,'数据-取费表'!B50)</f>
        <v>1.2E-2</v>
      </c>
    </row>
    <row r="20" spans="1:33" s="2068" customFormat="1" ht="18" customHeight="1">
      <c r="A20" s="1652" t="s">
        <v>1888</v>
      </c>
      <c r="B20" s="786" t="s">
        <v>667</v>
      </c>
      <c r="C20" s="53">
        <f ca="1">ROUND(C19*F20,0)</f>
        <v>845</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7629.9400000000005</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2"/>
      <c r="F22" s="56"/>
      <c r="G22" s="1595"/>
      <c r="H22" s="1652" t="s">
        <v>1888</v>
      </c>
      <c r="I22" s="786" t="s">
        <v>677</v>
      </c>
      <c r="J22" s="53">
        <f ca="1">ROUND(J14*M22,0)</f>
        <v>910</v>
      </c>
      <c r="K22" s="3167"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2046</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7"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2"/>
      <c r="F25" s="56"/>
      <c r="G25" s="1595"/>
      <c r="H25" s="1833" t="s">
        <v>1775</v>
      </c>
      <c r="I25" s="3040" t="s">
        <v>2828</v>
      </c>
      <c r="J25" s="794">
        <f ca="1">J5-J16</f>
        <v>-1420</v>
      </c>
      <c r="K25" s="2576" t="s">
        <v>701</v>
      </c>
      <c r="L25" s="2577"/>
      <c r="M25" s="2578"/>
    </row>
    <row r="26" spans="1:33" ht="18" customHeight="1">
      <c r="A26" s="1651" t="s">
        <v>1830</v>
      </c>
      <c r="B26" s="786" t="s">
        <v>2440</v>
      </c>
      <c r="C26" s="53">
        <f ca="1">ROUND((C19+C20)*F26,0)</f>
        <v>10769</v>
      </c>
      <c r="D26" s="814" t="s">
        <v>1777</v>
      </c>
      <c r="E26" s="797" t="s">
        <v>1778</v>
      </c>
      <c r="F26" s="796">
        <f ca="1">INDIRECT("'数据-取费表'!q"&amp;$G$1)</f>
        <v>0.25</v>
      </c>
      <c r="G26" s="1595"/>
      <c r="H26" s="2530" t="s">
        <v>1779</v>
      </c>
      <c r="I26" s="2236" t="s">
        <v>2833</v>
      </c>
      <c r="J26" s="785">
        <f ca="1">IF(J5&lt;&gt;0,ROUND(J25*(1-((1+M28)/(1+M26))^M27)/(M26-M28),0),0)</f>
        <v>0</v>
      </c>
      <c r="K26" s="816" t="s">
        <v>1780</v>
      </c>
      <c r="L26" s="786" t="s">
        <v>2421</v>
      </c>
      <c r="M26" s="796">
        <f ca="1">INDIRECT("'数据-取费表'!I"&amp;$G$1)</f>
        <v>0.05</v>
      </c>
    </row>
    <row r="27" spans="1:33" ht="18" customHeight="1">
      <c r="A27" s="1651" t="s">
        <v>1831</v>
      </c>
      <c r="B27" s="786" t="s">
        <v>687</v>
      </c>
      <c r="C27" s="53">
        <f ca="1">ROUND(F21*F26,4)</f>
        <v>5.0000000000000001E-3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60645</v>
      </c>
      <c r="D29" s="2573"/>
      <c r="E29" s="2574"/>
      <c r="F29" s="2575"/>
      <c r="G29" s="1596"/>
      <c r="H29" s="825" t="s">
        <v>1786</v>
      </c>
      <c r="I29" s="826" t="s">
        <v>1787</v>
      </c>
      <c r="J29" s="827">
        <f ca="1">ROUND(J26/(1+F40)^F41,0)</f>
        <v>0</v>
      </c>
      <c r="K29" s="828" t="s">
        <v>1788</v>
      </c>
      <c r="L29" s="829"/>
      <c r="M29" s="830">
        <f ca="1">INDIRECT("'数据-取费表'!k"&amp;$G$1)</f>
        <v>90798.46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1420</v>
      </c>
      <c r="D30" s="1825" t="s">
        <v>653</v>
      </c>
      <c r="E30" s="3170"/>
      <c r="F30" s="2519"/>
      <c r="G30" s="2066"/>
      <c r="H30" s="2069"/>
      <c r="I30" s="2070"/>
      <c r="J30" s="2071"/>
      <c r="K30" s="2072"/>
      <c r="L30" s="2073"/>
      <c r="M30" s="2074"/>
    </row>
    <row r="31" spans="1:33" ht="18" customHeight="1">
      <c r="A31" s="1652" t="s">
        <v>1823</v>
      </c>
      <c r="B31" s="786" t="s">
        <v>657</v>
      </c>
      <c r="C31" s="53">
        <f ca="1">ROUND(IF(项目基本情况!B11="自然人",C5*F31,C32+C33+C34),1)</f>
        <v>510.5</v>
      </c>
      <c r="D31" s="3168" t="s">
        <v>658</v>
      </c>
      <c r="E31" s="3167"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0</v>
      </c>
      <c r="D32" s="3167"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509.4</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1.1000000000000001</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7629.9400000000005</v>
      </c>
      <c r="G35" s="2066"/>
      <c r="H35" s="2069"/>
      <c r="I35" s="839" t="s">
        <v>1813</v>
      </c>
      <c r="J35" s="840">
        <f ca="1">ROUND(C13*J36,0)</f>
        <v>0</v>
      </c>
      <c r="K35" s="2082"/>
      <c r="L35" s="2081"/>
      <c r="M35" s="2081"/>
    </row>
    <row r="36" spans="1:18" ht="18" customHeight="1">
      <c r="A36" s="1652" t="s">
        <v>1888</v>
      </c>
      <c r="B36" s="786" t="s">
        <v>677</v>
      </c>
      <c r="C36" s="53">
        <f ca="1">ROUND(C29*F36,1)</f>
        <v>909.7</v>
      </c>
      <c r="D36" s="3167"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0</v>
      </c>
      <c r="D37" s="3167"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0</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-1420</v>
      </c>
      <c r="D39" s="2576" t="s">
        <v>701</v>
      </c>
      <c r="E39" s="2577"/>
      <c r="F39" s="2578"/>
      <c r="G39" s="2066"/>
      <c r="H39" s="2081"/>
      <c r="I39" s="839" t="s">
        <v>1817</v>
      </c>
      <c r="J39" s="847">
        <f ca="1">ROUND(J35/C39,3)</f>
        <v>0</v>
      </c>
      <c r="K39" s="2087"/>
      <c r="L39" s="2081"/>
      <c r="M39" s="2081"/>
    </row>
    <row r="40" spans="1:18" ht="18" customHeight="1">
      <c r="A40" s="783" t="s">
        <v>1779</v>
      </c>
      <c r="B40" s="2236" t="s">
        <v>2302</v>
      </c>
      <c r="C40" s="785">
        <f ca="1">ROUND(C39*(1-((1+F42)/(1+F40))^F41)/(F40-F42),0)</f>
        <v>0</v>
      </c>
      <c r="D40" s="816" t="s">
        <v>1780</v>
      </c>
      <c r="E40" s="786" t="s">
        <v>2421</v>
      </c>
      <c r="F40" s="796">
        <f ca="1">INDIRECT("'数据-取费表'!I"&amp;$G$1)</f>
        <v>0.05</v>
      </c>
      <c r="G40" s="2066"/>
      <c r="H40" s="2066"/>
      <c r="I40" s="839" t="s">
        <v>1818</v>
      </c>
      <c r="J40" s="847">
        <f ca="1">1-J39</f>
        <v>1</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0</v>
      </c>
      <c r="G41" s="2066"/>
      <c r="H41" s="1992"/>
      <c r="I41" s="845" t="s">
        <v>1819</v>
      </c>
      <c r="J41" s="848"/>
      <c r="K41" s="2086"/>
      <c r="L41" s="1992"/>
      <c r="M41" s="1992"/>
    </row>
    <row r="42" spans="1:18" ht="18" customHeight="1">
      <c r="A42" s="792"/>
      <c r="B42" s="793"/>
      <c r="C42" s="794"/>
      <c r="D42" s="818"/>
      <c r="E42" s="786" t="s">
        <v>711</v>
      </c>
      <c r="F42" s="796">
        <f ca="1">INDIRECT("'数据-取费表'!v"&amp;$G$1)</f>
        <v>0</v>
      </c>
      <c r="G42" s="2066"/>
      <c r="H42" s="1992"/>
      <c r="I42" s="849" t="s">
        <v>1820</v>
      </c>
      <c r="J42" s="847" t="e">
        <f ca="1">ROUND(C13/C40,3)</f>
        <v>#DIV/0!</v>
      </c>
      <c r="K42" s="2086"/>
      <c r="L42" s="1992"/>
      <c r="M42" s="1992"/>
    </row>
    <row r="43" spans="1:18" ht="18" customHeight="1" thickBot="1">
      <c r="A43" s="825" t="s">
        <v>1786</v>
      </c>
      <c r="B43" s="826" t="s">
        <v>1809</v>
      </c>
      <c r="C43" s="827">
        <f ca="1">ROUND(C40*10000/F43,0)</f>
        <v>0</v>
      </c>
      <c r="D43" s="828" t="s">
        <v>1810</v>
      </c>
      <c r="E43" s="829" t="s">
        <v>1811</v>
      </c>
      <c r="F43" s="830">
        <f ca="1">INDIRECT("'数据-取费表'!k"&amp;$G$1)</f>
        <v>90798.46</v>
      </c>
      <c r="G43" s="2066"/>
      <c r="H43" s="1992"/>
      <c r="I43" s="849" t="s">
        <v>1821</v>
      </c>
      <c r="J43" s="850" t="e">
        <f ca="1">1-J42</f>
        <v>#DIV/0!</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0</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3136</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0</v>
      </c>
      <c r="R48" s="2427" t="s">
        <v>2382</v>
      </c>
    </row>
    <row r="49" spans="1:18" s="2063" customFormat="1" ht="18" customHeight="1" thickBot="1">
      <c r="A49" s="788"/>
      <c r="B49" s="789"/>
      <c r="C49" s="790"/>
      <c r="D49" s="791"/>
      <c r="E49" s="786" t="s">
        <v>639</v>
      </c>
      <c r="F49" s="787">
        <f ca="1">F7</f>
        <v>90798.46</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60645</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-27212</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53" t="s">
        <v>2972</v>
      </c>
      <c r="L53" s="3454"/>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0</v>
      </c>
      <c r="R54" s="2431" t="s">
        <v>2394</v>
      </c>
    </row>
    <row r="55" spans="1:18" s="2063" customFormat="1" ht="18" customHeight="1" thickTop="1" thickBot="1">
      <c r="A55" s="799">
        <v>2</v>
      </c>
      <c r="B55" s="800" t="s">
        <v>645</v>
      </c>
      <c r="C55" s="801">
        <f ca="1">C13</f>
        <v>0</v>
      </c>
      <c r="D55" s="797"/>
      <c r="E55" s="797"/>
      <c r="F55" s="802"/>
      <c r="I55" s="3131" t="s">
        <v>2357</v>
      </c>
      <c r="J55" s="3130"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60645</v>
      </c>
      <c r="D56" s="3167"/>
      <c r="E56" s="786"/>
      <c r="F56" s="811"/>
      <c r="I56" s="2407" t="s">
        <v>2359</v>
      </c>
      <c r="J56" s="3154"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1420</v>
      </c>
      <c r="D57" s="26" t="s">
        <v>653</v>
      </c>
      <c r="E57" s="3172"/>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0</v>
      </c>
      <c r="R57" s="2427" t="s">
        <v>2382</v>
      </c>
    </row>
    <row r="58" spans="1:18" s="2063" customFormat="1" ht="28.5" customHeight="1" thickBot="1">
      <c r="A58" s="1652" t="s">
        <v>1823</v>
      </c>
      <c r="B58" s="786" t="s">
        <v>657</v>
      </c>
      <c r="C58" s="53">
        <f ca="1">ROUND(IF(项目基本情况!B11="自然人",C47*F58,C59+C60+C61),1)</f>
        <v>510.5</v>
      </c>
      <c r="D58" s="3168" t="s">
        <v>658</v>
      </c>
      <c r="E58" s="3167" t="s">
        <v>691</v>
      </c>
      <c r="F58" s="812" t="str">
        <f ca="1">IF(项目基本情况!B11="企业","",IF(INDIRECT("'数据-取费表'!c"&amp;$G$1)="住宅",5%,IF(F48*F49*F50/12/(1+'数据-取费表'!C42)&gt;20000,12%,7%)))</f>
        <v/>
      </c>
      <c r="I58" s="2408" t="s">
        <v>2361</v>
      </c>
      <c r="J58" s="3132"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7" t="s">
        <v>662</v>
      </c>
      <c r="E59" s="786" t="s">
        <v>650</v>
      </c>
      <c r="F59" s="811">
        <f t="shared" ref="F59:F65" si="0">F32</f>
        <v>5.5000000000000007E-2</v>
      </c>
      <c r="I59" s="2408" t="s">
        <v>2362</v>
      </c>
      <c r="J59" s="2410" t="str">
        <f ca="1">IF(OR(M47="住宅",J51&lt;L48,J56="是"),"——",ROUND(C29*J58,0))</f>
        <v>——</v>
      </c>
      <c r="K59" s="3161"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509.4</v>
      </c>
      <c r="D60" s="3167"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1.1000000000000001</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7629.9400000000005</v>
      </c>
      <c r="I62" s="2413" t="s">
        <v>2369</v>
      </c>
      <c r="J62" s="2414" t="s">
        <v>2370</v>
      </c>
      <c r="K62" s="2414" t="s">
        <v>2371</v>
      </c>
      <c r="L62" s="2414" t="s">
        <v>2352</v>
      </c>
      <c r="M62" s="3133" t="s">
        <v>2947</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909.7</v>
      </c>
      <c r="D63" s="3167" t="s">
        <v>692</v>
      </c>
      <c r="E63" s="786" t="s">
        <v>650</v>
      </c>
      <c r="F63" s="819">
        <f t="shared" ca="1" si="0"/>
        <v>1.4999999999999999E-2</v>
      </c>
      <c r="I63" s="2413" t="s">
        <v>2372</v>
      </c>
      <c r="J63" s="2414">
        <v>70</v>
      </c>
      <c r="K63" s="2414">
        <v>50</v>
      </c>
      <c r="L63" s="2414">
        <v>80</v>
      </c>
      <c r="M63" s="3134">
        <v>0.02</v>
      </c>
      <c r="O63" s="2426" t="s">
        <v>2393</v>
      </c>
      <c r="P63" s="2427" t="s">
        <v>2410</v>
      </c>
      <c r="Q63" s="2428">
        <f ca="1">Q57+Q58</f>
        <v>0</v>
      </c>
      <c r="R63" s="2431" t="s">
        <v>2394</v>
      </c>
    </row>
    <row r="64" spans="1:18" s="2063" customFormat="1" ht="16.5" thickBot="1">
      <c r="A64" s="1652" t="s">
        <v>1889</v>
      </c>
      <c r="B64" s="786" t="s">
        <v>680</v>
      </c>
      <c r="C64" s="53">
        <f ca="1">ROUND(C55*F64,1)</f>
        <v>0</v>
      </c>
      <c r="D64" s="3167" t="s">
        <v>681</v>
      </c>
      <c r="E64" s="786" t="s">
        <v>650</v>
      </c>
      <c r="F64" s="820">
        <f t="shared" ca="1" si="0"/>
        <v>2E-3</v>
      </c>
      <c r="I64" s="2413" t="s">
        <v>2373</v>
      </c>
      <c r="J64" s="2414">
        <v>50</v>
      </c>
      <c r="K64" s="2414">
        <v>35</v>
      </c>
      <c r="L64" s="2414">
        <v>60</v>
      </c>
      <c r="M64" s="3135">
        <v>0</v>
      </c>
      <c r="O64" s="2432" t="s">
        <v>2417</v>
      </c>
      <c r="P64" s="1595"/>
      <c r="Q64" s="1607"/>
      <c r="R64" s="1595"/>
    </row>
    <row r="65" spans="1:18" s="2063" customFormat="1" ht="15.75" thickBot="1">
      <c r="A65" s="1652" t="s">
        <v>1890</v>
      </c>
      <c r="B65" s="786" t="s">
        <v>667</v>
      </c>
      <c r="C65" s="53">
        <f ca="1">ROUND(C47*F65,1)</f>
        <v>0</v>
      </c>
      <c r="D65" s="3167" t="s">
        <v>684</v>
      </c>
      <c r="E65" s="786" t="s">
        <v>650</v>
      </c>
      <c r="F65" s="796">
        <f t="shared" ca="1" si="0"/>
        <v>0.02</v>
      </c>
      <c r="I65" s="2413" t="s">
        <v>2374</v>
      </c>
      <c r="J65" s="2414">
        <v>40</v>
      </c>
      <c r="K65" s="2414">
        <v>30</v>
      </c>
      <c r="L65" s="2414">
        <v>50</v>
      </c>
      <c r="M65" s="3134">
        <v>0.02</v>
      </c>
      <c r="O65" s="2423" t="s">
        <v>2377</v>
      </c>
      <c r="P65" s="2424" t="s">
        <v>2378</v>
      </c>
      <c r="Q65" s="2425" t="s">
        <v>2379</v>
      </c>
      <c r="R65" s="2424" t="s">
        <v>2380</v>
      </c>
    </row>
    <row r="66" spans="1:18" s="2063" customFormat="1" ht="24.75" thickBot="1">
      <c r="A66" s="799" t="s">
        <v>1775</v>
      </c>
      <c r="B66" s="3041" t="s">
        <v>2828</v>
      </c>
      <c r="C66" s="801">
        <f ca="1">C47-C57</f>
        <v>-1420</v>
      </c>
      <c r="D66" s="3168" t="s">
        <v>701</v>
      </c>
      <c r="E66" s="3171"/>
      <c r="F66" s="822"/>
      <c r="K66" s="2090"/>
      <c r="O66" s="2426" t="s">
        <v>2381</v>
      </c>
      <c r="P66" s="2427" t="s">
        <v>2407</v>
      </c>
      <c r="Q66" s="2428">
        <f ca="1">C40+J29</f>
        <v>0</v>
      </c>
      <c r="R66" s="2427" t="s">
        <v>2382</v>
      </c>
    </row>
    <row r="67" spans="1:18" s="2063" customFormat="1" ht="20.25" thickBot="1">
      <c r="A67" s="783" t="s">
        <v>1779</v>
      </c>
      <c r="B67" s="2236" t="s">
        <v>2302</v>
      </c>
      <c r="C67" s="785">
        <f ca="1">ROUND(C66*(1-((1+F69)/(1+F67))^F68)/(F67-F69),0)</f>
        <v>0</v>
      </c>
      <c r="D67" s="816" t="s">
        <v>705</v>
      </c>
      <c r="E67" s="786" t="s">
        <v>706</v>
      </c>
      <c r="F67" s="796">
        <f ca="1">F40</f>
        <v>0.05</v>
      </c>
      <c r="K67" s="2090"/>
      <c r="O67" s="2426" t="s">
        <v>2383</v>
      </c>
      <c r="P67" s="2427" t="s">
        <v>2414</v>
      </c>
      <c r="Q67" s="2428">
        <f ca="1">L60</f>
        <v>0</v>
      </c>
      <c r="R67" s="2431" t="s">
        <v>2416</v>
      </c>
    </row>
    <row r="68" spans="1:18" ht="21.75" thickBot="1">
      <c r="A68" s="788"/>
      <c r="B68" s="789"/>
      <c r="C68" s="790"/>
      <c r="D68" s="823" t="s">
        <v>1807</v>
      </c>
      <c r="E68" s="786" t="s">
        <v>1783</v>
      </c>
      <c r="F68" s="824">
        <f ca="1">F41</f>
        <v>0</v>
      </c>
      <c r="O68" s="2429" t="s">
        <v>2385</v>
      </c>
      <c r="P68" s="2427" t="s">
        <v>2415</v>
      </c>
      <c r="Q68" s="2433">
        <f ca="1">L51</f>
        <v>-27212</v>
      </c>
      <c r="R68" s="2434" t="s">
        <v>2418</v>
      </c>
    </row>
    <row r="69" spans="1:18" ht="20.25" thickBot="1">
      <c r="A69" s="792"/>
      <c r="B69" s="793"/>
      <c r="C69" s="794"/>
      <c r="D69" s="818"/>
      <c r="E69" s="786" t="s">
        <v>711</v>
      </c>
      <c r="F69" s="2375"/>
      <c r="O69" s="2429" t="s">
        <v>2386</v>
      </c>
      <c r="P69" s="2435" t="s">
        <v>2400</v>
      </c>
      <c r="Q69" s="2428">
        <f ca="1">ROUND(Q70-Q71*Q72,0)</f>
        <v>-1420</v>
      </c>
      <c r="R69" s="2431"/>
    </row>
    <row r="70" spans="1:18" ht="15.75" thickBot="1">
      <c r="A70" s="825" t="s">
        <v>1786</v>
      </c>
      <c r="B70" s="826" t="s">
        <v>1809</v>
      </c>
      <c r="C70" s="827">
        <f ca="1">ROUND(C67*10000/F70,0)</f>
        <v>0</v>
      </c>
      <c r="D70" s="828" t="s">
        <v>1810</v>
      </c>
      <c r="E70" s="829" t="s">
        <v>1811</v>
      </c>
      <c r="F70" s="830">
        <f ca="1">F43</f>
        <v>90798.46</v>
      </c>
      <c r="O70" s="2429" t="s">
        <v>2401</v>
      </c>
      <c r="P70" s="2435" t="s">
        <v>2402</v>
      </c>
      <c r="Q70" s="2428">
        <f ca="1">C39</f>
        <v>-1420</v>
      </c>
      <c r="R70" s="2427" t="s">
        <v>2382</v>
      </c>
    </row>
    <row r="71" spans="1:18" ht="15.75" thickBot="1">
      <c r="O71" s="2429" t="s">
        <v>2403</v>
      </c>
      <c r="P71" s="2435" t="s">
        <v>2404</v>
      </c>
      <c r="Q71" s="2428">
        <f ca="1">C13</f>
        <v>0</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0</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A6" sqref="A6:K36"/>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4">
        <f>MATCH(B1,'数据-取费表'!A6:A16,0)+5</f>
        <v>9</v>
      </c>
    </row>
    <row r="2" spans="1:31" s="2045" customFormat="1" ht="18" customHeight="1">
      <c r="A2" s="2105" t="s">
        <v>467</v>
      </c>
      <c r="B2" s="2109">
        <f ca="1">C36</f>
        <v>164929</v>
      </c>
      <c r="C2" s="2108"/>
      <c r="D2" s="2108"/>
      <c r="E2" s="2108"/>
      <c r="F2" s="2108"/>
      <c r="G2" s="2108"/>
      <c r="H2" s="2108"/>
      <c r="I2" s="2108"/>
      <c r="J2" s="2108"/>
      <c r="K2" s="2108"/>
    </row>
    <row r="3" spans="1:31" s="2045" customFormat="1" ht="18" customHeight="1">
      <c r="A3" s="2110" t="s">
        <v>1683</v>
      </c>
      <c r="B3" s="2111">
        <f ca="1">ROUND(B2*10000/IF(B1="",'数据-汇总表'!E3,INDIRECT("'数据-取费表'!K"&amp;$K$1)),0)</f>
        <v>12679</v>
      </c>
      <c r="C3" s="2108"/>
      <c r="D3" s="2108"/>
      <c r="E3" s="2108"/>
      <c r="F3" s="2108"/>
      <c r="G3" s="2108"/>
      <c r="H3" s="2108"/>
      <c r="I3" s="2108"/>
      <c r="J3" s="2108"/>
      <c r="K3" s="2108"/>
    </row>
    <row r="4" spans="1:31" s="2045" customFormat="1" ht="18" customHeight="1">
      <c r="A4" s="428" t="s">
        <v>468</v>
      </c>
      <c r="B4" s="429">
        <f ca="1">ROUND(B2*10000/IF(B1="",'数据-汇总表'!D3,INDIRECT("'数据-取费表'!R"&amp;$K$1)),0)</f>
        <v>165429</v>
      </c>
      <c r="C4" s="430"/>
      <c r="D4" s="424"/>
      <c r="E4" s="424"/>
      <c r="F4" s="424"/>
      <c r="G4" s="424"/>
      <c r="H4" s="424"/>
      <c r="I4" s="424"/>
      <c r="J4" s="424"/>
      <c r="K4" s="424"/>
    </row>
    <row r="5" spans="1:31" s="2045" customFormat="1" ht="18" customHeight="1" thickBot="1">
      <c r="A5" s="431"/>
      <c r="B5" s="432">
        <f ca="1">ROUND(B2/(IF(B1="",'数据-汇总表'!D3,INDIRECT("'数据-取费表'!R"&amp;$K$1))/666.67),0)</f>
        <v>11029</v>
      </c>
      <c r="C5" s="433" t="s">
        <v>469</v>
      </c>
      <c r="D5" s="424"/>
      <c r="E5" s="424"/>
      <c r="F5" s="424"/>
      <c r="G5" s="424"/>
      <c r="H5" s="424"/>
      <c r="I5" s="424"/>
      <c r="J5" s="424"/>
      <c r="K5" s="424"/>
    </row>
    <row r="6" spans="1:31" s="2115" customFormat="1" ht="16.5" customHeight="1">
      <c r="A6" s="2858" t="s">
        <v>1841</v>
      </c>
      <c r="B6" s="2859"/>
      <c r="C6" s="2860">
        <f ca="1">SUM(C10:K10)</f>
        <v>327424</v>
      </c>
      <c r="D6" s="2859"/>
      <c r="E6" s="2859"/>
      <c r="F6" s="2859"/>
      <c r="G6" s="2859"/>
      <c r="H6" s="2859"/>
      <c r="I6" s="2859"/>
      <c r="J6" s="2859"/>
      <c r="K6" s="2861"/>
    </row>
    <row r="7" spans="1:31" s="2117" customFormat="1" ht="15">
      <c r="A7" s="2862" t="s">
        <v>470</v>
      </c>
      <c r="B7" s="2863" t="s">
        <v>471</v>
      </c>
      <c r="C7" s="438" t="s">
        <v>1679</v>
      </c>
      <c r="D7" s="438" t="s">
        <v>2983</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1844</v>
      </c>
      <c r="B8" s="260" t="s">
        <v>472</v>
      </c>
      <c r="C8" s="2864">
        <f>'不动产比较法-办公'!B3</f>
        <v>31088</v>
      </c>
      <c r="D8" s="2864">
        <f ca="1">'不动产收益法（商业）'!B3</f>
        <v>20763</v>
      </c>
      <c r="E8" s="2864">
        <f ca="1">'不动产收益法（车库）'!B3</f>
        <v>3390</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1845</v>
      </c>
      <c r="B9" s="260" t="s">
        <v>473</v>
      </c>
      <c r="C9" s="443">
        <f>SUMIF('数据-汇总表'!$C19:$C33,'剩余法-待开发'!C7,'数据-汇总表'!$E19:$E33)</f>
        <v>90798.46</v>
      </c>
      <c r="D9" s="443">
        <f>SUMIF('数据-汇总表'!$C19:$C33,'剩余法-待开发'!D7,'数据-汇总表'!$E19:$E33)</f>
        <v>20555.32</v>
      </c>
      <c r="E9" s="443">
        <f>SUMIF('数据-汇总表'!$C19:$C33,'剩余法-待开发'!E7,'数据-汇总表'!$E19:$E33)</f>
        <v>7289.2300000000014</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1846</v>
      </c>
      <c r="B10" s="2852" t="s">
        <v>474</v>
      </c>
      <c r="C10" s="3058">
        <f>'不动产比较法-办公'!B2</f>
        <v>282274</v>
      </c>
      <c r="D10" s="3058">
        <f ca="1">'不动产收益法（商业）'!B2</f>
        <v>42679</v>
      </c>
      <c r="E10" s="3058">
        <f ca="1">'不动产收益法（车库）'!B2</f>
        <v>2471</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1842</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1847</v>
      </c>
      <c r="B13" s="2873" t="s">
        <v>479</v>
      </c>
      <c r="C13" s="452">
        <f ca="1">IF(B1="",'数据-取费表'!P16,INDIRECT("'数据-取费表'!p"&amp;$K$1)+INDIRECT("'数据-取费表'!t"&amp;$K$1))</f>
        <v>49586</v>
      </c>
      <c r="D13" s="2874"/>
      <c r="E13" s="2875"/>
      <c r="F13" s="2876"/>
      <c r="G13" s="2842"/>
      <c r="H13" s="2843"/>
      <c r="I13" s="2843"/>
      <c r="J13" s="2843"/>
      <c r="K13" s="2844"/>
    </row>
    <row r="14" spans="1:31" s="2120" customFormat="1" ht="13.5" customHeight="1">
      <c r="A14" s="2872" t="s">
        <v>1848</v>
      </c>
      <c r="B14" s="2873" t="s">
        <v>480</v>
      </c>
      <c r="C14" s="53">
        <f ca="1">ROUND(C13*F14,0)</f>
        <v>1488</v>
      </c>
      <c r="D14" s="2874"/>
      <c r="E14" s="2875"/>
      <c r="F14" s="2877">
        <f>'数据-取费表'!B33</f>
        <v>0.03</v>
      </c>
      <c r="G14" s="2842" t="s">
        <v>481</v>
      </c>
      <c r="H14" s="2843"/>
      <c r="I14" s="2843"/>
      <c r="J14" s="2843"/>
      <c r="K14" s="2844"/>
    </row>
    <row r="15" spans="1:31" s="2120" customFormat="1" ht="13.5" customHeight="1">
      <c r="A15" s="2872" t="s">
        <v>1849</v>
      </c>
      <c r="B15" s="2873" t="s">
        <v>482</v>
      </c>
      <c r="C15" s="53">
        <f ca="1">ROUND(IF(B1="",SUMIF('数据-取费表'!C:C,"住宅",'数据-取费表'!P:P)*F15,IF(INDIRECT("'数据-取费表'!c"&amp;$K$1)="住宅",INDIRECT("'数据-取费表'!P"&amp;$K$1)*F15,0)),0)</f>
        <v>0</v>
      </c>
      <c r="D15" s="2874"/>
      <c r="E15" s="2875"/>
      <c r="F15" s="2877">
        <f>'数据-取费表'!B34</f>
        <v>0</v>
      </c>
      <c r="G15" s="2842" t="s">
        <v>483</v>
      </c>
      <c r="H15" s="2843"/>
      <c r="I15" s="2843"/>
      <c r="J15" s="2843"/>
      <c r="K15" s="2844"/>
    </row>
    <row r="16" spans="1:31" s="2121" customFormat="1" ht="13.5" customHeight="1">
      <c r="A16" s="2872" t="s">
        <v>1850</v>
      </c>
      <c r="B16" s="2873" t="s">
        <v>484</v>
      </c>
      <c r="C16" s="53">
        <f ca="1">ROUND(D16*E16/10000,0)</f>
        <v>2602</v>
      </c>
      <c r="D16" s="2874">
        <f ca="1">IF(B1="",'数据-汇总表'!E3,INDIRECT("'数据-取费表'!K"&amp;$K$1)+INDIRECT("'数据-取费表'!S"&amp;$K$1))</f>
        <v>130076.72</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1851</v>
      </c>
      <c r="B17" s="2873" t="s">
        <v>485</v>
      </c>
      <c r="C17" s="2878">
        <f ca="1">ROUND(C13*F17,0)</f>
        <v>744</v>
      </c>
      <c r="D17" s="477"/>
      <c r="E17" s="2878"/>
      <c r="F17" s="2879">
        <f>'数据-取费表'!B36</f>
        <v>1.4999999999999999E-2</v>
      </c>
      <c r="G17" s="260" t="s">
        <v>486</v>
      </c>
      <c r="H17" s="2845"/>
      <c r="I17" s="2845"/>
      <c r="J17" s="2845"/>
      <c r="K17" s="278"/>
    </row>
    <row r="18" spans="1:14" s="2120" customFormat="1" ht="13.5" customHeight="1">
      <c r="A18" s="2880" t="s">
        <v>1852</v>
      </c>
      <c r="B18" s="2881" t="s">
        <v>487</v>
      </c>
      <c r="C18" s="2882">
        <f ca="1">SUM(C13:C17)</f>
        <v>54420</v>
      </c>
      <c r="D18" s="2883"/>
      <c r="E18" s="470"/>
      <c r="F18" s="470"/>
      <c r="G18" s="2846" t="s">
        <v>2432</v>
      </c>
      <c r="H18" s="2847"/>
      <c r="I18" s="2847"/>
      <c r="J18" s="2847"/>
      <c r="K18" s="2848"/>
    </row>
    <row r="19" spans="1:14" s="2120" customFormat="1" ht="13.5" customHeight="1">
      <c r="A19" s="2880" t="s">
        <v>1853</v>
      </c>
      <c r="B19" s="2881" t="s">
        <v>488</v>
      </c>
      <c r="C19" s="2838">
        <f ca="1">ROUND(D19*E19/10000,0)</f>
        <v>0</v>
      </c>
      <c r="D19" s="2884">
        <f ca="1">D16</f>
        <v>130076.72</v>
      </c>
      <c r="E19" s="2838">
        <f>'数据-取费表'!B32</f>
        <v>0</v>
      </c>
      <c r="F19" s="470"/>
      <c r="G19" s="2842" t="s">
        <v>489</v>
      </c>
      <c r="H19" s="2843"/>
      <c r="I19" s="2847"/>
      <c r="J19" s="2847"/>
      <c r="K19" s="2848"/>
    </row>
    <row r="20" spans="1:14" s="2120" customFormat="1" ht="13.5" customHeight="1">
      <c r="A20" s="2880" t="s">
        <v>1854</v>
      </c>
      <c r="B20" s="2881" t="s">
        <v>490</v>
      </c>
      <c r="C20" s="2838">
        <f ca="1">C21+C22-IF(B1="",'数据-取费表'!B29,IF(G20="已全部缴纳",C21+C22,H20))</f>
        <v>2602</v>
      </c>
      <c r="D20" s="2884"/>
      <c r="E20" s="2838"/>
      <c r="F20" s="2885"/>
      <c r="G20" s="3117"/>
      <c r="H20" s="2840"/>
      <c r="I20" s="2841" t="s">
        <v>2657</v>
      </c>
      <c r="J20" s="2847"/>
      <c r="K20" s="2848"/>
    </row>
    <row r="21" spans="1:14" s="2120" customFormat="1" ht="13.5" customHeight="1">
      <c r="A21" s="2872" t="s">
        <v>1855</v>
      </c>
      <c r="B21" s="2873" t="s">
        <v>491</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1856</v>
      </c>
      <c r="B22" s="2873" t="s">
        <v>492</v>
      </c>
      <c r="C22" s="53">
        <f ca="1">ROUND(D22*E22/10000,0)</f>
        <v>2602</v>
      </c>
      <c r="D22" s="2874">
        <f ca="1">IF(B1="",'数据-汇总表'!E6,IF(INDIRECT("'数据-取费表'!c"&amp;$K$1)="住宅",INDIRECT("'数据-取费表'!s"&amp;$K$1),INDIRECT("'数据-取费表'!k"&amp;$K$1)+INDIRECT("'数据-取费表'!s"&amp;$K$1)))</f>
        <v>130076.72</v>
      </c>
      <c r="E22" s="53">
        <f>'数据-取费表'!B28</f>
        <v>200</v>
      </c>
      <c r="F22" s="2877"/>
      <c r="G22" s="26"/>
      <c r="H22" s="51"/>
      <c r="I22" s="51"/>
      <c r="J22" s="51"/>
      <c r="K22" s="2849"/>
    </row>
    <row r="23" spans="1:14" s="2120" customFormat="1" ht="13.5" customHeight="1">
      <c r="A23" s="2880" t="s">
        <v>1857</v>
      </c>
      <c r="B23" s="3064" t="s">
        <v>2840</v>
      </c>
      <c r="C23" s="2882">
        <f ca="1">ROUND((C18+C19+C20)*F23,0)</f>
        <v>1140</v>
      </c>
      <c r="D23" s="470"/>
      <c r="E23" s="470"/>
      <c r="F23" s="2886">
        <f>'数据-取费表'!B37</f>
        <v>0.02</v>
      </c>
      <c r="G23" s="2842" t="s">
        <v>2433</v>
      </c>
      <c r="H23" s="2843"/>
      <c r="I23" s="2843"/>
      <c r="J23" s="2843"/>
      <c r="K23" s="2844"/>
      <c r="L23" s="2122"/>
      <c r="M23" s="2122"/>
      <c r="N23" s="2122"/>
    </row>
    <row r="24" spans="1:14" s="2120" customFormat="1" ht="13.5" customHeight="1">
      <c r="A24" s="2880" t="s">
        <v>1858</v>
      </c>
      <c r="B24" s="3064" t="s">
        <v>2843</v>
      </c>
      <c r="C24" s="2882">
        <f ca="1">ROUND(C6*F24,0)</f>
        <v>6548</v>
      </c>
      <c r="D24" s="477"/>
      <c r="E24" s="475"/>
      <c r="F24" s="2886">
        <f>'数据-取费表'!B38</f>
        <v>0.02</v>
      </c>
      <c r="G24" s="2851" t="s">
        <v>499</v>
      </c>
      <c r="H24" s="2845"/>
      <c r="I24" s="2845"/>
      <c r="J24" s="2845"/>
      <c r="K24" s="278"/>
      <c r="L24" s="2122"/>
      <c r="M24" s="2122"/>
      <c r="N24" s="2122"/>
    </row>
    <row r="25" spans="1:14" s="2123" customFormat="1" ht="13.5" customHeight="1">
      <c r="A25" s="2880" t="s">
        <v>1859</v>
      </c>
      <c r="B25" s="3064" t="s">
        <v>2841</v>
      </c>
      <c r="C25" s="469">
        <f>ROUND(F25/(1+'数据-取费表'!C42),4)</f>
        <v>2.9000000000000001E-2</v>
      </c>
      <c r="D25" s="464" t="s">
        <v>2835</v>
      </c>
      <c r="E25" s="471"/>
      <c r="F25" s="2886">
        <f>'数据-取费表'!B48+'数据-取费表'!B49</f>
        <v>3.0499999999999999E-2</v>
      </c>
      <c r="G25" s="2850" t="s">
        <v>2290</v>
      </c>
      <c r="H25" s="2843"/>
      <c r="I25" s="2843"/>
      <c r="J25" s="2843"/>
      <c r="K25" s="2844"/>
    </row>
    <row r="26" spans="1:14" s="2122" customFormat="1" ht="13.5" customHeight="1">
      <c r="A26" s="2880" t="s">
        <v>1860</v>
      </c>
      <c r="B26" s="3065" t="s">
        <v>2842</v>
      </c>
      <c r="C26" s="2887">
        <f ca="1">C28</f>
        <v>3074</v>
      </c>
      <c r="D26" s="469">
        <f ca="1">C27</f>
        <v>0.10009999999999999</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1855</v>
      </c>
      <c r="B27" s="2888" t="s">
        <v>496</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1856</v>
      </c>
      <c r="B28" s="2888" t="s">
        <v>2844</v>
      </c>
      <c r="C28" s="2890">
        <f ca="1">ROUND(IF('数据-取费表'!B22&lt;=1,(C18+C19+C20+C23+C24)*F26*'数据-取费表'!B24/2,(C18+C19+C20+C23+C24)*(POWER((1+F26),'数据-取费表'!B24/2)-1)),0)</f>
        <v>3074</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1861</v>
      </c>
      <c r="B29" s="2881" t="s">
        <v>497</v>
      </c>
      <c r="C29" s="2882">
        <f ca="1">ROUND(C6*F29/(1+'数据-取费表'!C42),0)</f>
        <v>17151</v>
      </c>
      <c r="D29" s="470"/>
      <c r="E29" s="470"/>
      <c r="F29" s="3066">
        <f>'数据-取费表'!B41</f>
        <v>5.5000000000000007E-2</v>
      </c>
      <c r="G29" s="2851" t="s">
        <v>498</v>
      </c>
      <c r="H29" s="2843"/>
      <c r="I29" s="2843"/>
      <c r="J29" s="2843"/>
      <c r="K29" s="2844"/>
    </row>
    <row r="30" spans="1:14" s="2125" customFormat="1" ht="13.5" customHeight="1">
      <c r="A30" s="1638" t="s">
        <v>1862</v>
      </c>
      <c r="B30" s="2892" t="s">
        <v>500</v>
      </c>
      <c r="C30" s="2887">
        <f ca="1">C31</f>
        <v>84935</v>
      </c>
      <c r="D30" s="479">
        <f ca="1">C32</f>
        <v>0.12909999999999999</v>
      </c>
      <c r="E30" s="471" t="s">
        <v>495</v>
      </c>
      <c r="F30" s="473"/>
      <c r="G30" s="2842" t="s">
        <v>501</v>
      </c>
      <c r="H30" s="2843"/>
      <c r="I30" s="2843"/>
      <c r="J30" s="2843"/>
      <c r="K30" s="2844"/>
    </row>
    <row r="31" spans="1:14" s="2124" customFormat="1" ht="13.5" customHeight="1">
      <c r="A31" s="805" t="s">
        <v>1855</v>
      </c>
      <c r="B31" s="2888"/>
      <c r="C31" s="452">
        <f ca="1">C18+C19+C20+C23+C24+C26+C29</f>
        <v>84935</v>
      </c>
      <c r="D31" s="474"/>
      <c r="E31" s="475"/>
      <c r="F31" s="476"/>
      <c r="G31" s="260"/>
      <c r="H31" s="2845"/>
      <c r="I31" s="2845"/>
      <c r="J31" s="2845"/>
      <c r="K31" s="278"/>
    </row>
    <row r="32" spans="1:14" s="2124" customFormat="1" ht="13.5" customHeight="1">
      <c r="A32" s="805" t="s">
        <v>1856</v>
      </c>
      <c r="B32" s="2888"/>
      <c r="C32" s="53">
        <f ca="1">ROUND(C25+D26,4)</f>
        <v>0.12909999999999999</v>
      </c>
      <c r="D32" s="474"/>
      <c r="E32" s="475"/>
      <c r="F32" s="476"/>
      <c r="G32" s="260"/>
      <c r="H32" s="2845"/>
      <c r="I32" s="2845"/>
      <c r="J32" s="2845"/>
      <c r="K32" s="278"/>
    </row>
    <row r="33" spans="1:11" s="2126" customFormat="1" ht="13.5" customHeight="1">
      <c r="A33" s="3063" t="s">
        <v>2839</v>
      </c>
      <c r="B33" s="3061" t="s">
        <v>2837</v>
      </c>
      <c r="C33" s="480">
        <f ca="1">C35</f>
        <v>15530</v>
      </c>
      <c r="D33" s="469">
        <f ca="1">C34</f>
        <v>0.247</v>
      </c>
      <c r="E33" s="471" t="s">
        <v>495</v>
      </c>
      <c r="F33" s="481">
        <f ca="1">IF(B1="",'数据-取费表'!Q16,INDIRECT("'数据-取费表'!q"&amp;$K$1))</f>
        <v>0.24</v>
      </c>
      <c r="G33" s="2846"/>
      <c r="H33" s="2847"/>
      <c r="I33" s="2847"/>
      <c r="J33" s="2847"/>
      <c r="K33" s="2848"/>
    </row>
    <row r="34" spans="1:11" s="2127" customFormat="1" ht="13.5" customHeight="1">
      <c r="A34" s="377" t="s">
        <v>1855</v>
      </c>
      <c r="B34" s="2893" t="s">
        <v>502</v>
      </c>
      <c r="C34" s="474">
        <f ca="1">ROUND((1+C25)*F33,4)</f>
        <v>0.247</v>
      </c>
      <c r="D34" s="474"/>
      <c r="E34" s="475"/>
      <c r="F34" s="482"/>
      <c r="G34" s="260" t="s">
        <v>2291</v>
      </c>
      <c r="H34" s="2845"/>
      <c r="I34" s="2845"/>
      <c r="J34" s="2845"/>
      <c r="K34" s="278"/>
    </row>
    <row r="35" spans="1:11" s="2127" customFormat="1" ht="13.5" customHeight="1" thickBot="1">
      <c r="A35" s="1639" t="s">
        <v>1856</v>
      </c>
      <c r="B35" s="3062" t="s">
        <v>2845</v>
      </c>
      <c r="C35" s="1631">
        <f ca="1">ROUND((C18+C19+C20+C23+C24)*F33,0)</f>
        <v>15530</v>
      </c>
      <c r="D35" s="1632"/>
      <c r="E35" s="2894"/>
      <c r="F35" s="1633"/>
      <c r="G35" s="2852"/>
      <c r="H35" s="2853"/>
      <c r="I35" s="2853"/>
      <c r="J35" s="2853"/>
      <c r="K35" s="2854"/>
    </row>
    <row r="36" spans="1:11" s="2089" customFormat="1" ht="13.5" customHeight="1" thickBot="1">
      <c r="A36" s="283" t="s">
        <v>1843</v>
      </c>
      <c r="B36" s="2856"/>
      <c r="C36" s="2895">
        <f ca="1">ROUND((C6-C30-C33)/(1+D30+D33),0)</f>
        <v>164929</v>
      </c>
      <c r="D36" s="2856"/>
      <c r="E36" s="2856"/>
      <c r="F36" s="2856"/>
      <c r="G36" s="2855" t="s">
        <v>2846</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 sqref="B2"/>
    </sheetView>
  </sheetViews>
  <sheetFormatPr defaultRowHeight="14.25"/>
  <cols>
    <col min="1" max="1" width="10.5" style="1339" customWidth="1"/>
    <col min="2" max="2" width="15.75" style="1339" customWidth="1"/>
    <col min="3" max="3" width="18.8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778</v>
      </c>
      <c r="C1" s="506" t="s">
        <v>721</v>
      </c>
      <c r="D1" s="851" t="s">
        <v>1679</v>
      </c>
      <c r="E1" s="508"/>
      <c r="F1" s="2837" t="s">
        <v>3140</v>
      </c>
      <c r="G1" s="1604" t="s">
        <v>722</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467</v>
      </c>
      <c r="B2" s="852">
        <f>ROUND(B3*D3/10000,0)</f>
        <v>282274</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520</v>
      </c>
      <c r="B3" s="512">
        <f>C50</f>
        <v>31088</v>
      </c>
      <c r="C3" s="854" t="s">
        <v>723</v>
      </c>
      <c r="D3" s="853">
        <f>SUMIF('数据-汇总表'!$C19:$C33,D1,'数据-汇总表'!$E19:$E33)</f>
        <v>90798.46</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522</v>
      </c>
      <c r="B4" s="515"/>
      <c r="C4" s="3383" t="s">
        <v>523</v>
      </c>
      <c r="D4" s="3384"/>
      <c r="E4" s="3407" t="s">
        <v>524</v>
      </c>
      <c r="F4" s="3408"/>
      <c r="G4" s="3383" t="s">
        <v>525</v>
      </c>
      <c r="H4" s="3384"/>
      <c r="I4" s="3383" t="s">
        <v>526</v>
      </c>
      <c r="J4" s="3384"/>
      <c r="K4" s="516" t="s">
        <v>527</v>
      </c>
      <c r="L4" s="2137"/>
      <c r="M4" s="2138"/>
      <c r="N4" s="2138"/>
      <c r="O4" s="2138"/>
      <c r="P4" s="3459" t="s">
        <v>528</v>
      </c>
      <c r="Q4" s="3386"/>
      <c r="R4" s="3371" t="s">
        <v>524</v>
      </c>
      <c r="S4" s="3372"/>
      <c r="T4" s="3371" t="s">
        <v>525</v>
      </c>
      <c r="U4" s="3372"/>
      <c r="V4" s="3391" t="s">
        <v>526</v>
      </c>
      <c r="W4" s="3391"/>
      <c r="X4" s="1570"/>
      <c r="Y4" s="3371" t="s">
        <v>528</v>
      </c>
      <c r="Z4" s="3372"/>
      <c r="AA4" s="3366" t="s">
        <v>524</v>
      </c>
      <c r="AB4" s="3366" t="s">
        <v>525</v>
      </c>
      <c r="AC4" s="3366" t="s">
        <v>526</v>
      </c>
    </row>
    <row r="5" spans="1:29" ht="15">
      <c r="A5" s="517"/>
      <c r="B5" s="518"/>
      <c r="C5" s="3394" t="s">
        <v>2932</v>
      </c>
      <c r="D5" s="3395"/>
      <c r="E5" s="3455" t="s">
        <v>3141</v>
      </c>
      <c r="F5" s="3456"/>
      <c r="G5" s="3457" t="s">
        <v>3150</v>
      </c>
      <c r="H5" s="3458"/>
      <c r="I5" s="3457" t="s">
        <v>3151</v>
      </c>
      <c r="J5" s="3458"/>
      <c r="K5" s="516"/>
      <c r="L5" s="2137"/>
      <c r="M5" s="2138"/>
      <c r="N5" s="2138"/>
      <c r="O5" s="2138"/>
      <c r="P5" s="3460"/>
      <c r="Q5" s="3388"/>
      <c r="R5" s="3373"/>
      <c r="S5" s="3374"/>
      <c r="T5" s="3373"/>
      <c r="U5" s="3374"/>
      <c r="V5" s="3391"/>
      <c r="W5" s="3391"/>
      <c r="X5" s="1570"/>
      <c r="Y5" s="3373"/>
      <c r="Z5" s="3374"/>
      <c r="AA5" s="3367"/>
      <c r="AB5" s="3367"/>
      <c r="AC5" s="3367"/>
    </row>
    <row r="6" spans="1:29" ht="15.75" thickBot="1">
      <c r="A6" s="519"/>
      <c r="B6" s="520"/>
      <c r="C6" s="3392" t="s">
        <v>2936</v>
      </c>
      <c r="D6" s="3393"/>
      <c r="E6" s="3504" t="s">
        <v>3176</v>
      </c>
      <c r="F6" s="3412"/>
      <c r="G6" s="3503" t="s">
        <v>3175</v>
      </c>
      <c r="H6" s="3393"/>
      <c r="I6" s="3503" t="s">
        <v>3174</v>
      </c>
      <c r="J6" s="3393"/>
      <c r="K6" s="516" t="s">
        <v>529</v>
      </c>
      <c r="L6" s="2137"/>
      <c r="M6" s="2138"/>
      <c r="N6" s="2138"/>
      <c r="O6" s="2138"/>
      <c r="P6" s="3461"/>
      <c r="Q6" s="3390"/>
      <c r="R6" s="3373"/>
      <c r="S6" s="3374"/>
      <c r="T6" s="3375"/>
      <c r="U6" s="3376"/>
      <c r="V6" s="3391"/>
      <c r="W6" s="3391"/>
      <c r="X6" s="1570"/>
      <c r="Y6" s="3375"/>
      <c r="Z6" s="3376"/>
      <c r="AA6" s="3368"/>
      <c r="AB6" s="3368"/>
      <c r="AC6" s="3368"/>
    </row>
    <row r="7" spans="1:29" s="1222" customFormat="1" ht="15.75" thickBot="1">
      <c r="A7" s="2942"/>
      <c r="B7" s="2949" t="s">
        <v>530</v>
      </c>
      <c r="C7" s="521">
        <f>'数据-取费表'!B2</f>
        <v>43035</v>
      </c>
      <c r="D7" s="522">
        <v>100</v>
      </c>
      <c r="E7" s="523">
        <v>43009</v>
      </c>
      <c r="F7" s="524">
        <f>SUMIF(59:59,YEAR(E7)&amp;"-"&amp;MONTH(E7),60:60)</f>
        <v>100</v>
      </c>
      <c r="G7" s="523">
        <v>43009</v>
      </c>
      <c r="H7" s="522">
        <f>SUMIF(59:59,YEAR(G7)&amp;"-"&amp;MONTH(G7),60:60)</f>
        <v>100</v>
      </c>
      <c r="I7" s="523">
        <v>43009</v>
      </c>
      <c r="J7" s="522">
        <f>SUMIF(59:59,YEAR(I7)&amp;"-"&amp;MONTH(I7),60:60)</f>
        <v>100</v>
      </c>
      <c r="K7" s="526"/>
      <c r="L7" s="2139"/>
      <c r="M7" s="2140"/>
      <c r="N7" s="2140"/>
      <c r="O7" s="2140"/>
      <c r="P7" s="3378" t="s">
        <v>531</v>
      </c>
      <c r="Q7" s="3378"/>
      <c r="R7" s="1571" t="s">
        <v>8</v>
      </c>
      <c r="S7" s="1572">
        <f t="shared" ref="S7:S15" si="0">F7</f>
        <v>100</v>
      </c>
      <c r="T7" s="1571" t="s">
        <v>8</v>
      </c>
      <c r="U7" s="1572">
        <f t="shared" ref="U7:U15" si="1">H7</f>
        <v>100</v>
      </c>
      <c r="V7" s="1571" t="s">
        <v>8</v>
      </c>
      <c r="W7" s="1572">
        <f t="shared" ref="W7:W15" si="2">J7</f>
        <v>100</v>
      </c>
      <c r="X7" s="1573"/>
      <c r="Y7" s="3369" t="s">
        <v>531</v>
      </c>
      <c r="Z7" s="3370"/>
      <c r="AA7" s="1574">
        <f>D7/F7</f>
        <v>1</v>
      </c>
      <c r="AB7" s="1574">
        <f>D7/H7</f>
        <v>1</v>
      </c>
      <c r="AC7" s="1574">
        <f>D7/J7</f>
        <v>1</v>
      </c>
    </row>
    <row r="8" spans="1:29" s="1222" customFormat="1" ht="15.75" thickBot="1">
      <c r="A8" s="2943"/>
      <c r="B8" s="2950" t="s">
        <v>532</v>
      </c>
      <c r="C8" s="527" t="s">
        <v>577</v>
      </c>
      <c r="D8" s="522">
        <v>100</v>
      </c>
      <c r="E8" s="527" t="s">
        <v>577</v>
      </c>
      <c r="F8" s="524">
        <f>SUMIF(62:62,E8,63:63)-SUMIF(62:62,C8,63:63)+100</f>
        <v>100</v>
      </c>
      <c r="G8" s="527" t="s">
        <v>577</v>
      </c>
      <c r="H8" s="522">
        <f>SUMIF(62:62,G8,63:63)-SUMIF(62:62,C8,63:63)+100</f>
        <v>100</v>
      </c>
      <c r="I8" s="527" t="s">
        <v>577</v>
      </c>
      <c r="J8" s="522">
        <f>SUMIF(62:62,I8,63:63)-SUMIF(62:62,C8,63:63)+100</f>
        <v>100</v>
      </c>
      <c r="K8" s="526"/>
      <c r="L8" s="2139"/>
      <c r="M8" s="2140"/>
      <c r="N8" s="2140"/>
      <c r="O8" s="2140"/>
      <c r="P8" s="3378" t="s">
        <v>534</v>
      </c>
      <c r="Q8" s="3370"/>
      <c r="R8" s="1571" t="s">
        <v>8</v>
      </c>
      <c r="S8" s="1572">
        <f t="shared" si="0"/>
        <v>100</v>
      </c>
      <c r="T8" s="1571" t="s">
        <v>8</v>
      </c>
      <c r="U8" s="1572">
        <f t="shared" si="1"/>
        <v>100</v>
      </c>
      <c r="V8" s="1571" t="s">
        <v>8</v>
      </c>
      <c r="W8" s="1572">
        <f t="shared" si="2"/>
        <v>100</v>
      </c>
      <c r="X8" s="1573"/>
      <c r="Y8" s="3369" t="s">
        <v>534</v>
      </c>
      <c r="Z8" s="3370"/>
      <c r="AA8" s="1574">
        <f t="shared" ref="AA8:AA47" si="3">D8/F8</f>
        <v>1</v>
      </c>
      <c r="AB8" s="1574">
        <f t="shared" ref="AB8:AB47" si="4">D8/H8</f>
        <v>1</v>
      </c>
      <c r="AC8" s="1574">
        <f t="shared" ref="AC8:AC47" si="5">D8/J8</f>
        <v>1</v>
      </c>
    </row>
    <row r="9" spans="1:29" s="1222" customFormat="1" ht="15">
      <c r="A9" s="2944"/>
      <c r="B9" s="2951" t="s">
        <v>2762</v>
      </c>
      <c r="C9" s="3499" t="s">
        <v>3167</v>
      </c>
      <c r="D9" s="253">
        <v>100</v>
      </c>
      <c r="E9" s="3499" t="s">
        <v>3167</v>
      </c>
      <c r="F9" s="253">
        <f>SUMIF(64:64,E9,65:65)-SUMIF(64:64,C9,65:65)+100</f>
        <v>100</v>
      </c>
      <c r="G9" s="3499" t="s">
        <v>3167</v>
      </c>
      <c r="H9" s="253">
        <f>SUMIF(64:64,G9,65:65)-SUMIF(64:64,C9,65:65)+100</f>
        <v>100</v>
      </c>
      <c r="I9" s="3499" t="s">
        <v>3167</v>
      </c>
      <c r="J9" s="253">
        <f>SUMIF(64:64,I9,65:65)-SUMIF(64:64,C9,65:65)+100</f>
        <v>100</v>
      </c>
      <c r="K9" s="526"/>
      <c r="L9" s="2139"/>
      <c r="M9" s="2140"/>
      <c r="N9" s="2140"/>
      <c r="O9" s="2140"/>
      <c r="P9" s="3377" t="s">
        <v>536</v>
      </c>
      <c r="Q9" s="1153" t="str">
        <f t="shared" ref="Q9:Q15" si="6">B9</f>
        <v>用途</v>
      </c>
      <c r="R9" s="1571" t="s">
        <v>8</v>
      </c>
      <c r="S9" s="1572">
        <f t="shared" si="0"/>
        <v>100</v>
      </c>
      <c r="T9" s="1571" t="s">
        <v>8</v>
      </c>
      <c r="U9" s="1572">
        <f t="shared" si="1"/>
        <v>100</v>
      </c>
      <c r="V9" s="1571" t="s">
        <v>8</v>
      </c>
      <c r="W9" s="1572">
        <f t="shared" si="2"/>
        <v>100</v>
      </c>
      <c r="X9" s="1573"/>
      <c r="Y9" s="3334" t="s">
        <v>537</v>
      </c>
      <c r="Z9" s="1152" t="str">
        <f t="shared" ref="Z9:Z15" si="7">Q9</f>
        <v>用途</v>
      </c>
      <c r="AA9" s="1574">
        <f t="shared" si="3"/>
        <v>1</v>
      </c>
      <c r="AB9" s="1574">
        <f t="shared" si="4"/>
        <v>1</v>
      </c>
      <c r="AC9" s="1574">
        <f t="shared" si="5"/>
        <v>1</v>
      </c>
    </row>
    <row r="10" spans="1:29" s="1340" customFormat="1" ht="27">
      <c r="A10" s="2945"/>
      <c r="B10" s="2950" t="s">
        <v>2763</v>
      </c>
      <c r="C10" s="863" t="s">
        <v>3168</v>
      </c>
      <c r="D10" s="254">
        <v>100</v>
      </c>
      <c r="E10" s="863" t="s">
        <v>3168</v>
      </c>
      <c r="F10" s="254">
        <f>SUMIF(66:66,E10,67:67)-SUMIF(66:66,C10,67:67)+100</f>
        <v>100</v>
      </c>
      <c r="G10" s="863" t="s">
        <v>3168</v>
      </c>
      <c r="H10" s="254">
        <f>SUMIF(66:66,G10,67:67)-SUMIF(66:66,C10,67:67)+100</f>
        <v>100</v>
      </c>
      <c r="I10" s="863" t="s">
        <v>3168</v>
      </c>
      <c r="J10" s="254">
        <f>SUMIF(66:66,I10,67:67)-SUMIF(66:66,C10,67:67)+100</f>
        <v>100</v>
      </c>
      <c r="K10" s="586"/>
      <c r="L10" s="2142"/>
      <c r="M10" s="2182"/>
      <c r="N10" s="2182"/>
      <c r="O10" s="2182"/>
      <c r="P10" s="3377"/>
      <c r="Q10" s="1153" t="str">
        <f t="shared" si="6"/>
        <v>土地使用年限（年）</v>
      </c>
      <c r="R10" s="1571" t="s">
        <v>8</v>
      </c>
      <c r="S10" s="1572">
        <f t="shared" si="0"/>
        <v>100</v>
      </c>
      <c r="T10" s="1571" t="s">
        <v>8</v>
      </c>
      <c r="U10" s="1572">
        <f t="shared" si="1"/>
        <v>100</v>
      </c>
      <c r="V10" s="1571" t="s">
        <v>8</v>
      </c>
      <c r="W10" s="1572">
        <f t="shared" si="2"/>
        <v>100</v>
      </c>
      <c r="X10" s="1573"/>
      <c r="Y10" s="3334"/>
      <c r="Z10" s="1152" t="str">
        <f t="shared" si="7"/>
        <v>土地使用年限（年）</v>
      </c>
      <c r="AA10" s="1574">
        <f t="shared" si="3"/>
        <v>1</v>
      </c>
      <c r="AB10" s="1574">
        <f t="shared" si="4"/>
        <v>1</v>
      </c>
      <c r="AC10" s="1574">
        <f t="shared" si="5"/>
        <v>1</v>
      </c>
    </row>
    <row r="11" spans="1:29" ht="15.75" thickBot="1">
      <c r="A11" s="2946"/>
      <c r="B11" s="2950" t="s">
        <v>2764</v>
      </c>
      <c r="C11" s="535">
        <f>'数据-汇总表'!I6</f>
        <v>11.03</v>
      </c>
      <c r="D11" s="254">
        <v>100</v>
      </c>
      <c r="E11" s="535">
        <v>3.9</v>
      </c>
      <c r="F11" s="254">
        <f>LOOKUP(E11,69:69,70:70)-LOOKUP(C11,69:69,70:70)+100</f>
        <v>108</v>
      </c>
      <c r="G11" s="536">
        <v>4.2</v>
      </c>
      <c r="H11" s="254">
        <f>LOOKUP(G11,69:69,70:70)-LOOKUP(C11,69:69,70:70)+100</f>
        <v>107</v>
      </c>
      <c r="I11" s="535">
        <v>9.1999999999999993</v>
      </c>
      <c r="J11" s="254">
        <f>LOOKUP(I11,69:69,70:70)-LOOKUP(C11,69:69,70:70)+100</f>
        <v>102</v>
      </c>
      <c r="K11" s="586">
        <f>'比较法-住宅、综合'!K13</f>
        <v>1</v>
      </c>
      <c r="L11" s="2144"/>
      <c r="M11" s="2138"/>
      <c r="N11" s="2138"/>
      <c r="O11" s="2138"/>
      <c r="P11" s="3377"/>
      <c r="Q11" s="1153" t="str">
        <f t="shared" si="6"/>
        <v>容积率</v>
      </c>
      <c r="R11" s="1571" t="s">
        <v>8</v>
      </c>
      <c r="S11" s="1572">
        <f t="shared" si="0"/>
        <v>108</v>
      </c>
      <c r="T11" s="1571" t="s">
        <v>8</v>
      </c>
      <c r="U11" s="1572">
        <f t="shared" si="1"/>
        <v>107</v>
      </c>
      <c r="V11" s="1571" t="s">
        <v>8</v>
      </c>
      <c r="W11" s="1572">
        <f t="shared" si="2"/>
        <v>102</v>
      </c>
      <c r="X11" s="1573"/>
      <c r="Y11" s="3334"/>
      <c r="Z11" s="1152" t="str">
        <f t="shared" si="7"/>
        <v>容积率</v>
      </c>
      <c r="AA11" s="1574">
        <f t="shared" si="3"/>
        <v>0.92592592592592593</v>
      </c>
      <c r="AB11" s="1574">
        <f t="shared" si="4"/>
        <v>0.93457943925233644</v>
      </c>
      <c r="AC11" s="1574">
        <f t="shared" si="5"/>
        <v>0.98039215686274506</v>
      </c>
    </row>
    <row r="12" spans="1:29" s="1222" customFormat="1" ht="15" hidden="1">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77"/>
      <c r="Q12" s="1153">
        <f t="shared" si="6"/>
        <v>111</v>
      </c>
      <c r="R12" s="1571" t="s">
        <v>8</v>
      </c>
      <c r="S12" s="1572">
        <f t="shared" si="0"/>
        <v>100</v>
      </c>
      <c r="T12" s="1571" t="s">
        <v>8</v>
      </c>
      <c r="U12" s="1572">
        <f t="shared" si="1"/>
        <v>100</v>
      </c>
      <c r="V12" s="1571" t="s">
        <v>8</v>
      </c>
      <c r="W12" s="1572">
        <f t="shared" si="2"/>
        <v>100</v>
      </c>
      <c r="X12" s="1573"/>
      <c r="Y12" s="3334"/>
      <c r="Z12" s="1152">
        <f t="shared" si="7"/>
        <v>111</v>
      </c>
      <c r="AA12" s="1574">
        <f>D12/F12</f>
        <v>1</v>
      </c>
      <c r="AB12" s="1574">
        <f>D12/H12</f>
        <v>1</v>
      </c>
      <c r="AC12" s="1574">
        <f>D12/J12</f>
        <v>1</v>
      </c>
    </row>
    <row r="13" spans="1:29" ht="15" hidden="1">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77"/>
      <c r="Q13" s="1153">
        <f t="shared" si="6"/>
        <v>111</v>
      </c>
      <c r="R13" s="1571" t="s">
        <v>8</v>
      </c>
      <c r="S13" s="1572">
        <f t="shared" si="0"/>
        <v>100</v>
      </c>
      <c r="T13" s="1571" t="s">
        <v>8</v>
      </c>
      <c r="U13" s="1572">
        <f t="shared" si="1"/>
        <v>100</v>
      </c>
      <c r="V13" s="1571" t="s">
        <v>8</v>
      </c>
      <c r="W13" s="1572">
        <f t="shared" si="2"/>
        <v>100</v>
      </c>
      <c r="X13" s="1573"/>
      <c r="Y13" s="3334"/>
      <c r="Z13" s="1152">
        <f t="shared" si="7"/>
        <v>111</v>
      </c>
      <c r="AA13" s="1574">
        <f t="shared" si="3"/>
        <v>1</v>
      </c>
      <c r="AB13" s="1574">
        <f t="shared" si="4"/>
        <v>1</v>
      </c>
      <c r="AC13" s="1574">
        <f t="shared" si="5"/>
        <v>1</v>
      </c>
    </row>
    <row r="14" spans="1:29" ht="15.75" hidden="1"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77"/>
      <c r="Q14" s="1153">
        <f t="shared" si="6"/>
        <v>111</v>
      </c>
      <c r="R14" s="1571" t="s">
        <v>8</v>
      </c>
      <c r="S14" s="1572">
        <f t="shared" si="0"/>
        <v>100</v>
      </c>
      <c r="T14" s="1571" t="s">
        <v>8</v>
      </c>
      <c r="U14" s="1572">
        <f t="shared" si="1"/>
        <v>100</v>
      </c>
      <c r="V14" s="1571" t="s">
        <v>8</v>
      </c>
      <c r="W14" s="1572">
        <f t="shared" si="2"/>
        <v>100</v>
      </c>
      <c r="X14" s="1573"/>
      <c r="Y14" s="3334"/>
      <c r="Z14" s="1152">
        <f t="shared" si="7"/>
        <v>111</v>
      </c>
      <c r="AA14" s="1574">
        <f t="shared" si="3"/>
        <v>1</v>
      </c>
      <c r="AB14" s="1574">
        <f t="shared" si="4"/>
        <v>1</v>
      </c>
      <c r="AC14" s="1574">
        <f t="shared" si="5"/>
        <v>1</v>
      </c>
    </row>
    <row r="15" spans="1:29" ht="71.25">
      <c r="A15" s="2940" t="s">
        <v>2760</v>
      </c>
      <c r="B15" s="549" t="s">
        <v>543</v>
      </c>
      <c r="C15" s="550" t="str">
        <f>估价对象房地状况!C5</f>
        <v>周边已建成及在建的综合项目有金成府写字楼、瑞都国际中心等，出租率一般，办公集聚程度一般。</v>
      </c>
      <c r="D15" s="551">
        <v>100</v>
      </c>
      <c r="E15" s="3500" t="s">
        <v>3169</v>
      </c>
      <c r="F15" s="551">
        <f>SUMIF(77:77,E16,78:78)-SUMIF(77:77,C16,78:78)+100</f>
        <v>102</v>
      </c>
      <c r="G15" s="3500" t="s">
        <v>3169</v>
      </c>
      <c r="H15" s="551">
        <f>SUMIF(77:77,G16,78:78)-SUMIF(77:77,C16,78:78)+100</f>
        <v>102</v>
      </c>
      <c r="I15" s="3500" t="s">
        <v>3169</v>
      </c>
      <c r="J15" s="551">
        <f>SUMIF(77:77,I16,78:78)-SUMIF(77:77,C16,78:78)+100</f>
        <v>102</v>
      </c>
      <c r="K15" s="900">
        <f>'比较法-住宅、综合'!K21</f>
        <v>2</v>
      </c>
      <c r="L15" s="2146"/>
      <c r="M15" s="2138"/>
      <c r="N15" s="2138"/>
      <c r="O15" s="2138"/>
      <c r="P15" s="3379" t="s">
        <v>541</v>
      </c>
      <c r="Q15" s="1575" t="str">
        <f t="shared" si="6"/>
        <v>办公集聚程度</v>
      </c>
      <c r="R15" s="1576" t="s">
        <v>8</v>
      </c>
      <c r="S15" s="1577">
        <f t="shared" si="0"/>
        <v>102</v>
      </c>
      <c r="T15" s="1576" t="s">
        <v>8</v>
      </c>
      <c r="U15" s="1577">
        <f t="shared" si="1"/>
        <v>102</v>
      </c>
      <c r="V15" s="1576" t="s">
        <v>8</v>
      </c>
      <c r="W15" s="1577">
        <f t="shared" si="2"/>
        <v>102</v>
      </c>
      <c r="X15" s="1570"/>
      <c r="Y15" s="3379" t="s">
        <v>541</v>
      </c>
      <c r="Z15" s="1578" t="str">
        <f t="shared" si="7"/>
        <v>办公集聚程度</v>
      </c>
      <c r="AA15" s="1579">
        <f t="shared" si="3"/>
        <v>0.98039215686274506</v>
      </c>
      <c r="AB15" s="1579">
        <f t="shared" si="4"/>
        <v>0.98039215686274506</v>
      </c>
      <c r="AC15" s="1579">
        <f t="shared" si="5"/>
        <v>0.98039215686274506</v>
      </c>
    </row>
    <row r="16" spans="1:29" ht="15" hidden="1">
      <c r="A16" s="534"/>
      <c r="B16" s="555"/>
      <c r="C16" s="556" t="s">
        <v>3098</v>
      </c>
      <c r="D16" s="557"/>
      <c r="E16" s="578" t="s">
        <v>3099</v>
      </c>
      <c r="F16" s="557"/>
      <c r="G16" s="578" t="s">
        <v>3099</v>
      </c>
      <c r="H16" s="561"/>
      <c r="I16" s="578" t="s">
        <v>3099</v>
      </c>
      <c r="J16" s="557"/>
      <c r="K16" s="901"/>
      <c r="L16" s="2146"/>
      <c r="M16" s="2138"/>
      <c r="N16" s="2138"/>
      <c r="O16" s="2138"/>
      <c r="P16" s="3380"/>
      <c r="Q16" s="1575"/>
      <c r="R16" s="1576"/>
      <c r="S16" s="1577"/>
      <c r="T16" s="1576"/>
      <c r="U16" s="1577"/>
      <c r="V16" s="1576"/>
      <c r="W16" s="1577"/>
      <c r="X16" s="1570"/>
      <c r="Y16" s="3380"/>
      <c r="Z16" s="1578"/>
      <c r="AA16" s="1579">
        <v>1</v>
      </c>
      <c r="AB16" s="1579">
        <v>1</v>
      </c>
      <c r="AC16" s="1579">
        <v>1</v>
      </c>
    </row>
    <row r="17" spans="1:29" ht="99.75">
      <c r="A17" s="534"/>
      <c r="B17" s="562" t="s">
        <v>296</v>
      </c>
      <c r="C17" s="575" t="str">
        <f>估价对象房地状况!C6</f>
        <v>周边路网较为密集。周边有322路、342路、589路、626路等公交线路，紧邻地铁6号线，公交便捷度较好。整体交通便捷度较好。</v>
      </c>
      <c r="D17" s="561">
        <v>100</v>
      </c>
      <c r="E17" s="3501" t="s">
        <v>3170</v>
      </c>
      <c r="F17" s="561">
        <f>SUMIF(79:79,E18,80:80)-SUMIF(79:79,C18,80:80)+100</f>
        <v>100</v>
      </c>
      <c r="G17" s="3501" t="s">
        <v>3170</v>
      </c>
      <c r="H17" s="567">
        <f>SUMIF(79:79,G18,80:80)-SUMIF(79:79,C18,80:80)+100</f>
        <v>100</v>
      </c>
      <c r="I17" s="3501" t="s">
        <v>3170</v>
      </c>
      <c r="J17" s="567">
        <f>SUMIF(79:79,I18,80:80)-SUMIF(79:79,C18,80:80)+100</f>
        <v>100</v>
      </c>
      <c r="K17" s="900">
        <f>'比较法-住宅、综合'!K23</f>
        <v>2</v>
      </c>
      <c r="L17" s="2146"/>
      <c r="M17" s="2138"/>
      <c r="N17" s="2138"/>
      <c r="O17" s="2138"/>
      <c r="P17" s="3380"/>
      <c r="Q17" s="1575" t="str">
        <f>B17</f>
        <v>交通便捷度</v>
      </c>
      <c r="R17" s="1576" t="s">
        <v>8</v>
      </c>
      <c r="S17" s="1577">
        <f>F17</f>
        <v>100</v>
      </c>
      <c r="T17" s="1576" t="s">
        <v>8</v>
      </c>
      <c r="U17" s="1577">
        <f>H17</f>
        <v>100</v>
      </c>
      <c r="V17" s="1576" t="s">
        <v>8</v>
      </c>
      <c r="W17" s="1577">
        <f>J17</f>
        <v>100</v>
      </c>
      <c r="X17" s="1570"/>
      <c r="Y17" s="3380"/>
      <c r="Z17" s="1578" t="str">
        <f>Q17</f>
        <v>交通便捷度</v>
      </c>
      <c r="AA17" s="1579">
        <f t="shared" si="3"/>
        <v>1</v>
      </c>
      <c r="AB17" s="1579">
        <f t="shared" si="4"/>
        <v>1</v>
      </c>
      <c r="AC17" s="1579">
        <f t="shared" si="5"/>
        <v>1</v>
      </c>
    </row>
    <row r="18" spans="1:29" ht="15" hidden="1">
      <c r="A18" s="534"/>
      <c r="B18" s="568"/>
      <c r="C18" s="569" t="s">
        <v>3099</v>
      </c>
      <c r="D18" s="561"/>
      <c r="E18" s="571" t="s">
        <v>3099</v>
      </c>
      <c r="F18" s="561"/>
      <c r="G18" s="571" t="s">
        <v>3099</v>
      </c>
      <c r="H18" s="557"/>
      <c r="I18" s="571" t="s">
        <v>3099</v>
      </c>
      <c r="J18" s="557"/>
      <c r="K18" s="901"/>
      <c r="L18" s="2146"/>
      <c r="M18" s="2138"/>
      <c r="N18" s="2138"/>
      <c r="O18" s="2138"/>
      <c r="P18" s="3380"/>
      <c r="Q18" s="1575"/>
      <c r="R18" s="1576"/>
      <c r="S18" s="1577"/>
      <c r="T18" s="1576"/>
      <c r="U18" s="1577"/>
      <c r="V18" s="1576"/>
      <c r="W18" s="1577"/>
      <c r="X18" s="1570"/>
      <c r="Y18" s="3380"/>
      <c r="Z18" s="1578"/>
      <c r="AA18" s="1579">
        <v>1</v>
      </c>
      <c r="AB18" s="1579">
        <v>1</v>
      </c>
      <c r="AC18" s="1579">
        <v>1</v>
      </c>
    </row>
    <row r="19" spans="1:29" ht="71.25">
      <c r="A19" s="534"/>
      <c r="B19" s="2631" t="s">
        <v>2550</v>
      </c>
      <c r="C19" s="575" t="str">
        <f>估价对象房地状况!C7</f>
        <v>周边分布银行、购物场所、餐饮等配套设施较多，公共设施状况较好。</v>
      </c>
      <c r="D19" s="567">
        <v>100</v>
      </c>
      <c r="E19" s="574" t="s">
        <v>3162</v>
      </c>
      <c r="F19" s="567">
        <f>SUMIF(81:81,E20,82:82)-SUMIF(81:81,C20,82:82)+100</f>
        <v>100</v>
      </c>
      <c r="G19" s="574" t="s">
        <v>3162</v>
      </c>
      <c r="H19" s="561">
        <f>SUMIF(81:81,G20,82:82)-SUMIF(81:81,C20,82:82)+100</f>
        <v>100</v>
      </c>
      <c r="I19" s="574" t="s">
        <v>3162</v>
      </c>
      <c r="J19" s="561">
        <f>SUMIF(81:81,I20,82:82)-SUMIF(81:81,C20,82:82)+100</f>
        <v>100</v>
      </c>
      <c r="K19" s="900">
        <f>'比较法-住宅、综合'!K29</f>
        <v>2</v>
      </c>
      <c r="L19" s="2146"/>
      <c r="M19" s="2138"/>
      <c r="N19" s="2138"/>
      <c r="O19" s="2138"/>
      <c r="P19" s="3380"/>
      <c r="Q19" s="1575" t="str">
        <f>B19</f>
        <v>公共配套设施</v>
      </c>
      <c r="R19" s="1576" t="s">
        <v>8</v>
      </c>
      <c r="S19" s="1577">
        <f>F19</f>
        <v>100</v>
      </c>
      <c r="T19" s="1576" t="s">
        <v>8</v>
      </c>
      <c r="U19" s="1577">
        <f>H19</f>
        <v>100</v>
      </c>
      <c r="V19" s="1576" t="s">
        <v>8</v>
      </c>
      <c r="W19" s="1577">
        <f>J19</f>
        <v>100</v>
      </c>
      <c r="X19" s="1570"/>
      <c r="Y19" s="3380"/>
      <c r="Z19" s="1578" t="str">
        <f>Q19</f>
        <v>公共配套设施</v>
      </c>
      <c r="AA19" s="1579">
        <f t="shared" si="3"/>
        <v>1</v>
      </c>
      <c r="AB19" s="1579">
        <f t="shared" si="4"/>
        <v>1</v>
      </c>
      <c r="AC19" s="1579">
        <f t="shared" si="5"/>
        <v>1</v>
      </c>
    </row>
    <row r="20" spans="1:29" ht="15" hidden="1">
      <c r="A20" s="534"/>
      <c r="B20" s="568"/>
      <c r="C20" s="556" t="s">
        <v>3099</v>
      </c>
      <c r="D20" s="557"/>
      <c r="E20" s="571" t="s">
        <v>3099</v>
      </c>
      <c r="F20" s="557"/>
      <c r="G20" s="571" t="s">
        <v>3099</v>
      </c>
      <c r="H20" s="557"/>
      <c r="I20" s="571" t="s">
        <v>3099</v>
      </c>
      <c r="J20" s="557"/>
      <c r="K20" s="901"/>
      <c r="L20" s="2146"/>
      <c r="M20" s="2138"/>
      <c r="N20" s="2138"/>
      <c r="O20" s="2138"/>
      <c r="P20" s="3380"/>
      <c r="Q20" s="1575"/>
      <c r="R20" s="1576"/>
      <c r="S20" s="1577"/>
      <c r="T20" s="1576"/>
      <c r="U20" s="1577"/>
      <c r="V20" s="1576"/>
      <c r="W20" s="1577"/>
      <c r="X20" s="1570"/>
      <c r="Y20" s="3380"/>
      <c r="Z20" s="1578"/>
      <c r="AA20" s="1579">
        <v>1</v>
      </c>
      <c r="AB20" s="1579">
        <v>1</v>
      </c>
      <c r="AC20" s="1579">
        <v>1</v>
      </c>
    </row>
    <row r="21" spans="1:29" ht="15.75" customHeight="1">
      <c r="A21" s="534"/>
      <c r="B21" s="2619" t="s">
        <v>2562</v>
      </c>
      <c r="C21" s="575" t="str">
        <f>估价对象房地状况!C8</f>
        <v>七通</v>
      </c>
      <c r="D21" s="567">
        <v>100</v>
      </c>
      <c r="E21" s="574" t="s">
        <v>3100</v>
      </c>
      <c r="F21" s="567">
        <f>SUMIF(83:83,E22,84:84)-SUMIF(83:83,C22,84:84)+100</f>
        <v>100</v>
      </c>
      <c r="G21" s="574" t="s">
        <v>3100</v>
      </c>
      <c r="H21" s="567">
        <f>SUMIF(83:83,G22,84:84)-SUMIF(83:83,C22,84:84)+100</f>
        <v>100</v>
      </c>
      <c r="I21" s="574" t="s">
        <v>3100</v>
      </c>
      <c r="J21" s="567">
        <f>SUMIF(83:83,I22,84:84)-SUMIF(83:83,C22,84:84)+100</f>
        <v>100</v>
      </c>
      <c r="K21" s="900"/>
      <c r="L21" s="2146"/>
      <c r="M21" s="2138"/>
      <c r="N21" s="2138"/>
      <c r="O21" s="2138"/>
      <c r="P21" s="3380"/>
      <c r="Q21" s="2607" t="str">
        <f>B21</f>
        <v>基础设施水平</v>
      </c>
      <c r="R21" s="1576" t="s">
        <v>8</v>
      </c>
      <c r="S21" s="1577">
        <f>F21</f>
        <v>100</v>
      </c>
      <c r="T21" s="1576" t="s">
        <v>8</v>
      </c>
      <c r="U21" s="1577">
        <f>H21</f>
        <v>100</v>
      </c>
      <c r="V21" s="1576" t="s">
        <v>8</v>
      </c>
      <c r="W21" s="1577">
        <f>J21</f>
        <v>100</v>
      </c>
      <c r="X21" s="2609"/>
      <c r="Y21" s="3380"/>
      <c r="Z21" s="2608" t="str">
        <f>Q21</f>
        <v>基础设施水平</v>
      </c>
      <c r="AA21" s="1579">
        <f t="shared" ref="AA21" si="8">D21/F21</f>
        <v>1</v>
      </c>
      <c r="AB21" s="1579">
        <f t="shared" ref="AB21" si="9">D21/H21</f>
        <v>1</v>
      </c>
      <c r="AC21" s="1579">
        <f t="shared" ref="AC21" si="10">D21/J21</f>
        <v>1</v>
      </c>
    </row>
    <row r="22" spans="1:29" ht="15" hidden="1">
      <c r="A22" s="534"/>
      <c r="B22" s="580"/>
      <c r="C22" s="569" t="s">
        <v>3100</v>
      </c>
      <c r="D22" s="557"/>
      <c r="E22" s="578" t="s">
        <v>3100</v>
      </c>
      <c r="F22" s="557"/>
      <c r="G22" s="578" t="s">
        <v>3100</v>
      </c>
      <c r="H22" s="557"/>
      <c r="I22" s="578" t="s">
        <v>3100</v>
      </c>
      <c r="J22" s="557"/>
      <c r="K22" s="2630"/>
      <c r="L22" s="2146"/>
      <c r="M22" s="2138"/>
      <c r="N22" s="2138"/>
      <c r="O22" s="2138"/>
      <c r="P22" s="3380"/>
      <c r="Q22" s="2607"/>
      <c r="R22" s="1576"/>
      <c r="S22" s="1577"/>
      <c r="T22" s="1576"/>
      <c r="U22" s="1577"/>
      <c r="V22" s="1576"/>
      <c r="W22" s="1577"/>
      <c r="X22" s="2609"/>
      <c r="Y22" s="3380"/>
      <c r="Z22" s="2608"/>
      <c r="AA22" s="1579">
        <v>1</v>
      </c>
      <c r="AB22" s="1579">
        <v>1</v>
      </c>
      <c r="AC22" s="1579">
        <v>1</v>
      </c>
    </row>
    <row r="23" spans="1:29" ht="123">
      <c r="A23" s="534"/>
      <c r="B23" s="562" t="s">
        <v>779</v>
      </c>
      <c r="C23" s="575" t="str">
        <f>估价对象房地状况!C9</f>
        <v>周边约1公里范围内人文设施较少；周边约1公里范围内有运河奥体公园等，紧邻运河，自然环境较好。综合评价，综合考虑自然及人文环境较好。</v>
      </c>
      <c r="D23" s="561">
        <v>100</v>
      </c>
      <c r="E23" s="566" t="s">
        <v>3173</v>
      </c>
      <c r="F23" s="561">
        <f>SUMIF(85:85,E24,86:86)-SUMIF(85:85,C24,86:86)+100</f>
        <v>100</v>
      </c>
      <c r="G23" s="566" t="s">
        <v>3173</v>
      </c>
      <c r="H23" s="561">
        <f>SUMIF(85:85,G24,86:86)-SUMIF(85:85,C24,86:86)+100</f>
        <v>100</v>
      </c>
      <c r="I23" s="566" t="s">
        <v>3173</v>
      </c>
      <c r="J23" s="561">
        <f>SUMIF(85:85,I24,86:86)-SUMIF(85:85,C24,86:86)+100</f>
        <v>100</v>
      </c>
      <c r="K23" s="900">
        <f>'比较法-住宅、综合'!K27</f>
        <v>2</v>
      </c>
      <c r="L23" s="2146"/>
      <c r="M23" s="2138"/>
      <c r="N23" s="2138"/>
      <c r="O23" s="2138"/>
      <c r="P23" s="3380"/>
      <c r="Q23" s="1575" t="str">
        <f>B23</f>
        <v>环境质量</v>
      </c>
      <c r="R23" s="1576" t="s">
        <v>8</v>
      </c>
      <c r="S23" s="1577">
        <f>F23</f>
        <v>100</v>
      </c>
      <c r="T23" s="1576" t="s">
        <v>8</v>
      </c>
      <c r="U23" s="1577">
        <f>H23</f>
        <v>100</v>
      </c>
      <c r="V23" s="1576" t="s">
        <v>8</v>
      </c>
      <c r="W23" s="1577">
        <f>J23</f>
        <v>100</v>
      </c>
      <c r="X23" s="1570"/>
      <c r="Y23" s="3380"/>
      <c r="Z23" s="1578" t="str">
        <f>Q23</f>
        <v>环境质量</v>
      </c>
      <c r="AA23" s="1579">
        <f t="shared" si="3"/>
        <v>1</v>
      </c>
      <c r="AB23" s="1579">
        <f t="shared" si="4"/>
        <v>1</v>
      </c>
      <c r="AC23" s="1579">
        <f t="shared" si="5"/>
        <v>1</v>
      </c>
    </row>
    <row r="24" spans="1:29" ht="15" hidden="1">
      <c r="A24" s="534"/>
      <c r="B24" s="580"/>
      <c r="C24" s="556" t="s">
        <v>3099</v>
      </c>
      <c r="D24" s="557"/>
      <c r="E24" s="556" t="s">
        <v>3099</v>
      </c>
      <c r="F24" s="557"/>
      <c r="G24" s="556" t="s">
        <v>3099</v>
      </c>
      <c r="H24" s="557"/>
      <c r="I24" s="556" t="s">
        <v>3099</v>
      </c>
      <c r="J24" s="557"/>
      <c r="K24" s="901"/>
      <c r="L24" s="2146"/>
      <c r="M24" s="2138"/>
      <c r="N24" s="2138"/>
      <c r="O24" s="2138"/>
      <c r="P24" s="3380"/>
      <c r="Q24" s="1575"/>
      <c r="R24" s="1576"/>
      <c r="S24" s="1577"/>
      <c r="T24" s="1576"/>
      <c r="U24" s="1577"/>
      <c r="V24" s="1576"/>
      <c r="W24" s="1577"/>
      <c r="X24" s="1570"/>
      <c r="Y24" s="3380"/>
      <c r="Z24" s="1578"/>
      <c r="AA24" s="1579">
        <v>1</v>
      </c>
      <c r="AB24" s="1579">
        <v>1</v>
      </c>
      <c r="AC24" s="1579">
        <v>1</v>
      </c>
    </row>
    <row r="25" spans="1:29" ht="29.25" thickBot="1">
      <c r="A25" s="517"/>
      <c r="B25" s="562" t="s">
        <v>549</v>
      </c>
      <c r="C25" s="914" t="str">
        <f>'比较法-住宅、综合'!C34</f>
        <v>城市次干道——东关大道</v>
      </c>
      <c r="D25" s="542">
        <v>100</v>
      </c>
      <c r="E25" s="3502" t="s">
        <v>3171</v>
      </c>
      <c r="F25" s="542">
        <f>SUMIF(87:87,E26,88:88)-SUMIF(87:87,C26,88:88)+100</f>
        <v>101</v>
      </c>
      <c r="G25" s="3502" t="s">
        <v>3172</v>
      </c>
      <c r="H25" s="542">
        <f>SUMIF(87:87,G26,88:88)-SUMIF(87:87,C26,88:88)+100</f>
        <v>101</v>
      </c>
      <c r="I25" s="3502" t="s">
        <v>3172</v>
      </c>
      <c r="J25" s="542">
        <f>SUMIF(87:87,I26,88:88)-SUMIF(87:87,C26,88:88)+100</f>
        <v>101</v>
      </c>
      <c r="K25" s="900">
        <f>'比较法-住宅、综合'!K34</f>
        <v>1</v>
      </c>
      <c r="L25" s="2146"/>
      <c r="M25" s="2138"/>
      <c r="N25" s="2138"/>
      <c r="O25" s="2138"/>
      <c r="P25" s="3380"/>
      <c r="Q25" s="1575" t="str">
        <f>B25</f>
        <v>毗邻道路的类型与等级</v>
      </c>
      <c r="R25" s="1576" t="s">
        <v>8</v>
      </c>
      <c r="S25" s="1577">
        <f>F25</f>
        <v>101</v>
      </c>
      <c r="T25" s="1576" t="s">
        <v>8</v>
      </c>
      <c r="U25" s="1577">
        <f>H25</f>
        <v>101</v>
      </c>
      <c r="V25" s="1576" t="s">
        <v>8</v>
      </c>
      <c r="W25" s="1577">
        <f>J25</f>
        <v>101</v>
      </c>
      <c r="X25" s="1570"/>
      <c r="Y25" s="3380"/>
      <c r="Z25" s="1578" t="str">
        <f>Q25</f>
        <v>毗邻道路的类型与等级</v>
      </c>
      <c r="AA25" s="1579">
        <f t="shared" si="3"/>
        <v>0.99009900990099009</v>
      </c>
      <c r="AB25" s="1579">
        <f t="shared" si="4"/>
        <v>0.99009900990099009</v>
      </c>
      <c r="AC25" s="1579">
        <f t="shared" si="5"/>
        <v>0.99009900990099009</v>
      </c>
    </row>
    <row r="26" spans="1:29" ht="15" hidden="1">
      <c r="A26" s="517"/>
      <c r="B26" s="568"/>
      <c r="C26" s="582" t="s">
        <v>3107</v>
      </c>
      <c r="D26" s="542"/>
      <c r="E26" s="585" t="s">
        <v>3149</v>
      </c>
      <c r="F26" s="542"/>
      <c r="G26" s="585" t="s">
        <v>3149</v>
      </c>
      <c r="H26" s="542"/>
      <c r="I26" s="585" t="s">
        <v>3149</v>
      </c>
      <c r="J26" s="542"/>
      <c r="K26" s="901"/>
      <c r="L26" s="2146"/>
      <c r="M26" s="2138"/>
      <c r="N26" s="2138"/>
      <c r="O26" s="2138"/>
      <c r="P26" s="3380"/>
      <c r="Q26" s="1575"/>
      <c r="R26" s="1576"/>
      <c r="S26" s="1577"/>
      <c r="T26" s="1576"/>
      <c r="U26" s="1577"/>
      <c r="V26" s="1576"/>
      <c r="W26" s="1577"/>
      <c r="X26" s="1570"/>
      <c r="Y26" s="3380"/>
      <c r="Z26" s="1578"/>
      <c r="AA26" s="1579">
        <v>1</v>
      </c>
      <c r="AB26" s="1579">
        <v>1</v>
      </c>
      <c r="AC26" s="1579">
        <v>1</v>
      </c>
    </row>
    <row r="27" spans="1:29" ht="15" hidden="1">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80"/>
      <c r="Q27" s="1575" t="str">
        <f t="shared" ref="Q27:Q47" si="11">B27</f>
        <v>楼层</v>
      </c>
      <c r="R27" s="1576" t="s">
        <v>8</v>
      </c>
      <c r="S27" s="1577">
        <f>F27</f>
        <v>100</v>
      </c>
      <c r="T27" s="1576" t="s">
        <v>8</v>
      </c>
      <c r="U27" s="1577">
        <f>H27</f>
        <v>100</v>
      </c>
      <c r="V27" s="1576" t="s">
        <v>8</v>
      </c>
      <c r="W27" s="1577">
        <f>J27</f>
        <v>100</v>
      </c>
      <c r="X27" s="1570"/>
      <c r="Y27" s="3380"/>
      <c r="Z27" s="1578" t="str">
        <f>Q27</f>
        <v>楼层</v>
      </c>
      <c r="AA27" s="1579">
        <f t="shared" si="3"/>
        <v>1</v>
      </c>
      <c r="AB27" s="1579">
        <f t="shared" si="4"/>
        <v>1</v>
      </c>
      <c r="AC27" s="1579">
        <f t="shared" si="5"/>
        <v>1</v>
      </c>
    </row>
    <row r="28" spans="1:29" s="1222" customFormat="1" ht="15" hidden="1">
      <c r="A28" s="538"/>
      <c r="B28" s="562" t="s">
        <v>780</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80"/>
      <c r="Q28" s="1153" t="str">
        <f t="shared" si="11"/>
        <v>朝向</v>
      </c>
      <c r="R28" s="1571" t="s">
        <v>8</v>
      </c>
      <c r="S28" s="1572">
        <f>F28</f>
        <v>100</v>
      </c>
      <c r="T28" s="1571" t="s">
        <v>8</v>
      </c>
      <c r="U28" s="1572">
        <f>H28</f>
        <v>100</v>
      </c>
      <c r="V28" s="1571" t="s">
        <v>8</v>
      </c>
      <c r="W28" s="1572">
        <f>J28</f>
        <v>100</v>
      </c>
      <c r="X28" s="1573"/>
      <c r="Y28" s="3380"/>
      <c r="Z28" s="1152" t="str">
        <f>Q28</f>
        <v>朝向</v>
      </c>
      <c r="AA28" s="1579">
        <f>D28/F28</f>
        <v>1</v>
      </c>
      <c r="AB28" s="1579">
        <f>D28/H28</f>
        <v>1</v>
      </c>
      <c r="AC28" s="1579">
        <f>D28/J28</f>
        <v>1</v>
      </c>
    </row>
    <row r="29" spans="1:29" ht="15" hidden="1">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80"/>
      <c r="Q29" s="1575">
        <f t="shared" si="11"/>
        <v>111</v>
      </c>
      <c r="R29" s="1576" t="s">
        <v>8</v>
      </c>
      <c r="S29" s="1577">
        <f t="shared" ref="S29:S47" si="12">F29</f>
        <v>100</v>
      </c>
      <c r="T29" s="1576" t="s">
        <v>8</v>
      </c>
      <c r="U29" s="1577">
        <f t="shared" ref="U29:U47" si="13">H29</f>
        <v>100</v>
      </c>
      <c r="V29" s="1576" t="s">
        <v>8</v>
      </c>
      <c r="W29" s="1577">
        <f t="shared" ref="W29:W47" si="14">J29</f>
        <v>100</v>
      </c>
      <c r="X29" s="1570"/>
      <c r="Y29" s="3380"/>
      <c r="Z29" s="1578">
        <f t="shared" ref="Z29:Z47" si="15">Q29</f>
        <v>111</v>
      </c>
      <c r="AA29" s="1579">
        <f t="shared" si="3"/>
        <v>1</v>
      </c>
      <c r="AB29" s="1579">
        <f t="shared" si="4"/>
        <v>1</v>
      </c>
      <c r="AC29" s="1579">
        <f t="shared" si="5"/>
        <v>1</v>
      </c>
    </row>
    <row r="30" spans="1:29" ht="15" hidden="1">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80"/>
      <c r="Q30" s="1575">
        <f t="shared" si="11"/>
        <v>111</v>
      </c>
      <c r="R30" s="1576" t="s">
        <v>8</v>
      </c>
      <c r="S30" s="1577">
        <f t="shared" si="12"/>
        <v>100</v>
      </c>
      <c r="T30" s="1576" t="s">
        <v>8</v>
      </c>
      <c r="U30" s="1577">
        <f t="shared" si="13"/>
        <v>100</v>
      </c>
      <c r="V30" s="1576" t="s">
        <v>8</v>
      </c>
      <c r="W30" s="1577">
        <f t="shared" si="14"/>
        <v>100</v>
      </c>
      <c r="X30" s="1570"/>
      <c r="Y30" s="3380"/>
      <c r="Z30" s="1578">
        <f t="shared" si="15"/>
        <v>111</v>
      </c>
      <c r="AA30" s="1579">
        <f t="shared" si="3"/>
        <v>1</v>
      </c>
      <c r="AB30" s="1579">
        <f t="shared" si="4"/>
        <v>1</v>
      </c>
      <c r="AC30" s="1579">
        <f t="shared" si="5"/>
        <v>1</v>
      </c>
    </row>
    <row r="31" spans="1:29" ht="15" hidden="1">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80"/>
      <c r="Q31" s="1575">
        <f t="shared" si="11"/>
        <v>111</v>
      </c>
      <c r="R31" s="1576" t="s">
        <v>8</v>
      </c>
      <c r="S31" s="1577">
        <f t="shared" si="12"/>
        <v>100</v>
      </c>
      <c r="T31" s="1576" t="s">
        <v>8</v>
      </c>
      <c r="U31" s="1577">
        <f t="shared" si="13"/>
        <v>100</v>
      </c>
      <c r="V31" s="1576" t="s">
        <v>8</v>
      </c>
      <c r="W31" s="1577">
        <f t="shared" si="14"/>
        <v>100</v>
      </c>
      <c r="X31" s="1570"/>
      <c r="Y31" s="3380"/>
      <c r="Z31" s="1578">
        <f t="shared" si="15"/>
        <v>111</v>
      </c>
      <c r="AA31" s="1579">
        <f t="shared" si="3"/>
        <v>1</v>
      </c>
      <c r="AB31" s="1579">
        <f t="shared" si="4"/>
        <v>1</v>
      </c>
      <c r="AC31" s="1579">
        <f t="shared" si="5"/>
        <v>1</v>
      </c>
    </row>
    <row r="32" spans="1:29" ht="15.75" hidden="1"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80"/>
      <c r="Q32" s="1575">
        <f t="shared" si="11"/>
        <v>111</v>
      </c>
      <c r="R32" s="1576" t="s">
        <v>8</v>
      </c>
      <c r="S32" s="1577">
        <f t="shared" si="12"/>
        <v>100</v>
      </c>
      <c r="T32" s="1576" t="s">
        <v>8</v>
      </c>
      <c r="U32" s="1577">
        <f t="shared" si="13"/>
        <v>100</v>
      </c>
      <c r="V32" s="1576" t="s">
        <v>8</v>
      </c>
      <c r="W32" s="1577">
        <f t="shared" si="14"/>
        <v>100</v>
      </c>
      <c r="X32" s="1570"/>
      <c r="Y32" s="3380"/>
      <c r="Z32" s="1578">
        <f t="shared" si="15"/>
        <v>111</v>
      </c>
      <c r="AA32" s="1579">
        <f t="shared" si="3"/>
        <v>1</v>
      </c>
      <c r="AB32" s="1579">
        <f t="shared" si="4"/>
        <v>1</v>
      </c>
      <c r="AC32" s="1579">
        <f t="shared" si="5"/>
        <v>1</v>
      </c>
    </row>
    <row r="33" spans="1:29" ht="15">
      <c r="A33" s="2937" t="s">
        <v>2761</v>
      </c>
      <c r="B33" s="172" t="s">
        <v>781</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81" t="s">
        <v>551</v>
      </c>
      <c r="Q33" s="1575" t="str">
        <f t="shared" si="11"/>
        <v>建筑类型</v>
      </c>
      <c r="R33" s="1576" t="s">
        <v>8</v>
      </c>
      <c r="S33" s="1577">
        <f t="shared" si="12"/>
        <v>100</v>
      </c>
      <c r="T33" s="1576" t="s">
        <v>8</v>
      </c>
      <c r="U33" s="1577">
        <f t="shared" si="13"/>
        <v>100</v>
      </c>
      <c r="V33" s="1576" t="s">
        <v>8</v>
      </c>
      <c r="W33" s="1577">
        <f t="shared" si="14"/>
        <v>100</v>
      </c>
      <c r="X33" s="1570"/>
      <c r="Y33" s="3382" t="s">
        <v>551</v>
      </c>
      <c r="Z33" s="1578" t="str">
        <f t="shared" si="15"/>
        <v>建筑类型</v>
      </c>
      <c r="AA33" s="1579">
        <f t="shared" si="3"/>
        <v>1</v>
      </c>
      <c r="AB33" s="1579">
        <f t="shared" si="4"/>
        <v>1</v>
      </c>
      <c r="AC33" s="1579">
        <f t="shared" si="5"/>
        <v>1</v>
      </c>
    </row>
    <row r="34" spans="1:29" s="1341" customFormat="1" ht="15">
      <c r="A34" s="605"/>
      <c r="B34" s="529" t="s">
        <v>727</v>
      </c>
      <c r="C34" s="882">
        <f>'数据-汇总表'!F19</f>
        <v>90798.46</v>
      </c>
      <c r="D34" s="254">
        <v>100</v>
      </c>
      <c r="E34" s="536">
        <v>584084</v>
      </c>
      <c r="F34" s="865">
        <f>LOOKUP(E34,104:104,105:105)-LOOKUP(C34,104:104,105:105)+100</f>
        <v>110</v>
      </c>
      <c r="G34" s="535">
        <v>103700</v>
      </c>
      <c r="H34" s="254">
        <f>LOOKUP(G34,104:104,105:105)-LOOKUP(C34,104:104,105:105)+100</f>
        <v>102</v>
      </c>
      <c r="I34" s="535">
        <v>117804</v>
      </c>
      <c r="J34" s="254">
        <f>LOOKUP(I34,104:104,105:105)-LOOKUP(C34,104:104,105:105)+100</f>
        <v>102</v>
      </c>
      <c r="K34" s="583"/>
      <c r="L34" s="2144"/>
      <c r="M34" s="2175"/>
      <c r="N34" s="2175"/>
      <c r="O34" s="2175"/>
      <c r="P34" s="3382"/>
      <c r="Q34" s="1608" t="str">
        <f t="shared" si="11"/>
        <v>项目建筑规模</v>
      </c>
      <c r="R34" s="1580" t="s">
        <v>8</v>
      </c>
      <c r="S34" s="1581">
        <f t="shared" si="12"/>
        <v>110</v>
      </c>
      <c r="T34" s="1580" t="s">
        <v>8</v>
      </c>
      <c r="U34" s="1581">
        <f t="shared" si="13"/>
        <v>102</v>
      </c>
      <c r="V34" s="1580" t="s">
        <v>8</v>
      </c>
      <c r="W34" s="1581">
        <f t="shared" si="14"/>
        <v>102</v>
      </c>
      <c r="X34" s="1582"/>
      <c r="Y34" s="3382"/>
      <c r="Z34" s="1583" t="str">
        <f t="shared" si="15"/>
        <v>项目建筑规模</v>
      </c>
      <c r="AA34" s="1579">
        <f t="shared" si="3"/>
        <v>0.90909090909090906</v>
      </c>
      <c r="AB34" s="1579">
        <f t="shared" si="4"/>
        <v>0.98039215686274506</v>
      </c>
      <c r="AC34" s="1579">
        <f t="shared" si="5"/>
        <v>0.98039215686274506</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82"/>
      <c r="Q35" s="1575" t="str">
        <f t="shared" si="11"/>
        <v>建筑结构</v>
      </c>
      <c r="R35" s="1576" t="s">
        <v>8</v>
      </c>
      <c r="S35" s="1577">
        <f t="shared" si="12"/>
        <v>100</v>
      </c>
      <c r="T35" s="1576" t="s">
        <v>8</v>
      </c>
      <c r="U35" s="1577">
        <f t="shared" si="13"/>
        <v>100</v>
      </c>
      <c r="V35" s="1576" t="s">
        <v>8</v>
      </c>
      <c r="W35" s="1577">
        <f t="shared" si="14"/>
        <v>100</v>
      </c>
      <c r="X35" s="1570"/>
      <c r="Y35" s="3382"/>
      <c r="Z35" s="1578" t="str">
        <f t="shared" si="15"/>
        <v>建筑结构</v>
      </c>
      <c r="AA35" s="1579">
        <f t="shared" si="3"/>
        <v>1</v>
      </c>
      <c r="AB35" s="1579">
        <f t="shared" si="4"/>
        <v>1</v>
      </c>
      <c r="AC35" s="1579">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82"/>
      <c r="Q36" s="1575" t="str">
        <f t="shared" si="11"/>
        <v>公共部分装修</v>
      </c>
      <c r="R36" s="1576" t="s">
        <v>8</v>
      </c>
      <c r="S36" s="1577">
        <f t="shared" si="12"/>
        <v>100</v>
      </c>
      <c r="T36" s="1576" t="s">
        <v>8</v>
      </c>
      <c r="U36" s="1577">
        <f t="shared" si="13"/>
        <v>100</v>
      </c>
      <c r="V36" s="1576" t="s">
        <v>8</v>
      </c>
      <c r="W36" s="1577">
        <f t="shared" si="14"/>
        <v>100</v>
      </c>
      <c r="X36" s="1570"/>
      <c r="Y36" s="3382"/>
      <c r="Z36" s="1578" t="str">
        <f t="shared" si="15"/>
        <v>公共部分装修</v>
      </c>
      <c r="AA36" s="1579">
        <f t="shared" si="3"/>
        <v>1</v>
      </c>
      <c r="AB36" s="1579">
        <f t="shared" si="4"/>
        <v>1</v>
      </c>
      <c r="AC36" s="1579">
        <f t="shared" si="5"/>
        <v>1</v>
      </c>
    </row>
    <row r="37" spans="1:29" ht="15">
      <c r="A37" s="596"/>
      <c r="B37" s="529" t="s">
        <v>765</v>
      </c>
      <c r="C37" s="885">
        <v>1</v>
      </c>
      <c r="D37" s="542">
        <v>100</v>
      </c>
      <c r="E37" s="885">
        <v>0.97</v>
      </c>
      <c r="F37" s="577">
        <f>LOOKUP(E37,111:111,112:112)-LOOKUP(C37,111:111,112:112)+100</f>
        <v>100</v>
      </c>
      <c r="G37" s="885">
        <v>0.95</v>
      </c>
      <c r="H37" s="577">
        <f>LOOKUP(G37,111:111,112:112)-LOOKUP(C37,111:111,112:112)+100</f>
        <v>100</v>
      </c>
      <c r="I37" s="885">
        <v>0.92</v>
      </c>
      <c r="J37" s="542">
        <f>LOOKUP(I37,111:111,112:112)-LOOKUP(C37,111:111,112:112)+100</f>
        <v>100</v>
      </c>
      <c r="K37" s="586"/>
      <c r="L37" s="2146"/>
      <c r="M37" s="2138"/>
      <c r="N37" s="2138"/>
      <c r="O37" s="2138"/>
      <c r="P37" s="3382"/>
      <c r="Q37" s="1575" t="str">
        <f t="shared" si="11"/>
        <v>成新度</v>
      </c>
      <c r="R37" s="1576" t="s">
        <v>8</v>
      </c>
      <c r="S37" s="1577">
        <f t="shared" si="12"/>
        <v>100</v>
      </c>
      <c r="T37" s="1576" t="s">
        <v>8</v>
      </c>
      <c r="U37" s="1577">
        <f t="shared" si="13"/>
        <v>100</v>
      </c>
      <c r="V37" s="1576" t="s">
        <v>8</v>
      </c>
      <c r="W37" s="1577">
        <f t="shared" si="14"/>
        <v>100</v>
      </c>
      <c r="X37" s="1570"/>
      <c r="Y37" s="3382"/>
      <c r="Z37" s="1578" t="str">
        <f t="shared" si="15"/>
        <v>成新度</v>
      </c>
      <c r="AA37" s="1579">
        <f t="shared" si="3"/>
        <v>1</v>
      </c>
      <c r="AB37" s="1579">
        <f t="shared" si="4"/>
        <v>1</v>
      </c>
      <c r="AC37" s="1579">
        <f t="shared" si="5"/>
        <v>1</v>
      </c>
    </row>
    <row r="38" spans="1:29" s="1222"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82"/>
      <c r="Q38" s="1153" t="str">
        <f t="shared" si="11"/>
        <v>写字楼等级</v>
      </c>
      <c r="R38" s="1571" t="s">
        <v>8</v>
      </c>
      <c r="S38" s="1572">
        <f t="shared" si="12"/>
        <v>100</v>
      </c>
      <c r="T38" s="1571" t="s">
        <v>8</v>
      </c>
      <c r="U38" s="1572">
        <f t="shared" si="13"/>
        <v>100</v>
      </c>
      <c r="V38" s="1571" t="s">
        <v>8</v>
      </c>
      <c r="W38" s="1572">
        <f t="shared" si="14"/>
        <v>100</v>
      </c>
      <c r="X38" s="1573"/>
      <c r="Y38" s="3382"/>
      <c r="Z38" s="1152" t="str">
        <f t="shared" si="15"/>
        <v>写字楼等级</v>
      </c>
      <c r="AA38" s="1574">
        <f t="shared" si="3"/>
        <v>1</v>
      </c>
      <c r="AB38" s="1574">
        <f t="shared" si="4"/>
        <v>1</v>
      </c>
      <c r="AC38" s="1574">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82" t="s">
        <v>551</v>
      </c>
      <c r="Q39" s="1575" t="str">
        <f t="shared" si="11"/>
        <v>物业管理</v>
      </c>
      <c r="R39" s="1576" t="s">
        <v>8</v>
      </c>
      <c r="S39" s="1577">
        <f t="shared" si="12"/>
        <v>100</v>
      </c>
      <c r="T39" s="1576" t="s">
        <v>8</v>
      </c>
      <c r="U39" s="1577">
        <f t="shared" si="13"/>
        <v>100</v>
      </c>
      <c r="V39" s="1576" t="s">
        <v>8</v>
      </c>
      <c r="W39" s="1577">
        <f t="shared" si="14"/>
        <v>100</v>
      </c>
      <c r="X39" s="1570"/>
      <c r="Y39" s="3382" t="s">
        <v>551</v>
      </c>
      <c r="Z39" s="1578" t="str">
        <f t="shared" si="15"/>
        <v>物业管理</v>
      </c>
      <c r="AA39" s="1579">
        <f t="shared" si="3"/>
        <v>1</v>
      </c>
      <c r="AB39" s="1579">
        <f t="shared" si="4"/>
        <v>1</v>
      </c>
      <c r="AC39" s="1579">
        <f t="shared" si="5"/>
        <v>1</v>
      </c>
    </row>
    <row r="40" spans="1:29" ht="15">
      <c r="A40" s="596"/>
      <c r="B40" s="1899" t="s">
        <v>2569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82"/>
      <c r="Q40" s="1575" t="str">
        <f t="shared" si="11"/>
        <v>市政基础设施</v>
      </c>
      <c r="R40" s="1576" t="s">
        <v>8</v>
      </c>
      <c r="S40" s="1577">
        <f t="shared" si="12"/>
        <v>100</v>
      </c>
      <c r="T40" s="1576" t="s">
        <v>8</v>
      </c>
      <c r="U40" s="1577">
        <f t="shared" si="13"/>
        <v>100</v>
      </c>
      <c r="V40" s="1576" t="s">
        <v>8</v>
      </c>
      <c r="W40" s="1577">
        <f t="shared" si="14"/>
        <v>100</v>
      </c>
      <c r="X40" s="1570"/>
      <c r="Y40" s="3382"/>
      <c r="Z40" s="1578" t="str">
        <f t="shared" si="15"/>
        <v>市政基础设施</v>
      </c>
      <c r="AA40" s="1579">
        <f t="shared" si="3"/>
        <v>1</v>
      </c>
      <c r="AB40" s="1579">
        <f t="shared" si="4"/>
        <v>1</v>
      </c>
      <c r="AC40" s="1579">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82"/>
      <c r="Q41" s="1575" t="str">
        <f t="shared" si="11"/>
        <v>层高</v>
      </c>
      <c r="R41" s="1576" t="s">
        <v>8</v>
      </c>
      <c r="S41" s="1577">
        <f t="shared" si="12"/>
        <v>100</v>
      </c>
      <c r="T41" s="1576" t="s">
        <v>8</v>
      </c>
      <c r="U41" s="1577">
        <f t="shared" si="13"/>
        <v>100</v>
      </c>
      <c r="V41" s="1576" t="s">
        <v>8</v>
      </c>
      <c r="W41" s="1577">
        <f t="shared" si="14"/>
        <v>100</v>
      </c>
      <c r="X41" s="1570"/>
      <c r="Y41" s="3382"/>
      <c r="Z41" s="1578" t="str">
        <f t="shared" si="15"/>
        <v>层高</v>
      </c>
      <c r="AA41" s="1579">
        <f t="shared" si="3"/>
        <v>1</v>
      </c>
      <c r="AB41" s="1579">
        <f t="shared" si="4"/>
        <v>1</v>
      </c>
      <c r="AC41" s="1579">
        <f t="shared" si="5"/>
        <v>1</v>
      </c>
    </row>
    <row r="42" spans="1:29" s="1341" customFormat="1" ht="15">
      <c r="A42" s="605"/>
      <c r="B42" s="906"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82"/>
      <c r="Q42" s="1608" t="str">
        <f t="shared" si="11"/>
        <v>单套建筑面积</v>
      </c>
      <c r="R42" s="1580" t="s">
        <v>8</v>
      </c>
      <c r="S42" s="1581">
        <f t="shared" si="12"/>
        <v>100</v>
      </c>
      <c r="T42" s="1580" t="s">
        <v>8</v>
      </c>
      <c r="U42" s="1581">
        <f t="shared" si="13"/>
        <v>100</v>
      </c>
      <c r="V42" s="1580" t="s">
        <v>8</v>
      </c>
      <c r="W42" s="1581">
        <f t="shared" si="14"/>
        <v>100</v>
      </c>
      <c r="X42" s="1582"/>
      <c r="Y42" s="3382"/>
      <c r="Z42" s="1583" t="str">
        <f t="shared" si="15"/>
        <v>单套建筑面积</v>
      </c>
      <c r="AA42" s="1579">
        <f t="shared" si="3"/>
        <v>1</v>
      </c>
      <c r="AB42" s="1579">
        <f t="shared" si="4"/>
        <v>1</v>
      </c>
      <c r="AC42" s="1579">
        <f t="shared" si="5"/>
        <v>1</v>
      </c>
    </row>
    <row r="43" spans="1:29" ht="15">
      <c r="A43" s="596"/>
      <c r="B43" s="529" t="s">
        <v>771</v>
      </c>
      <c r="C43" s="576" t="s">
        <v>3143</v>
      </c>
      <c r="D43" s="542">
        <v>100</v>
      </c>
      <c r="E43" s="576" t="s">
        <v>3143</v>
      </c>
      <c r="F43" s="577">
        <f>SUMIF(123:123,E43,124:124)-SUMIF(123:123,C43,124:124)+100</f>
        <v>100</v>
      </c>
      <c r="G43" s="576" t="s">
        <v>3143</v>
      </c>
      <c r="H43" s="542">
        <f>SUMIF(123:123,G43,124:124)-SUMIF(123:123,C43,124:124)+100</f>
        <v>100</v>
      </c>
      <c r="I43" s="576" t="s">
        <v>3143</v>
      </c>
      <c r="J43" s="542">
        <f>SUMIF(123:123,I43,124:124)-SUMIF(123:123,C43,124:124)+100</f>
        <v>100</v>
      </c>
      <c r="K43" s="586">
        <v>2</v>
      </c>
      <c r="L43" s="2146"/>
      <c r="M43" s="2138"/>
      <c r="N43" s="2138"/>
      <c r="O43" s="2138"/>
      <c r="P43" s="3382"/>
      <c r="Q43" s="1575" t="str">
        <f t="shared" si="11"/>
        <v>内部装修</v>
      </c>
      <c r="R43" s="1576" t="s">
        <v>8</v>
      </c>
      <c r="S43" s="1577">
        <f t="shared" si="12"/>
        <v>100</v>
      </c>
      <c r="T43" s="1576" t="s">
        <v>8</v>
      </c>
      <c r="U43" s="1577">
        <f t="shared" si="13"/>
        <v>100</v>
      </c>
      <c r="V43" s="1576" t="s">
        <v>8</v>
      </c>
      <c r="W43" s="1577">
        <f t="shared" si="14"/>
        <v>100</v>
      </c>
      <c r="X43" s="1570"/>
      <c r="Y43" s="3382"/>
      <c r="Z43" s="1578" t="str">
        <f t="shared" si="15"/>
        <v>内部装修</v>
      </c>
      <c r="AA43" s="1579">
        <f t="shared" si="3"/>
        <v>1</v>
      </c>
      <c r="AB43" s="1579">
        <f t="shared" si="4"/>
        <v>1</v>
      </c>
      <c r="AC43" s="1579">
        <f t="shared" si="5"/>
        <v>1</v>
      </c>
    </row>
    <row r="44" spans="1:29" ht="27.75" thickBot="1">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82"/>
      <c r="Q44" s="1575" t="str">
        <f t="shared" si="11"/>
        <v>内部装修维护情况</v>
      </c>
      <c r="R44" s="1576" t="s">
        <v>8</v>
      </c>
      <c r="S44" s="1577">
        <f t="shared" si="12"/>
        <v>100</v>
      </c>
      <c r="T44" s="1576" t="s">
        <v>8</v>
      </c>
      <c r="U44" s="1577">
        <f t="shared" si="13"/>
        <v>100</v>
      </c>
      <c r="V44" s="1576" t="s">
        <v>8</v>
      </c>
      <c r="W44" s="1577">
        <f t="shared" si="14"/>
        <v>100</v>
      </c>
      <c r="X44" s="1570"/>
      <c r="Y44" s="3382"/>
      <c r="Z44" s="1578" t="str">
        <f t="shared" si="15"/>
        <v>内部装修维护情况</v>
      </c>
      <c r="AA44" s="1579">
        <f t="shared" si="3"/>
        <v>1</v>
      </c>
      <c r="AB44" s="1579">
        <f t="shared" si="4"/>
        <v>1</v>
      </c>
      <c r="AC44" s="1579">
        <f t="shared" si="5"/>
        <v>1</v>
      </c>
    </row>
    <row r="45" spans="1:29" s="1222" customFormat="1" ht="15" hidden="1">
      <c r="A45" s="602"/>
      <c r="B45" s="879">
        <v>0.9</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82"/>
      <c r="Q45" s="1153">
        <f t="shared" si="11"/>
        <v>0.9</v>
      </c>
      <c r="R45" s="1571" t="s">
        <v>8</v>
      </c>
      <c r="S45" s="1572">
        <f t="shared" si="12"/>
        <v>100</v>
      </c>
      <c r="T45" s="1571" t="s">
        <v>8</v>
      </c>
      <c r="U45" s="1572">
        <f t="shared" si="13"/>
        <v>100</v>
      </c>
      <c r="V45" s="1571" t="s">
        <v>8</v>
      </c>
      <c r="W45" s="1572">
        <f t="shared" si="14"/>
        <v>100</v>
      </c>
      <c r="X45" s="1573"/>
      <c r="Y45" s="3382"/>
      <c r="Z45" s="1152">
        <f t="shared" si="15"/>
        <v>0.9</v>
      </c>
      <c r="AA45" s="1574">
        <f t="shared" si="3"/>
        <v>1</v>
      </c>
      <c r="AB45" s="1574">
        <f t="shared" si="4"/>
        <v>1</v>
      </c>
      <c r="AC45" s="1574">
        <f t="shared" si="5"/>
        <v>1</v>
      </c>
    </row>
    <row r="46" spans="1:29" ht="15" hidden="1">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82"/>
      <c r="Q46" s="1575">
        <f t="shared" si="11"/>
        <v>111</v>
      </c>
      <c r="R46" s="1576" t="s">
        <v>8</v>
      </c>
      <c r="S46" s="1577">
        <f t="shared" si="12"/>
        <v>100</v>
      </c>
      <c r="T46" s="1576" t="s">
        <v>8</v>
      </c>
      <c r="U46" s="1577">
        <f t="shared" si="13"/>
        <v>100</v>
      </c>
      <c r="V46" s="1576" t="s">
        <v>8</v>
      </c>
      <c r="W46" s="1577">
        <f t="shared" si="14"/>
        <v>100</v>
      </c>
      <c r="X46" s="1570"/>
      <c r="Y46" s="3382"/>
      <c r="Z46" s="1578">
        <f t="shared" si="15"/>
        <v>111</v>
      </c>
      <c r="AA46" s="1579">
        <f t="shared" si="3"/>
        <v>1</v>
      </c>
      <c r="AB46" s="1579">
        <f t="shared" si="4"/>
        <v>1</v>
      </c>
      <c r="AC46" s="1579">
        <f t="shared" si="5"/>
        <v>1</v>
      </c>
    </row>
    <row r="47" spans="1:29" ht="15.75" hidden="1"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62"/>
      <c r="Q47" s="1575">
        <f t="shared" si="11"/>
        <v>111</v>
      </c>
      <c r="R47" s="1576" t="s">
        <v>8</v>
      </c>
      <c r="S47" s="1577">
        <f t="shared" si="12"/>
        <v>100</v>
      </c>
      <c r="T47" s="1576" t="s">
        <v>8</v>
      </c>
      <c r="U47" s="1577">
        <f t="shared" si="13"/>
        <v>100</v>
      </c>
      <c r="V47" s="1576" t="s">
        <v>8</v>
      </c>
      <c r="W47" s="1577">
        <f t="shared" si="14"/>
        <v>100</v>
      </c>
      <c r="X47" s="1570"/>
      <c r="Y47" s="3462"/>
      <c r="Z47" s="1578">
        <f t="shared" si="15"/>
        <v>111</v>
      </c>
      <c r="AA47" s="1579">
        <f t="shared" si="3"/>
        <v>1</v>
      </c>
      <c r="AB47" s="1579">
        <f t="shared" si="4"/>
        <v>1</v>
      </c>
      <c r="AC47" s="1579">
        <f t="shared" si="5"/>
        <v>1</v>
      </c>
    </row>
    <row r="48" spans="1:29" ht="15">
      <c r="A48" s="609" t="s">
        <v>737</v>
      </c>
      <c r="B48" s="889"/>
      <c r="C48" s="2655" t="s">
        <v>1</v>
      </c>
      <c r="D48" s="2656"/>
      <c r="E48" s="2657">
        <f>40000*B45</f>
        <v>36000</v>
      </c>
      <c r="F48" s="2658"/>
      <c r="G48" s="2659">
        <f>42000*B45</f>
        <v>37800</v>
      </c>
      <c r="H48" s="2660"/>
      <c r="I48" s="2657">
        <f>36000*B45</f>
        <v>32400</v>
      </c>
      <c r="J48" s="2660"/>
      <c r="K48" s="1614"/>
      <c r="L48" s="2148"/>
      <c r="M48" s="2138"/>
      <c r="N48" s="2138"/>
      <c r="O48" s="2138"/>
      <c r="P48" s="3399" t="str">
        <f>A48</f>
        <v>成交单价（元/平方米）</v>
      </c>
      <c r="Q48" s="3377"/>
      <c r="R48" s="3463">
        <f>E48</f>
        <v>36000</v>
      </c>
      <c r="S48" s="3463"/>
      <c r="T48" s="3463">
        <f>G48</f>
        <v>37800</v>
      </c>
      <c r="U48" s="3463"/>
      <c r="V48" s="3463">
        <f>I48</f>
        <v>32400</v>
      </c>
      <c r="W48" s="3463"/>
      <c r="X48" s="1562"/>
      <c r="Y48" s="1584"/>
      <c r="Z48" s="1562"/>
      <c r="AA48" s="1562"/>
      <c r="AB48" s="1562"/>
      <c r="AC48" s="1562"/>
    </row>
    <row r="49" spans="1:29" ht="15.75" thickBot="1">
      <c r="A49" s="617" t="s">
        <v>2766</v>
      </c>
      <c r="B49" s="890"/>
      <c r="C49" s="2661">
        <f>R50</f>
        <v>31088</v>
      </c>
      <c r="D49" s="2662"/>
      <c r="E49" s="2663">
        <f>R49</f>
        <v>29415</v>
      </c>
      <c r="F49" s="2663"/>
      <c r="G49" s="2661">
        <f>T49</f>
        <v>33619</v>
      </c>
      <c r="H49" s="2662"/>
      <c r="I49" s="2663">
        <f>V49</f>
        <v>30229</v>
      </c>
      <c r="J49" s="2662"/>
      <c r="K49" s="1615"/>
      <c r="L49" s="2148"/>
      <c r="M49" s="2138"/>
      <c r="N49" s="2138"/>
      <c r="O49" s="2138"/>
      <c r="P49" s="3399" t="str">
        <f>A49</f>
        <v>比较价格（元/平方米）</v>
      </c>
      <c r="Q49" s="3377"/>
      <c r="R49" s="3463">
        <f>IF(F1="售价",ROUND(PRODUCT(R48,AA7:AA47),0),ROUND(PRODUCT(R48,AA7:AA47),1))</f>
        <v>29415</v>
      </c>
      <c r="S49" s="3463"/>
      <c r="T49" s="3463">
        <f>IF(F1="售价",ROUND(PRODUCT(T48,AB7:AB47),0),ROUND(PRODUCT(T48,AB7:AB47),1))</f>
        <v>33619</v>
      </c>
      <c r="U49" s="3463"/>
      <c r="V49" s="3463">
        <f>IF(F1="售价",ROUND(PRODUCT(V48,AC7:AC47),0),ROUND(PRODUCT(V48,AC7:AC47),1))</f>
        <v>30229</v>
      </c>
      <c r="W49" s="3463"/>
      <c r="X49" s="1562"/>
      <c r="Y49" s="1562"/>
      <c r="Z49" s="1562"/>
      <c r="AA49" s="1562"/>
      <c r="AB49" s="1562"/>
      <c r="AC49" s="1562"/>
    </row>
    <row r="50" spans="1:29" ht="15.75" thickBot="1">
      <c r="A50" s="623" t="s">
        <v>2938</v>
      </c>
      <c r="B50" s="624"/>
      <c r="C50" s="2664">
        <f>R50</f>
        <v>31088</v>
      </c>
      <c r="D50" s="2664"/>
      <c r="E50" s="2664"/>
      <c r="F50" s="2664"/>
      <c r="G50" s="2664"/>
      <c r="H50" s="2664"/>
      <c r="I50" s="2664"/>
      <c r="J50" s="2664"/>
      <c r="K50" s="1616"/>
      <c r="L50" s="2148"/>
      <c r="M50" s="2138"/>
      <c r="N50" s="2138"/>
      <c r="O50" s="2138"/>
      <c r="P50" s="3464" t="str">
        <f>A50</f>
        <v>估价对象XX用房的比较价格（楼面单价，元/平方米）</v>
      </c>
      <c r="Q50" s="3399"/>
      <c r="R50" s="3465">
        <f>IF(F1="售价",ROUND(AVERAGE(R49:V49),0),ROUND(AVERAGE(R49:V49),1))</f>
        <v>31088</v>
      </c>
      <c r="S50" s="3465"/>
      <c r="T50" s="3465"/>
      <c r="U50" s="3465"/>
      <c r="V50" s="3465"/>
      <c r="W50" s="3465"/>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f>IF(E48&lt;E49,E49/E48-1,E48/E49-1)</f>
        <v>0.22386537480877111</v>
      </c>
      <c r="F53" s="629" t="str">
        <f>IF(OR(E53&gt;=0.3,E53&lt;=-0.3),"超过30%","")</f>
        <v/>
      </c>
      <c r="G53" s="628">
        <f>IF(G48&lt;G49,G49/G48-1,G48/G49-1)</f>
        <v>0.12436419881614569</v>
      </c>
      <c r="H53" s="629" t="str">
        <f>IF(OR(G53&gt;=0.3,G53&lt;=-0.3),"超过30%","")</f>
        <v/>
      </c>
      <c r="I53" s="628">
        <f>IF(I48&lt;I49,I49/I48-1,I48/I49-1)</f>
        <v>7.1818452479407213E-2</v>
      </c>
      <c r="J53" s="629" t="str">
        <f>IF(OR(I53&gt;=0.3,I53&lt;=-0.3),"超过30%","")</f>
        <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f>IF(E49&lt;G49,G49/E49-1,E49/G49-1)</f>
        <v>0.14292027876933533</v>
      </c>
      <c r="F54" s="629" t="str">
        <f>IF(OR(E54&gt;=0.2,E54&lt;=-0.2),"超过20%","")</f>
        <v/>
      </c>
      <c r="G54" s="628">
        <f>IF(G49&lt;I49,I49/G49-1,G49/I49-1)</f>
        <v>0.11214396771312307</v>
      </c>
      <c r="H54" s="629" t="str">
        <f>IF(OR(G54&gt;=0.2,G54&lt;=-0.2),"超过20%","")</f>
        <v/>
      </c>
      <c r="I54" s="628">
        <f>IF(I49&lt;E49,E49/I49-1,I49/E49-1)</f>
        <v>2.7672955974842761E-2</v>
      </c>
      <c r="J54" s="629" t="str">
        <f>IF(OR(I54&gt;=0.2,I54&lt;=-0.2),"超过20%","")</f>
        <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f>IF(E48&lt;G48,G48/E48-1,E48/G48-1)</f>
        <v>5.0000000000000044E-2</v>
      </c>
      <c r="F55" s="629" t="str">
        <f>IF(OR(E55&gt;=0.3,E55&lt;=-0.3),"超过30%","")</f>
        <v/>
      </c>
      <c r="G55" s="628">
        <f>IF(G48&lt;I48,I48/G48-1,G48/I48-1)</f>
        <v>0.16666666666666674</v>
      </c>
      <c r="H55" s="629" t="str">
        <f>IF(OR(G55&gt;=0.3,G55&lt;=-0.3),"超过30%","")</f>
        <v/>
      </c>
      <c r="I55" s="628">
        <f>IF(I48&lt;E48,E48/I48-1,I48/E48-1)</f>
        <v>0.11111111111111116</v>
      </c>
      <c r="J55" s="629" t="str">
        <f>IF(OR(I55&gt;=0.3,I55&lt;=-0.3),"超过30%","")</f>
        <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530</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576</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532</v>
      </c>
      <c r="B62" s="650"/>
      <c r="C62" s="662" t="s">
        <v>577</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578</v>
      </c>
      <c r="B64" s="667" t="s">
        <v>535</v>
      </c>
      <c r="C64" s="706" t="str">
        <f>C9</f>
        <v>办公</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539</v>
      </c>
      <c r="C68" s="684" t="str">
        <f>C69&amp;"（含）"&amp;"-"&amp;D69</f>
        <v>1（含）-2</v>
      </c>
      <c r="D68" s="684" t="str">
        <f t="shared" ref="D68:L68" si="17">D69&amp;"（含）"&amp;"-"&amp;E69</f>
        <v>2（含）-3</v>
      </c>
      <c r="E68" s="684" t="str">
        <f t="shared" si="17"/>
        <v>3（含）-4</v>
      </c>
      <c r="F68" s="684" t="str">
        <f t="shared" si="17"/>
        <v>4（含）-5</v>
      </c>
      <c r="G68" s="684" t="str">
        <f t="shared" si="17"/>
        <v>5（含）-6</v>
      </c>
      <c r="H68" s="684" t="str">
        <f t="shared" si="17"/>
        <v>6（含）-7</v>
      </c>
      <c r="I68" s="684" t="str">
        <f t="shared" si="17"/>
        <v>7（含）-8</v>
      </c>
      <c r="J68" s="684" t="str">
        <f t="shared" si="17"/>
        <v>8（含）-9</v>
      </c>
      <c r="K68" s="684" t="str">
        <f t="shared" si="17"/>
        <v>9（含）-10</v>
      </c>
      <c r="L68" s="684" t="str">
        <f t="shared" si="17"/>
        <v>10（含）-11</v>
      </c>
      <c r="M68" s="557" t="str">
        <f>M69&amp;"（含）"&amp;"-"&amp;P69</f>
        <v>11（含）-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v>1</v>
      </c>
      <c r="D69" s="543">
        <v>2</v>
      </c>
      <c r="E69" s="543">
        <v>3</v>
      </c>
      <c r="F69" s="543">
        <v>4</v>
      </c>
      <c r="G69" s="543">
        <v>5</v>
      </c>
      <c r="H69" s="543">
        <v>6</v>
      </c>
      <c r="I69" s="543">
        <v>7</v>
      </c>
      <c r="J69" s="543">
        <v>8</v>
      </c>
      <c r="K69" s="543">
        <v>9</v>
      </c>
      <c r="L69" s="543">
        <v>10</v>
      </c>
      <c r="M69" s="543">
        <v>11</v>
      </c>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99</v>
      </c>
      <c r="E70" s="681">
        <f t="shared" si="18"/>
        <v>98</v>
      </c>
      <c r="F70" s="681">
        <f t="shared" si="18"/>
        <v>97</v>
      </c>
      <c r="G70" s="681">
        <f t="shared" si="18"/>
        <v>96</v>
      </c>
      <c r="H70" s="681">
        <f t="shared" si="18"/>
        <v>95</v>
      </c>
      <c r="I70" s="681">
        <f t="shared" si="18"/>
        <v>94</v>
      </c>
      <c r="J70" s="681">
        <f t="shared" si="18"/>
        <v>93</v>
      </c>
      <c r="K70" s="681">
        <f t="shared" si="18"/>
        <v>92</v>
      </c>
      <c r="L70" s="681">
        <f t="shared" si="18"/>
        <v>91</v>
      </c>
      <c r="M70" s="682">
        <f t="shared" si="18"/>
        <v>90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540</v>
      </c>
      <c r="B77" s="667" t="s">
        <v>586</v>
      </c>
      <c r="C77" s="705" t="s">
        <v>580</v>
      </c>
      <c r="D77" s="705" t="s">
        <v>581</v>
      </c>
      <c r="E77" s="705" t="s">
        <v>582</v>
      </c>
      <c r="F77" s="705" t="s">
        <v>583</v>
      </c>
      <c r="G77" s="705" t="s">
        <v>584</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98</v>
      </c>
      <c r="E78" s="681">
        <f>D78-$K15</f>
        <v>96</v>
      </c>
      <c r="F78" s="681">
        <f>E78-$K15</f>
        <v>94</v>
      </c>
      <c r="G78" s="681">
        <f>F78-$K15</f>
        <v>92</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587</v>
      </c>
      <c r="C79" s="710" t="s">
        <v>580</v>
      </c>
      <c r="D79" s="710" t="s">
        <v>581</v>
      </c>
      <c r="E79" s="710" t="s">
        <v>582</v>
      </c>
      <c r="F79" s="710" t="s">
        <v>583</v>
      </c>
      <c r="G79" s="710" t="s">
        <v>584</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98</v>
      </c>
      <c r="E80" s="681">
        <f>D80-$K17</f>
        <v>96</v>
      </c>
      <c r="F80" s="681">
        <f>E80-$K17</f>
        <v>94</v>
      </c>
      <c r="G80" s="681">
        <f>F80-$K17</f>
        <v>92</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2561</v>
      </c>
      <c r="C81" s="710" t="s">
        <v>580</v>
      </c>
      <c r="D81" s="710" t="s">
        <v>581</v>
      </c>
      <c r="E81" s="710" t="s">
        <v>582</v>
      </c>
      <c r="F81" s="710" t="s">
        <v>583</v>
      </c>
      <c r="G81" s="710" t="s">
        <v>584</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98</v>
      </c>
      <c r="E82" s="681">
        <f>D82-$K19</f>
        <v>96</v>
      </c>
      <c r="F82" s="681">
        <f>E82-$K19</f>
        <v>94</v>
      </c>
      <c r="G82" s="681">
        <f>F82-$K19</f>
        <v>92</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2562</v>
      </c>
      <c r="C83" s="2626" t="s">
        <v>2563</v>
      </c>
      <c r="D83" s="2626" t="s">
        <v>2564</v>
      </c>
      <c r="E83" s="2626" t="s">
        <v>2565</v>
      </c>
      <c r="F83" s="2626" t="s">
        <v>2566</v>
      </c>
      <c r="G83" s="2626" t="s">
        <v>2567</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785</v>
      </c>
      <c r="C85" s="710" t="s">
        <v>580</v>
      </c>
      <c r="D85" s="710" t="s">
        <v>581</v>
      </c>
      <c r="E85" s="710" t="s">
        <v>582</v>
      </c>
      <c r="F85" s="710" t="s">
        <v>583</v>
      </c>
      <c r="G85" s="710" t="s">
        <v>584</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98</v>
      </c>
      <c r="E86" s="681">
        <f>D86-$K23</f>
        <v>96</v>
      </c>
      <c r="F86" s="681">
        <f>E86-$K23</f>
        <v>94</v>
      </c>
      <c r="G86" s="681">
        <f>F86-$K23</f>
        <v>92</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786</v>
      </c>
      <c r="C87" s="690" t="str">
        <f>'比较法-住宅、综合'!C108</f>
        <v>高速路</v>
      </c>
      <c r="D87" s="690" t="str">
        <f>'比较法-住宅、综合'!D108</f>
        <v>快速路</v>
      </c>
      <c r="E87" s="690" t="str">
        <f>'比较法-住宅、综合'!E108</f>
        <v>主干道</v>
      </c>
      <c r="F87" s="690" t="str">
        <f>'比较法-住宅、综合'!F108</f>
        <v>次干道</v>
      </c>
      <c r="G87" s="690" t="str">
        <f>'比较法-住宅、综合'!G108</f>
        <v>支路</v>
      </c>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99</v>
      </c>
      <c r="E88" s="681">
        <f t="shared" si="19"/>
        <v>98</v>
      </c>
      <c r="F88" s="681">
        <f t="shared" si="19"/>
        <v>97</v>
      </c>
      <c r="G88" s="681">
        <f t="shared" si="19"/>
        <v>96</v>
      </c>
      <c r="H88" s="681">
        <f t="shared" si="19"/>
        <v>95</v>
      </c>
      <c r="I88" s="681">
        <f t="shared" si="19"/>
        <v>94</v>
      </c>
      <c r="J88" s="681">
        <f t="shared" si="19"/>
        <v>93</v>
      </c>
      <c r="K88" s="681">
        <f t="shared" si="19"/>
        <v>92</v>
      </c>
      <c r="L88" s="681">
        <f t="shared" si="19"/>
        <v>91</v>
      </c>
      <c r="M88" s="681">
        <f t="shared" si="19"/>
        <v>90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552</v>
      </c>
      <c r="B101" s="667" t="s">
        <v>748</v>
      </c>
      <c r="C101" s="3190" t="s">
        <v>3145</v>
      </c>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30" customHeight="1" thickTop="1">
      <c r="A103" s="671"/>
      <c r="B103" s="675" t="s">
        <v>749</v>
      </c>
      <c r="C103" s="710" t="str">
        <f>C104&amp;"(含)"&amp;"-"&amp;D104</f>
        <v>0(含)-100000</v>
      </c>
      <c r="D103" s="710" t="str">
        <f t="shared" ref="D103:L103" si="23">D104&amp;"(含)"&amp;"-"&amp;E104</f>
        <v>100000(含)-200000</v>
      </c>
      <c r="E103" s="710" t="str">
        <f t="shared" si="23"/>
        <v>200000(含)-300000</v>
      </c>
      <c r="F103" s="710" t="str">
        <f t="shared" si="23"/>
        <v>300000(含)-400000</v>
      </c>
      <c r="G103" s="710" t="str">
        <f t="shared" si="23"/>
        <v>400000(含)-500000</v>
      </c>
      <c r="H103" s="710" t="str">
        <f t="shared" si="23"/>
        <v>500000(含)-600000</v>
      </c>
      <c r="I103" s="710" t="str">
        <f t="shared" si="23"/>
        <v>600000(含)-700000</v>
      </c>
      <c r="J103" s="710" t="str">
        <f t="shared" si="23"/>
        <v>700000(含)-800000</v>
      </c>
      <c r="K103" s="710" t="str">
        <f t="shared" si="23"/>
        <v>800000(含)-900000</v>
      </c>
      <c r="L103" s="710" t="str">
        <f t="shared" si="23"/>
        <v>900000(含)-1000000</v>
      </c>
      <c r="M103" s="713" t="str">
        <f>M104&amp;"(含)"&amp;"-"&amp;P104</f>
        <v>1000000(含)-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v>0</v>
      </c>
      <c r="D104" s="732">
        <v>100000</v>
      </c>
      <c r="E104" s="732">
        <v>200000</v>
      </c>
      <c r="F104" s="732">
        <v>300000</v>
      </c>
      <c r="G104" s="732">
        <v>400000</v>
      </c>
      <c r="H104" s="732">
        <v>500000</v>
      </c>
      <c r="I104" s="732">
        <v>600000</v>
      </c>
      <c r="J104" s="732">
        <v>700000</v>
      </c>
      <c r="K104" s="732">
        <v>800000</v>
      </c>
      <c r="L104" s="732">
        <v>900000</v>
      </c>
      <c r="M104" s="732">
        <v>1000000</v>
      </c>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v>100</v>
      </c>
      <c r="D105" s="673">
        <v>102</v>
      </c>
      <c r="E105" s="673">
        <v>104</v>
      </c>
      <c r="F105" s="673">
        <v>106</v>
      </c>
      <c r="G105" s="673">
        <v>108</v>
      </c>
      <c r="H105" s="673">
        <v>110</v>
      </c>
      <c r="I105" s="673">
        <v>112</v>
      </c>
      <c r="J105" s="673">
        <v>114</v>
      </c>
      <c r="K105" s="673">
        <v>116</v>
      </c>
      <c r="L105" s="673">
        <v>118</v>
      </c>
      <c r="M105" s="673">
        <v>120</v>
      </c>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750</v>
      </c>
      <c r="C106" s="3189" t="s">
        <v>3142</v>
      </c>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752</v>
      </c>
      <c r="C108" s="3189" t="s">
        <v>3144</v>
      </c>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787</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754</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2560</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788</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776</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756</v>
      </c>
      <c r="C123" s="3189" t="s">
        <v>3144</v>
      </c>
      <c r="D123" s="3189" t="s">
        <v>3146</v>
      </c>
      <c r="E123" s="3189" t="s">
        <v>3147</v>
      </c>
      <c r="F123" s="3191" t="s">
        <v>3148</v>
      </c>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98</v>
      </c>
      <c r="E124" s="681">
        <f t="shared" si="30"/>
        <v>96</v>
      </c>
      <c r="F124" s="681">
        <f t="shared" si="30"/>
        <v>94</v>
      </c>
      <c r="G124" s="681">
        <f t="shared" si="30"/>
        <v>92</v>
      </c>
      <c r="H124" s="681">
        <f t="shared" si="30"/>
        <v>90</v>
      </c>
      <c r="I124" s="681">
        <f t="shared" si="30"/>
        <v>88</v>
      </c>
      <c r="J124" s="681">
        <f t="shared" si="30"/>
        <v>86</v>
      </c>
      <c r="K124" s="681">
        <f t="shared" si="30"/>
        <v>84</v>
      </c>
      <c r="L124" s="681">
        <f t="shared" si="30"/>
        <v>82</v>
      </c>
      <c r="M124" s="682">
        <f t="shared" si="30"/>
        <v>80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0.9</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A4:F4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2983</v>
      </c>
      <c r="D1" s="3160" t="s">
        <v>953</v>
      </c>
      <c r="E1" s="2415" t="s">
        <v>871</v>
      </c>
      <c r="F1" s="2416">
        <f ca="1">J53</f>
        <v>35.04</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42679</v>
      </c>
      <c r="C2" s="2061"/>
      <c r="D2" s="2059"/>
      <c r="E2" s="2060"/>
      <c r="F2" s="2060"/>
      <c r="G2" s="1593"/>
      <c r="H2" s="2061"/>
      <c r="I2" s="2061"/>
      <c r="J2" s="2061"/>
      <c r="K2" s="2062"/>
      <c r="L2" s="2061"/>
      <c r="M2" s="2061"/>
    </row>
    <row r="3" spans="1:33" ht="18" customHeight="1" thickBot="1">
      <c r="A3" s="835" t="s">
        <v>520</v>
      </c>
      <c r="B3" s="836">
        <f ca="1">IF(ISERROR(B2*10000/F43),0,ROUND(B2*10000/F43,0))</f>
        <v>20763</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3347</v>
      </c>
      <c r="D5" s="2524" t="s">
        <v>2464</v>
      </c>
      <c r="E5" s="2518"/>
      <c r="F5" s="2519"/>
      <c r="G5" s="1595"/>
      <c r="H5" s="783">
        <v>1</v>
      </c>
      <c r="I5" s="784" t="s">
        <v>2461</v>
      </c>
      <c r="J5" s="55">
        <f ca="1">J6+J10+J12</f>
        <v>0</v>
      </c>
      <c r="K5" s="2524" t="s">
        <v>2464</v>
      </c>
      <c r="L5" s="2518"/>
      <c r="M5" s="2519"/>
    </row>
    <row r="6" spans="1:33" ht="18" customHeight="1">
      <c r="A6" s="1834" t="s">
        <v>1823</v>
      </c>
      <c r="B6" s="3437" t="s">
        <v>2466</v>
      </c>
      <c r="C6" s="785">
        <f ca="1">ROUND(F6*F8*F7*(1-F9)/10000,0)</f>
        <v>3342</v>
      </c>
      <c r="D6" s="2525" t="s">
        <v>2465</v>
      </c>
      <c r="E6" s="786" t="s">
        <v>638</v>
      </c>
      <c r="F6" s="787">
        <f ca="1">INDIRECT("'数据-取费表'!u"&amp;$G$1)</f>
        <v>4.95</v>
      </c>
      <c r="G6" s="1595"/>
      <c r="H6" s="2532" t="s">
        <v>1823</v>
      </c>
      <c r="I6" s="3437" t="s">
        <v>2466</v>
      </c>
      <c r="J6" s="785">
        <f ca="1">ROUND(M6*M8*M7*(1-M9)/10000,0)</f>
        <v>0</v>
      </c>
      <c r="K6" s="343" t="s">
        <v>1736</v>
      </c>
      <c r="L6" s="786" t="s">
        <v>638</v>
      </c>
      <c r="M6" s="787">
        <f ca="1">INDIRECT("'数据-取费表'!z"&amp;$G$1)</f>
        <v>0</v>
      </c>
    </row>
    <row r="7" spans="1:33" ht="18" customHeight="1">
      <c r="A7" s="2528"/>
      <c r="B7" s="3438"/>
      <c r="C7" s="790"/>
      <c r="D7" s="791"/>
      <c r="E7" s="786" t="s">
        <v>639</v>
      </c>
      <c r="F7" s="787">
        <f ca="1">IF(INDIRECT("'数据-取费表'!ah"&amp;$G$1)="",INDIRECT("'数据-取费表'!k"&amp;$G$1),INDIRECT("'数据-取费表'!ah"&amp;$G$1))</f>
        <v>20555.32</v>
      </c>
      <c r="G7" s="1595"/>
      <c r="H7" s="2517"/>
      <c r="I7" s="3438"/>
      <c r="J7" s="790"/>
      <c r="K7" s="791"/>
      <c r="L7" s="786" t="s">
        <v>639</v>
      </c>
      <c r="M7" s="787">
        <f ca="1">F7</f>
        <v>20555.32</v>
      </c>
    </row>
    <row r="8" spans="1:33" ht="18" customHeight="1">
      <c r="A8" s="2521"/>
      <c r="B8" s="3439"/>
      <c r="C8" s="790"/>
      <c r="D8" s="791"/>
      <c r="E8" s="786" t="s">
        <v>640</v>
      </c>
      <c r="F8" s="787">
        <f ca="1">INDIRECT("'数据-取费表'!ai"&amp;$G$1)</f>
        <v>365</v>
      </c>
      <c r="G8" s="1595"/>
      <c r="H8" s="2517"/>
      <c r="I8" s="3439"/>
      <c r="J8" s="790"/>
      <c r="K8" s="791"/>
      <c r="L8" s="786" t="s">
        <v>640</v>
      </c>
      <c r="M8" s="787">
        <f ca="1">INDIRECT("'数据-取费表'!ai"&amp;$G$1)</f>
        <v>365</v>
      </c>
    </row>
    <row r="9" spans="1:33" ht="18" customHeight="1">
      <c r="A9" s="788"/>
      <c r="B9" s="3440"/>
      <c r="C9" s="790"/>
      <c r="D9" s="791"/>
      <c r="E9" s="786" t="s">
        <v>1740</v>
      </c>
      <c r="F9" s="796">
        <f ca="1">INDIRECT("'数据-取费表'!w"&amp;$G$1)</f>
        <v>0.1</v>
      </c>
      <c r="G9" s="1595"/>
      <c r="H9" s="2533"/>
      <c r="I9" s="3439"/>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5</v>
      </c>
      <c r="D10" s="2529" t="s">
        <v>2469</v>
      </c>
      <c r="E10" s="2526" t="s">
        <v>2467</v>
      </c>
      <c r="F10" s="2649" t="s">
        <v>3137</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13729</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8717</v>
      </c>
      <c r="D14" s="3168" t="s">
        <v>1744</v>
      </c>
      <c r="E14" s="3169"/>
      <c r="F14" s="807"/>
      <c r="G14" s="1595"/>
      <c r="H14" s="1652" t="s">
        <v>1823</v>
      </c>
      <c r="I14" s="2235" t="s">
        <v>2831</v>
      </c>
      <c r="J14" s="53">
        <f ca="1">C29</f>
        <v>13729</v>
      </c>
      <c r="K14" s="26"/>
      <c r="L14" s="803"/>
      <c r="M14" s="804"/>
    </row>
    <row r="15" spans="1:33" s="2068" customFormat="1" ht="18" customHeight="1" thickBot="1">
      <c r="A15" s="1651" t="s">
        <v>1831</v>
      </c>
      <c r="B15" s="786" t="s">
        <v>648</v>
      </c>
      <c r="C15" s="53">
        <f ca="1">ROUND(C14*F15,0)</f>
        <v>262</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321</v>
      </c>
      <c r="K16" s="1825" t="s">
        <v>653</v>
      </c>
      <c r="L16" s="3170"/>
      <c r="M16" s="2519"/>
    </row>
    <row r="17" spans="1:33" s="2068" customFormat="1" ht="18" customHeight="1">
      <c r="A17" s="1651" t="s">
        <v>1886</v>
      </c>
      <c r="B17" s="786" t="s">
        <v>654</v>
      </c>
      <c r="C17" s="53">
        <f ca="1">ROUND(F17*(F43+INDIRECT("'数据-取费表'!S"&amp;$G$1))/10000,0)</f>
        <v>451</v>
      </c>
      <c r="D17" s="786" t="s">
        <v>655</v>
      </c>
      <c r="E17" s="786" t="s">
        <v>656</v>
      </c>
      <c r="F17" s="56">
        <f>'数据-取费表'!B35</f>
        <v>200</v>
      </c>
      <c r="G17" s="1596"/>
      <c r="H17" s="1652" t="s">
        <v>1823</v>
      </c>
      <c r="I17" s="786" t="s">
        <v>657</v>
      </c>
      <c r="J17" s="53">
        <f ca="1">ROUND(IF(项目基本情况!B11="自然人",J5*M17,J18+J19+J20),0)</f>
        <v>115</v>
      </c>
      <c r="K17" s="3168" t="s">
        <v>658</v>
      </c>
      <c r="L17" s="3167"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131</v>
      </c>
      <c r="D18" s="786" t="s">
        <v>649</v>
      </c>
      <c r="E18" s="786" t="s">
        <v>650</v>
      </c>
      <c r="F18" s="811">
        <f>'数据-取费表'!B36</f>
        <v>1.4999999999999999E-2</v>
      </c>
      <c r="G18" s="1596"/>
      <c r="H18" s="1651" t="s">
        <v>1830</v>
      </c>
      <c r="I18" s="786" t="s">
        <v>661</v>
      </c>
      <c r="J18" s="53">
        <f ca="1">ROUND(J5*M18/1.05,1)</f>
        <v>0</v>
      </c>
      <c r="K18" s="3167"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9561</v>
      </c>
      <c r="D19" s="260" t="s">
        <v>664</v>
      </c>
      <c r="E19" s="3172"/>
      <c r="F19" s="56"/>
      <c r="G19" s="1595"/>
      <c r="H19" s="1651" t="s">
        <v>1831</v>
      </c>
      <c r="I19" s="786" t="s">
        <v>665</v>
      </c>
      <c r="J19" s="53">
        <f ca="1">IF(K19="按租金收入计税",ROUND(J5*M19,1),ROUND(C29*F33*0.7,1))</f>
        <v>115.3</v>
      </c>
      <c r="K19" s="813" t="s">
        <v>666</v>
      </c>
      <c r="L19" s="786" t="s">
        <v>650</v>
      </c>
      <c r="M19" s="811">
        <f>IF(K19="按租金收入计税",'数据-取费表'!B51,'数据-取费表'!B50)</f>
        <v>1.2E-2</v>
      </c>
    </row>
    <row r="20" spans="1:33" s="2068" customFormat="1" ht="18" customHeight="1">
      <c r="A20" s="1652" t="s">
        <v>1888</v>
      </c>
      <c r="B20" s="786" t="s">
        <v>667</v>
      </c>
      <c r="C20" s="53">
        <f ca="1">ROUND(C19*F20,0)</f>
        <v>191</v>
      </c>
      <c r="D20" s="814" t="s">
        <v>1758</v>
      </c>
      <c r="E20" s="786" t="s">
        <v>650</v>
      </c>
      <c r="F20" s="811">
        <f>'数据-取费表'!B37</f>
        <v>0.02</v>
      </c>
      <c r="G20" s="1596"/>
      <c r="H20" s="1654" t="s">
        <v>1832</v>
      </c>
      <c r="I20" s="343" t="s">
        <v>1759</v>
      </c>
      <c r="J20" s="54">
        <f ca="1">ROUND(M20*M21/10000,0)</f>
        <v>0</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1727.3</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2"/>
      <c r="F22" s="56"/>
      <c r="G22" s="1595"/>
      <c r="H22" s="1652" t="s">
        <v>1888</v>
      </c>
      <c r="I22" s="786" t="s">
        <v>677</v>
      </c>
      <c r="J22" s="53">
        <f ca="1">ROUND(J14*M22,0)</f>
        <v>206</v>
      </c>
      <c r="K22" s="3167"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463</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7"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2"/>
      <c r="F25" s="56"/>
      <c r="G25" s="1595"/>
      <c r="H25" s="1833" t="s">
        <v>1775</v>
      </c>
      <c r="I25" s="3040" t="s">
        <v>2828</v>
      </c>
      <c r="J25" s="794">
        <f ca="1">J5-J16</f>
        <v>-321</v>
      </c>
      <c r="K25" s="2576" t="s">
        <v>701</v>
      </c>
      <c r="L25" s="2577"/>
      <c r="M25" s="2578"/>
    </row>
    <row r="26" spans="1:33" ht="18" customHeight="1">
      <c r="A26" s="1651" t="s">
        <v>1830</v>
      </c>
      <c r="B26" s="786" t="s">
        <v>2440</v>
      </c>
      <c r="C26" s="53">
        <f ca="1">ROUND((C19+C20)*F26,0)</f>
        <v>2438</v>
      </c>
      <c r="D26" s="814" t="s">
        <v>1777</v>
      </c>
      <c r="E26" s="797" t="s">
        <v>1778</v>
      </c>
      <c r="F26" s="796">
        <f ca="1">INDIRECT("'数据-取费表'!q"&amp;$G$1)</f>
        <v>0.25</v>
      </c>
      <c r="G26" s="1595"/>
      <c r="H26" s="2530" t="s">
        <v>1779</v>
      </c>
      <c r="I26" s="2236" t="s">
        <v>2833</v>
      </c>
      <c r="J26" s="785">
        <f ca="1">IF(J5&lt;&gt;0,ROUND(J25*(1-((1+M28)/(1+M26))^M27)/(M26-M28),0),0)</f>
        <v>0</v>
      </c>
      <c r="K26" s="816" t="s">
        <v>1780</v>
      </c>
      <c r="L26" s="786" t="s">
        <v>2421</v>
      </c>
      <c r="M26" s="796">
        <f ca="1">INDIRECT("'数据-取费表'!I"&amp;$G$1)</f>
        <v>5.5E-2</v>
      </c>
    </row>
    <row r="27" spans="1:33" ht="18" customHeight="1">
      <c r="A27" s="1651" t="s">
        <v>1831</v>
      </c>
      <c r="B27" s="786" t="s">
        <v>687</v>
      </c>
      <c r="C27" s="53">
        <f ca="1">ROUND(F21*F26,4)</f>
        <v>5.0000000000000001E-3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13729</v>
      </c>
      <c r="D29" s="2573"/>
      <c r="E29" s="2574"/>
      <c r="F29" s="2575"/>
      <c r="G29" s="1596"/>
      <c r="H29" s="825" t="s">
        <v>1786</v>
      </c>
      <c r="I29" s="826" t="s">
        <v>1787</v>
      </c>
      <c r="J29" s="827">
        <f ca="1">ROUND(J26/(1+F40)^F41,0)</f>
        <v>0</v>
      </c>
      <c r="K29" s="828" t="s">
        <v>1788</v>
      </c>
      <c r="L29" s="829"/>
      <c r="M29" s="830">
        <f ca="1">INDIRECT("'数据-取费表'!k"&amp;$G$1)</f>
        <v>20555.32</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575</v>
      </c>
      <c r="D30" s="1825" t="s">
        <v>653</v>
      </c>
      <c r="E30" s="3170"/>
      <c r="F30" s="2519"/>
      <c r="G30" s="2066"/>
      <c r="H30" s="2069"/>
      <c r="I30" s="2070"/>
      <c r="J30" s="2071"/>
      <c r="K30" s="2072"/>
      <c r="L30" s="2073"/>
      <c r="M30" s="2074"/>
    </row>
    <row r="31" spans="1:33" ht="18" customHeight="1">
      <c r="A31" s="1652" t="s">
        <v>1823</v>
      </c>
      <c r="B31" s="786" t="s">
        <v>657</v>
      </c>
      <c r="C31" s="53">
        <f ca="1">ROUND(IF(项目基本情况!B11="自然人",C5*F31,C32+C33+C34),1)</f>
        <v>290.89999999999998</v>
      </c>
      <c r="D31" s="3168" t="s">
        <v>658</v>
      </c>
      <c r="E31" s="3167"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175.3</v>
      </c>
      <c r="D32" s="3167"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115.3</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0.3</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1727.3</v>
      </c>
      <c r="G35" s="2066"/>
      <c r="H35" s="2069"/>
      <c r="I35" s="839" t="s">
        <v>1813</v>
      </c>
      <c r="J35" s="840">
        <f ca="1">ROUND(C13*J36,0)</f>
        <v>1167</v>
      </c>
      <c r="K35" s="2082"/>
      <c r="L35" s="2081"/>
      <c r="M35" s="2081"/>
    </row>
    <row r="36" spans="1:18" ht="18" customHeight="1">
      <c r="A36" s="1652" t="s">
        <v>1888</v>
      </c>
      <c r="B36" s="786" t="s">
        <v>677</v>
      </c>
      <c r="C36" s="53">
        <f ca="1">ROUND(C29*F36,1)</f>
        <v>205.9</v>
      </c>
      <c r="D36" s="3167"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27.5</v>
      </c>
      <c r="D37" s="3167"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50.2</v>
      </c>
      <c r="D38" s="2573" t="s">
        <v>1773</v>
      </c>
      <c r="E38" s="2574" t="s">
        <v>650</v>
      </c>
      <c r="F38" s="2570">
        <f ca="1">INDIRECT("'数据-取费表'!Am"&amp;$G$1)</f>
        <v>1.4999999999999999E-2</v>
      </c>
      <c r="G38" s="2066"/>
      <c r="H38" s="2081"/>
      <c r="I38" s="845" t="s">
        <v>1816</v>
      </c>
      <c r="J38" s="846"/>
      <c r="K38" s="2087"/>
      <c r="L38" s="2081"/>
      <c r="M38" s="2081"/>
    </row>
    <row r="39" spans="1:18" ht="24.6" customHeight="1" thickTop="1">
      <c r="A39" s="1833" t="s">
        <v>1775</v>
      </c>
      <c r="B39" s="3040" t="s">
        <v>2828</v>
      </c>
      <c r="C39" s="794">
        <f ca="1">C5-C30</f>
        <v>2772</v>
      </c>
      <c r="D39" s="2576" t="s">
        <v>701</v>
      </c>
      <c r="E39" s="2577"/>
      <c r="F39" s="2578"/>
      <c r="G39" s="2066"/>
      <c r="H39" s="2081"/>
      <c r="I39" s="839" t="s">
        <v>1817</v>
      </c>
      <c r="J39" s="847">
        <f ca="1">ROUND(J35/C39,3)</f>
        <v>0.42099999999999999</v>
      </c>
      <c r="K39" s="2087"/>
      <c r="L39" s="2081"/>
      <c r="M39" s="2081"/>
    </row>
    <row r="40" spans="1:18" ht="18" customHeight="1">
      <c r="A40" s="783" t="s">
        <v>1779</v>
      </c>
      <c r="B40" s="2236" t="s">
        <v>2302</v>
      </c>
      <c r="C40" s="785">
        <f ca="1">ROUND(C39*(1-((1+F42)/(1+F40))^F41)/(F40-F42),0)</f>
        <v>42679</v>
      </c>
      <c r="D40" s="816" t="s">
        <v>1780</v>
      </c>
      <c r="E40" s="786" t="s">
        <v>2421</v>
      </c>
      <c r="F40" s="796">
        <f ca="1">INDIRECT("'数据-取费表'!I"&amp;$G$1)</f>
        <v>5.5E-2</v>
      </c>
      <c r="G40" s="2066"/>
      <c r="H40" s="2066"/>
      <c r="I40" s="839" t="s">
        <v>1818</v>
      </c>
      <c r="J40" s="847">
        <f ca="1">1-J39</f>
        <v>0.57899999999999996</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35.04</v>
      </c>
      <c r="G41" s="2066"/>
      <c r="H41" s="1992"/>
      <c r="I41" s="845" t="s">
        <v>1819</v>
      </c>
      <c r="J41" s="848"/>
      <c r="K41" s="2086"/>
      <c r="L41" s="1992"/>
      <c r="M41" s="1992"/>
    </row>
    <row r="42" spans="1:18" ht="18" customHeight="1">
      <c r="A42" s="792"/>
      <c r="B42" s="793"/>
      <c r="C42" s="794"/>
      <c r="D42" s="818"/>
      <c r="E42" s="786" t="s">
        <v>711</v>
      </c>
      <c r="F42" s="796">
        <f ca="1">INDIRECT("'数据-取费表'!v"&amp;$G$1)</f>
        <v>0</v>
      </c>
      <c r="G42" s="2066"/>
      <c r="H42" s="1992"/>
      <c r="I42" s="849" t="s">
        <v>1820</v>
      </c>
      <c r="J42" s="847">
        <f ca="1">ROUND(C13/C40,3)</f>
        <v>0.32200000000000001</v>
      </c>
      <c r="K42" s="2086"/>
      <c r="L42" s="1992"/>
      <c r="M42" s="1992"/>
    </row>
    <row r="43" spans="1:18" ht="18" customHeight="1" thickBot="1">
      <c r="A43" s="825" t="s">
        <v>1786</v>
      </c>
      <c r="B43" s="826" t="s">
        <v>1809</v>
      </c>
      <c r="C43" s="827">
        <f ca="1">ROUND(C40*10000/F43,0)</f>
        <v>20763</v>
      </c>
      <c r="D43" s="828" t="s">
        <v>1810</v>
      </c>
      <c r="E43" s="829" t="s">
        <v>1811</v>
      </c>
      <c r="F43" s="830">
        <f ca="1">INDIRECT("'数据-取费表'!k"&amp;$G$1)</f>
        <v>20555.32</v>
      </c>
      <c r="G43" s="2066"/>
      <c r="H43" s="1992"/>
      <c r="I43" s="849" t="s">
        <v>1821</v>
      </c>
      <c r="J43" s="850">
        <f ca="1">1-J42</f>
        <v>0.67799999999999994</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-48052</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3136</v>
      </c>
      <c r="K47" s="2392" t="s">
        <v>2351</v>
      </c>
      <c r="L47" s="2393">
        <f ca="1">INDIRECT("'数据-取费表'!d"&amp;$G$1)</f>
        <v>40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35.04</v>
      </c>
      <c r="O48" s="2426" t="s">
        <v>2381</v>
      </c>
      <c r="P48" s="2427" t="s">
        <v>2407</v>
      </c>
      <c r="Q48" s="2428">
        <f ca="1">C40+J29</f>
        <v>42679</v>
      </c>
      <c r="R48" s="2427" t="s">
        <v>2382</v>
      </c>
    </row>
    <row r="49" spans="1:18" s="2063" customFormat="1" ht="18" customHeight="1" thickBot="1">
      <c r="A49" s="788"/>
      <c r="B49" s="789"/>
      <c r="C49" s="790"/>
      <c r="D49" s="791"/>
      <c r="E49" s="786" t="s">
        <v>639</v>
      </c>
      <c r="F49" s="787">
        <f ca="1">F7</f>
        <v>20555.32</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13729</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26293</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35.04</v>
      </c>
      <c r="K53" s="3453" t="s">
        <v>2972</v>
      </c>
      <c r="L53" s="3454"/>
      <c r="O53" s="2429" t="s">
        <v>2390</v>
      </c>
      <c r="P53" s="2427" t="s">
        <v>2391</v>
      </c>
      <c r="Q53" s="2428">
        <f ca="1">J53</f>
        <v>35.04</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42679</v>
      </c>
      <c r="R54" s="2431" t="s">
        <v>2394</v>
      </c>
    </row>
    <row r="55" spans="1:18" s="2063" customFormat="1" ht="18" customHeight="1" thickTop="1" thickBot="1">
      <c r="A55" s="799">
        <v>2</v>
      </c>
      <c r="B55" s="800" t="s">
        <v>645</v>
      </c>
      <c r="C55" s="801">
        <f ca="1">C13</f>
        <v>13729</v>
      </c>
      <c r="D55" s="797"/>
      <c r="E55" s="797"/>
      <c r="F55" s="802"/>
      <c r="I55" s="3131" t="s">
        <v>2357</v>
      </c>
      <c r="J55" s="3130"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13729</v>
      </c>
      <c r="D56" s="3167"/>
      <c r="E56" s="786"/>
      <c r="F56" s="811"/>
      <c r="I56" s="2407" t="s">
        <v>2359</v>
      </c>
      <c r="J56" s="3154"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349</v>
      </c>
      <c r="D57" s="26" t="s">
        <v>653</v>
      </c>
      <c r="E57" s="3172"/>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42679</v>
      </c>
      <c r="R57" s="2427" t="s">
        <v>2382</v>
      </c>
    </row>
    <row r="58" spans="1:18" s="2063" customFormat="1" ht="28.5" customHeight="1" thickBot="1">
      <c r="A58" s="1652" t="s">
        <v>1823</v>
      </c>
      <c r="B58" s="786" t="s">
        <v>657</v>
      </c>
      <c r="C58" s="53">
        <f ca="1">ROUND(IF(项目基本情况!B11="自然人",C47*F58,C59+C60+C61),1)</f>
        <v>115.6</v>
      </c>
      <c r="D58" s="3168" t="s">
        <v>658</v>
      </c>
      <c r="E58" s="3167" t="s">
        <v>691</v>
      </c>
      <c r="F58" s="812" t="str">
        <f ca="1">IF(项目基本情况!B11="企业","",IF(INDIRECT("'数据-取费表'!c"&amp;$G$1)="住宅",5%,IF(F48*F49*F50/12/(1+'数据-取费表'!C42)&gt;20000,12%,7%)))</f>
        <v/>
      </c>
      <c r="I58" s="2408" t="s">
        <v>2361</v>
      </c>
      <c r="J58" s="3132"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7" t="s">
        <v>662</v>
      </c>
      <c r="E59" s="786" t="s">
        <v>650</v>
      </c>
      <c r="F59" s="811">
        <f t="shared" ref="F59:F65" si="0">F32</f>
        <v>5.5000000000000007E-2</v>
      </c>
      <c r="I59" s="2408" t="s">
        <v>2362</v>
      </c>
      <c r="J59" s="2410" t="str">
        <f ca="1">IF(OR(M47="住宅",J51&lt;L48,J56="是"),"——",ROUND(C29*J58,0))</f>
        <v>——</v>
      </c>
      <c r="K59" s="3161"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115.3</v>
      </c>
      <c r="D60" s="3167"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0.3</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1727.3</v>
      </c>
      <c r="I62" s="2413" t="s">
        <v>2369</v>
      </c>
      <c r="J62" s="2414" t="s">
        <v>2370</v>
      </c>
      <c r="K62" s="2414" t="s">
        <v>2371</v>
      </c>
      <c r="L62" s="2414" t="s">
        <v>2352</v>
      </c>
      <c r="M62" s="3133" t="s">
        <v>2947</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205.9</v>
      </c>
      <c r="D63" s="3167" t="s">
        <v>692</v>
      </c>
      <c r="E63" s="786" t="s">
        <v>650</v>
      </c>
      <c r="F63" s="819">
        <f t="shared" ca="1" si="0"/>
        <v>1.4999999999999999E-2</v>
      </c>
      <c r="I63" s="2413" t="s">
        <v>2372</v>
      </c>
      <c r="J63" s="2414">
        <v>70</v>
      </c>
      <c r="K63" s="2414">
        <v>50</v>
      </c>
      <c r="L63" s="2414">
        <v>80</v>
      </c>
      <c r="M63" s="3134">
        <v>0.02</v>
      </c>
      <c r="O63" s="2426" t="s">
        <v>2393</v>
      </c>
      <c r="P63" s="2427" t="s">
        <v>2410</v>
      </c>
      <c r="Q63" s="2428">
        <f ca="1">Q57+Q58</f>
        <v>42679</v>
      </c>
      <c r="R63" s="2431" t="s">
        <v>2394</v>
      </c>
    </row>
    <row r="64" spans="1:18" s="2063" customFormat="1" ht="16.5" thickBot="1">
      <c r="A64" s="1652" t="s">
        <v>1889</v>
      </c>
      <c r="B64" s="786" t="s">
        <v>680</v>
      </c>
      <c r="C64" s="53">
        <f ca="1">ROUND(C55*F64,1)</f>
        <v>27.5</v>
      </c>
      <c r="D64" s="3167" t="s">
        <v>681</v>
      </c>
      <c r="E64" s="786" t="s">
        <v>650</v>
      </c>
      <c r="F64" s="820">
        <f t="shared" ca="1" si="0"/>
        <v>2E-3</v>
      </c>
      <c r="I64" s="2413" t="s">
        <v>2373</v>
      </c>
      <c r="J64" s="2414">
        <v>50</v>
      </c>
      <c r="K64" s="2414">
        <v>35</v>
      </c>
      <c r="L64" s="2414">
        <v>60</v>
      </c>
      <c r="M64" s="3135">
        <v>0</v>
      </c>
      <c r="O64" s="2432" t="s">
        <v>2417</v>
      </c>
      <c r="P64" s="1595"/>
      <c r="Q64" s="1607"/>
      <c r="R64" s="1595"/>
    </row>
    <row r="65" spans="1:18" s="2063" customFormat="1" ht="15.75" thickBot="1">
      <c r="A65" s="1652" t="s">
        <v>1890</v>
      </c>
      <c r="B65" s="786" t="s">
        <v>667</v>
      </c>
      <c r="C65" s="53">
        <f ca="1">ROUND(C47*F65,1)</f>
        <v>0</v>
      </c>
      <c r="D65" s="3167" t="s">
        <v>684</v>
      </c>
      <c r="E65" s="786" t="s">
        <v>650</v>
      </c>
      <c r="F65" s="796">
        <f t="shared" ca="1" si="0"/>
        <v>1.4999999999999999E-2</v>
      </c>
      <c r="I65" s="2413" t="s">
        <v>2374</v>
      </c>
      <c r="J65" s="2414">
        <v>40</v>
      </c>
      <c r="K65" s="2414">
        <v>30</v>
      </c>
      <c r="L65" s="2414">
        <v>50</v>
      </c>
      <c r="M65" s="3134">
        <v>0.02</v>
      </c>
      <c r="O65" s="2423" t="s">
        <v>2377</v>
      </c>
      <c r="P65" s="2424" t="s">
        <v>2378</v>
      </c>
      <c r="Q65" s="2425" t="s">
        <v>2379</v>
      </c>
      <c r="R65" s="2424" t="s">
        <v>2380</v>
      </c>
    </row>
    <row r="66" spans="1:18" s="2063" customFormat="1" ht="24.75" thickBot="1">
      <c r="A66" s="799" t="s">
        <v>1775</v>
      </c>
      <c r="B66" s="3041" t="s">
        <v>2828</v>
      </c>
      <c r="C66" s="801">
        <f ca="1">C47-C57</f>
        <v>-349</v>
      </c>
      <c r="D66" s="3168" t="s">
        <v>701</v>
      </c>
      <c r="E66" s="3171"/>
      <c r="F66" s="822"/>
      <c r="K66" s="2090"/>
      <c r="O66" s="2426" t="s">
        <v>2381</v>
      </c>
      <c r="P66" s="2427" t="s">
        <v>2407</v>
      </c>
      <c r="Q66" s="2428">
        <f ca="1">C40+J29</f>
        <v>42679</v>
      </c>
      <c r="R66" s="2427" t="s">
        <v>2382</v>
      </c>
    </row>
    <row r="67" spans="1:18" s="2063" customFormat="1" ht="20.25" thickBot="1">
      <c r="A67" s="783" t="s">
        <v>1779</v>
      </c>
      <c r="B67" s="2236" t="s">
        <v>2302</v>
      </c>
      <c r="C67" s="785">
        <f ca="1">ROUND(C66*(1-((1+F69)/(1+F67))^F68)/(F67-F69),0)</f>
        <v>-5373</v>
      </c>
      <c r="D67" s="816" t="s">
        <v>705</v>
      </c>
      <c r="E67" s="786" t="s">
        <v>706</v>
      </c>
      <c r="F67" s="796">
        <f ca="1">F40</f>
        <v>5.5E-2</v>
      </c>
      <c r="K67" s="2090"/>
      <c r="O67" s="2426" t="s">
        <v>2383</v>
      </c>
      <c r="P67" s="2427" t="s">
        <v>2414</v>
      </c>
      <c r="Q67" s="2428">
        <f ca="1">L60</f>
        <v>0</v>
      </c>
      <c r="R67" s="2431" t="s">
        <v>2416</v>
      </c>
    </row>
    <row r="68" spans="1:18" ht="21.75" thickBot="1">
      <c r="A68" s="788"/>
      <c r="B68" s="789"/>
      <c r="C68" s="790"/>
      <c r="D68" s="823" t="s">
        <v>1807</v>
      </c>
      <c r="E68" s="786" t="s">
        <v>1783</v>
      </c>
      <c r="F68" s="824">
        <f ca="1">F41</f>
        <v>35.04</v>
      </c>
      <c r="O68" s="2429" t="s">
        <v>2385</v>
      </c>
      <c r="P68" s="2427" t="s">
        <v>2415</v>
      </c>
      <c r="Q68" s="2433">
        <f ca="1">L51</f>
        <v>26293</v>
      </c>
      <c r="R68" s="2434" t="s">
        <v>2418</v>
      </c>
    </row>
    <row r="69" spans="1:18" ht="20.25" thickBot="1">
      <c r="A69" s="792"/>
      <c r="B69" s="793"/>
      <c r="C69" s="794"/>
      <c r="D69" s="818"/>
      <c r="E69" s="786" t="s">
        <v>711</v>
      </c>
      <c r="F69" s="2375"/>
      <c r="O69" s="2429" t="s">
        <v>2386</v>
      </c>
      <c r="P69" s="2435" t="s">
        <v>2400</v>
      </c>
      <c r="Q69" s="2428">
        <f ca="1">ROUND(Q70-Q71*Q72,0)</f>
        <v>1605</v>
      </c>
      <c r="R69" s="2431"/>
    </row>
    <row r="70" spans="1:18" ht="15.75" thickBot="1">
      <c r="A70" s="825" t="s">
        <v>1786</v>
      </c>
      <c r="B70" s="826" t="s">
        <v>1809</v>
      </c>
      <c r="C70" s="827">
        <f ca="1">ROUND(C67*10000/F70,0)</f>
        <v>-2614</v>
      </c>
      <c r="D70" s="828" t="s">
        <v>1810</v>
      </c>
      <c r="E70" s="829" t="s">
        <v>1811</v>
      </c>
      <c r="F70" s="830">
        <f ca="1">F43</f>
        <v>20555.32</v>
      </c>
      <c r="O70" s="2429" t="s">
        <v>2401</v>
      </c>
      <c r="P70" s="2435" t="s">
        <v>2402</v>
      </c>
      <c r="Q70" s="2428">
        <f ca="1">C39</f>
        <v>2772</v>
      </c>
      <c r="R70" s="2427" t="s">
        <v>2382</v>
      </c>
    </row>
    <row r="71" spans="1:18" ht="15.75" thickBot="1">
      <c r="O71" s="2429" t="s">
        <v>2403</v>
      </c>
      <c r="P71" s="2435" t="s">
        <v>2404</v>
      </c>
      <c r="Q71" s="2428">
        <f ca="1">C13</f>
        <v>13729</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42679</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7" priority="6">
      <formula>$L$48&gt;$J$51</formula>
    </cfRule>
  </conditionalFormatting>
  <conditionalFormatting sqref="I55">
    <cfRule type="expression" dxfId="86" priority="7">
      <formula>$J$51&gt;$L$48</formula>
    </cfRule>
  </conditionalFormatting>
  <conditionalFormatting sqref="I60">
    <cfRule type="expression" dxfId="85" priority="5">
      <formula>$J$51&gt;$L$48</formula>
    </cfRule>
  </conditionalFormatting>
  <conditionalFormatting sqref="K60">
    <cfRule type="expression" dxfId="84" priority="4">
      <formula>$L$48&gt;$J$51</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9" zoomScale="80" zoomScaleNormal="80" workbookViewId="0">
      <selection activeCell="A4" sqref="A4:F4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35</v>
      </c>
      <c r="D1" s="3160" t="s">
        <v>953</v>
      </c>
      <c r="E1" s="2415" t="s">
        <v>2376</v>
      </c>
      <c r="F1" s="2416">
        <f ca="1">J53</f>
        <v>45.05</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1725</v>
      </c>
      <c r="B2" s="777">
        <f ca="1">C40+J29+L46</f>
        <v>2471</v>
      </c>
      <c r="C2" s="2061"/>
      <c r="D2" s="2059"/>
      <c r="E2" s="2060"/>
      <c r="F2" s="2060"/>
      <c r="G2" s="1593"/>
      <c r="H2" s="2061"/>
      <c r="I2" s="2061"/>
      <c r="J2" s="2061"/>
      <c r="K2" s="2062"/>
      <c r="L2" s="2061"/>
      <c r="M2" s="2061"/>
    </row>
    <row r="3" spans="1:33" ht="18" customHeight="1" thickBot="1">
      <c r="A3" s="835" t="s">
        <v>1726</v>
      </c>
      <c r="B3" s="836">
        <f ca="1">IF(ISERROR(B2*10000/F43),0,ROUND(B2*10000/F43,0))</f>
        <v>3390</v>
      </c>
      <c r="C3" s="2061"/>
      <c r="D3" s="2059"/>
      <c r="E3" s="2060"/>
      <c r="F3" s="2060"/>
      <c r="G3" s="1593"/>
      <c r="H3" s="778" t="s">
        <v>696</v>
      </c>
      <c r="I3" s="1365"/>
      <c r="J3" s="1365"/>
      <c r="K3" s="1594"/>
      <c r="L3" s="1365"/>
      <c r="M3" s="1365"/>
    </row>
    <row r="4" spans="1:33" ht="18" customHeight="1">
      <c r="A4" s="779" t="s">
        <v>1727</v>
      </c>
      <c r="B4" s="780" t="s">
        <v>1728</v>
      </c>
      <c r="C4" s="780" t="s">
        <v>1729</v>
      </c>
      <c r="D4" s="780" t="s">
        <v>634</v>
      </c>
      <c r="E4" s="781" t="s">
        <v>1730</v>
      </c>
      <c r="F4" s="782"/>
      <c r="G4" s="1595"/>
      <c r="H4" s="779" t="s">
        <v>1731</v>
      </c>
      <c r="I4" s="780" t="s">
        <v>1732</v>
      </c>
      <c r="J4" s="780" t="s">
        <v>1733</v>
      </c>
      <c r="K4" s="780" t="s">
        <v>1734</v>
      </c>
      <c r="L4" s="781" t="s">
        <v>1735</v>
      </c>
      <c r="M4" s="782"/>
    </row>
    <row r="5" spans="1:33" ht="18" customHeight="1">
      <c r="A5" s="783">
        <v>1</v>
      </c>
      <c r="B5" s="784" t="s">
        <v>2461</v>
      </c>
      <c r="C5" s="55">
        <f ca="1">C6+C10+C12</f>
        <v>237</v>
      </c>
      <c r="D5" s="2524" t="s">
        <v>2464</v>
      </c>
      <c r="E5" s="2518"/>
      <c r="F5" s="2519"/>
      <c r="G5" s="1595"/>
      <c r="H5" s="783">
        <v>1</v>
      </c>
      <c r="I5" s="784" t="s">
        <v>2461</v>
      </c>
      <c r="J5" s="55">
        <f ca="1">J6+J10+J12</f>
        <v>0</v>
      </c>
      <c r="K5" s="2524" t="s">
        <v>2464</v>
      </c>
      <c r="L5" s="2518"/>
      <c r="M5" s="2519"/>
    </row>
    <row r="6" spans="1:33" ht="18" customHeight="1">
      <c r="A6" s="1834" t="s">
        <v>1823</v>
      </c>
      <c r="B6" s="3437" t="s">
        <v>2466</v>
      </c>
      <c r="C6" s="785">
        <f ca="1">ROUND(F6*F8*F7*(1-F9)/10000,0)</f>
        <v>237</v>
      </c>
      <c r="D6" s="2525" t="s">
        <v>2465</v>
      </c>
      <c r="E6" s="786" t="s">
        <v>1737</v>
      </c>
      <c r="F6" s="787">
        <f ca="1">INDIRECT("'数据-取费表'!u"&amp;$G$1)</f>
        <v>1000</v>
      </c>
      <c r="G6" s="1595"/>
      <c r="H6" s="2532" t="s">
        <v>2472</v>
      </c>
      <c r="I6" s="3437" t="s">
        <v>2466</v>
      </c>
      <c r="J6" s="785">
        <f ca="1">ROUND(M6*M8*M7*(1-M9)/10000,0)</f>
        <v>0</v>
      </c>
      <c r="K6" s="343" t="s">
        <v>1736</v>
      </c>
      <c r="L6" s="786" t="s">
        <v>1737</v>
      </c>
      <c r="M6" s="787">
        <f ca="1">INDIRECT("'数据-取费表'!z"&amp;$G$1)</f>
        <v>0</v>
      </c>
    </row>
    <row r="7" spans="1:33" ht="18" customHeight="1">
      <c r="A7" s="2528"/>
      <c r="B7" s="3438"/>
      <c r="C7" s="790"/>
      <c r="D7" s="791"/>
      <c r="E7" s="786" t="s">
        <v>1738</v>
      </c>
      <c r="F7" s="787">
        <f ca="1">IF(INDIRECT("'数据-取费表'!ah"&amp;$G$1)="",INDIRECT("'数据-取费表'!k"&amp;$G$1),INDIRECT("'数据-取费表'!ah"&amp;$G$1))</f>
        <v>208</v>
      </c>
      <c r="G7" s="1595"/>
      <c r="H7" s="2517"/>
      <c r="I7" s="3438"/>
      <c r="J7" s="790"/>
      <c r="K7" s="791"/>
      <c r="L7" s="786" t="s">
        <v>1738</v>
      </c>
      <c r="M7" s="787">
        <f ca="1">F7</f>
        <v>208</v>
      </c>
    </row>
    <row r="8" spans="1:33" ht="18" customHeight="1">
      <c r="A8" s="2521"/>
      <c r="B8" s="3439"/>
      <c r="C8" s="790"/>
      <c r="D8" s="791"/>
      <c r="E8" s="786" t="s">
        <v>1739</v>
      </c>
      <c r="F8" s="787">
        <f ca="1">INDIRECT("'数据-取费表'!ai"&amp;$G$1)</f>
        <v>12</v>
      </c>
      <c r="G8" s="1595"/>
      <c r="H8" s="2517"/>
      <c r="I8" s="3439"/>
      <c r="J8" s="790"/>
      <c r="K8" s="791"/>
      <c r="L8" s="786" t="s">
        <v>1739</v>
      </c>
      <c r="M8" s="787">
        <f ca="1">INDIRECT("'数据-取费表'!ai"&amp;$G$1)</f>
        <v>12</v>
      </c>
    </row>
    <row r="9" spans="1:33" ht="18" customHeight="1">
      <c r="A9" s="788"/>
      <c r="B9" s="3440"/>
      <c r="C9" s="790"/>
      <c r="D9" s="791"/>
      <c r="E9" s="786" t="s">
        <v>1740</v>
      </c>
      <c r="F9" s="796">
        <f ca="1">INDIRECT("'数据-取费表'!w"&amp;$G$1)</f>
        <v>0.05</v>
      </c>
      <c r="G9" s="1595"/>
      <c r="H9" s="2533"/>
      <c r="I9" s="3439"/>
      <c r="J9" s="790"/>
      <c r="K9" s="791"/>
      <c r="L9" s="797" t="s">
        <v>1740</v>
      </c>
      <c r="M9" s="798">
        <f ca="1">INDIRECT("'数据-取费表'!ab"&amp;$G$1)</f>
        <v>0</v>
      </c>
    </row>
    <row r="10" spans="1:33" ht="18" customHeight="1">
      <c r="A10" s="1834" t="s">
        <v>2470</v>
      </c>
      <c r="B10" s="2522" t="s">
        <v>2462</v>
      </c>
      <c r="C10" s="801">
        <f ca="1">ROUND(IF(F10="押一",F6*F8*F7/12*F11,IF(F10="押二",F6*F8*F7/12*2*F11,IF(F10="押三",F6*F8*F7/12*3*F11,C11*F11)))/10000,0)</f>
        <v>0</v>
      </c>
      <c r="D10" s="2529" t="s">
        <v>2469</v>
      </c>
      <c r="E10" s="2526" t="s">
        <v>2467</v>
      </c>
      <c r="F10" s="2649"/>
      <c r="G10" s="1595"/>
      <c r="H10" s="2589" t="s">
        <v>2473</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2468</v>
      </c>
      <c r="F11" s="798">
        <f ca="1">'数据-取费表'!B39</f>
        <v>1.4999999999999999E-2</v>
      </c>
      <c r="G11" s="1595"/>
      <c r="H11" s="2590"/>
      <c r="I11" s="2523" t="s">
        <v>2577</v>
      </c>
      <c r="J11" s="2527"/>
      <c r="K11" s="2591"/>
      <c r="L11" s="2526" t="s">
        <v>2468</v>
      </c>
      <c r="M11" s="2520">
        <f ca="1">'数据-取费表'!B39</f>
        <v>1.4999999999999999E-2</v>
      </c>
    </row>
    <row r="12" spans="1:33" ht="18" customHeight="1" thickBot="1">
      <c r="A12" s="2565" t="s">
        <v>2471</v>
      </c>
      <c r="B12" s="2566" t="s">
        <v>2463</v>
      </c>
      <c r="C12" s="2567"/>
      <c r="D12" s="2568"/>
      <c r="E12" s="2569"/>
      <c r="F12" s="2570"/>
      <c r="G12" s="1595"/>
      <c r="H12" s="2579" t="s">
        <v>2474</v>
      </c>
      <c r="I12" s="2592" t="s">
        <v>2463</v>
      </c>
      <c r="J12" s="2593"/>
      <c r="K12" s="2568"/>
      <c r="L12" s="2569"/>
      <c r="M12" s="2582"/>
    </row>
    <row r="13" spans="1:33" ht="18" customHeight="1" thickTop="1">
      <c r="A13" s="1833">
        <v>2</v>
      </c>
      <c r="B13" s="1831" t="s">
        <v>1741</v>
      </c>
      <c r="C13" s="794">
        <f ca="1">ROUND(C29*F13,0)</f>
        <v>3328</v>
      </c>
      <c r="D13" s="1838" t="s">
        <v>2298</v>
      </c>
      <c r="E13" s="1838" t="s">
        <v>1743</v>
      </c>
      <c r="F13" s="2564">
        <f ca="1">INDIRECT("'数据-取费表'!y"&amp;$G$1)</f>
        <v>1</v>
      </c>
      <c r="G13" s="1595"/>
      <c r="H13" s="1833">
        <v>2</v>
      </c>
      <c r="I13" s="1831" t="s">
        <v>1741</v>
      </c>
      <c r="J13" s="1823">
        <f ca="1">ROUND(J14*J15,0)</f>
        <v>0</v>
      </c>
      <c r="K13" s="1825" t="s">
        <v>1742</v>
      </c>
      <c r="L13" s="2580"/>
      <c r="M13" s="2581"/>
    </row>
    <row r="14" spans="1:33" ht="18" customHeight="1">
      <c r="A14" s="1651" t="s">
        <v>1883</v>
      </c>
      <c r="B14" s="786" t="s">
        <v>646</v>
      </c>
      <c r="C14" s="806">
        <f ca="1">INDIRECT("'数据-取费表'!m"&amp;$G$1)+INDIRECT("'数据-取费表'!t"&amp;$G$1)</f>
        <v>2363</v>
      </c>
      <c r="D14" s="1983" t="s">
        <v>1744</v>
      </c>
      <c r="E14" s="1984"/>
      <c r="F14" s="807"/>
      <c r="G14" s="1595"/>
      <c r="H14" s="1652" t="s">
        <v>1829</v>
      </c>
      <c r="I14" s="2235" t="s">
        <v>2832</v>
      </c>
      <c r="J14" s="53">
        <f ca="1">C29</f>
        <v>3328</v>
      </c>
      <c r="K14" s="26"/>
      <c r="L14" s="803"/>
      <c r="M14" s="804"/>
    </row>
    <row r="15" spans="1:33" s="2068" customFormat="1" ht="18" customHeight="1" thickBot="1">
      <c r="A15" s="1651" t="s">
        <v>1884</v>
      </c>
      <c r="B15" s="786" t="s">
        <v>648</v>
      </c>
      <c r="C15" s="53">
        <f ca="1">ROUND(C14*F15,0)</f>
        <v>71</v>
      </c>
      <c r="D15" s="808" t="s">
        <v>1745</v>
      </c>
      <c r="E15" s="808" t="s">
        <v>1746</v>
      </c>
      <c r="F15" s="809">
        <f>'数据-取费表'!B33</f>
        <v>0.03</v>
      </c>
      <c r="G15" s="1596"/>
      <c r="H15" s="2579" t="s">
        <v>1888</v>
      </c>
      <c r="I15" s="2574" t="s">
        <v>1743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1885</v>
      </c>
      <c r="B16" s="786" t="s">
        <v>651</v>
      </c>
      <c r="C16" s="53">
        <f ca="1">ROUND(INDIRECT("'数据-取费表'!m"&amp;$G$1)*F16,0)</f>
        <v>0</v>
      </c>
      <c r="D16" s="786" t="s">
        <v>1745</v>
      </c>
      <c r="E16" s="786" t="s">
        <v>1746</v>
      </c>
      <c r="F16" s="811">
        <f ca="1">IF(INDIRECT("'数据-取费表'!c"&amp;$G$1)="住宅",'数据-取费表'!B34,0)</f>
        <v>0</v>
      </c>
      <c r="G16" s="1595"/>
      <c r="H16" s="1833" t="s">
        <v>1747</v>
      </c>
      <c r="I16" s="1831" t="s">
        <v>1748</v>
      </c>
      <c r="J16" s="794">
        <f ca="1">ROUND(J17+J22+J23+J24,0)</f>
        <v>78</v>
      </c>
      <c r="K16" s="1825" t="s">
        <v>1749</v>
      </c>
      <c r="L16" s="2514"/>
      <c r="M16" s="2519"/>
    </row>
    <row r="17" spans="1:33" s="2068" customFormat="1" ht="18" customHeight="1">
      <c r="A17" s="1651" t="s">
        <v>1886</v>
      </c>
      <c r="B17" s="786" t="s">
        <v>654</v>
      </c>
      <c r="C17" s="53">
        <f ca="1">ROUND(F17*(F43+INDIRECT("'数据-取费表'!S"&amp;$G$1))/10000,0)</f>
        <v>160</v>
      </c>
      <c r="D17" s="786" t="s">
        <v>1750</v>
      </c>
      <c r="E17" s="786" t="s">
        <v>1751</v>
      </c>
      <c r="F17" s="56">
        <f>'数据-取费表'!B35</f>
        <v>200</v>
      </c>
      <c r="G17" s="1596"/>
      <c r="H17" s="1652" t="s">
        <v>1829</v>
      </c>
      <c r="I17" s="786" t="s">
        <v>657</v>
      </c>
      <c r="J17" s="53">
        <f ca="1">ROUND(IF(项目基本情况!B11="自然人",J5*M17,J18+J19+J20),0)</f>
        <v>28</v>
      </c>
      <c r="K17" s="2513" t="s">
        <v>1752</v>
      </c>
      <c r="L17" s="2512"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35</v>
      </c>
      <c r="D18" s="786" t="s">
        <v>1745</v>
      </c>
      <c r="E18" s="786" t="s">
        <v>1746</v>
      </c>
      <c r="F18" s="811">
        <f>'数据-取费表'!B36</f>
        <v>1.4999999999999999E-2</v>
      </c>
      <c r="G18" s="1596"/>
      <c r="H18" s="1651" t="s">
        <v>1883</v>
      </c>
      <c r="I18" s="786" t="s">
        <v>1754</v>
      </c>
      <c r="J18" s="53">
        <f ca="1">ROUND(J5*M18/1.05,1)</f>
        <v>0</v>
      </c>
      <c r="K18" s="2512" t="s">
        <v>1755</v>
      </c>
      <c r="L18" s="786" t="s">
        <v>1746</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1829</v>
      </c>
      <c r="B19" s="786" t="s">
        <v>663</v>
      </c>
      <c r="C19" s="53">
        <f ca="1">SUM(C14:C18)</f>
        <v>2629</v>
      </c>
      <c r="D19" s="260" t="s">
        <v>1756</v>
      </c>
      <c r="E19" s="1986"/>
      <c r="F19" s="56"/>
      <c r="G19" s="1595"/>
      <c r="H19" s="1651" t="s">
        <v>1884</v>
      </c>
      <c r="I19" s="786" t="s">
        <v>1757</v>
      </c>
      <c r="J19" s="53">
        <f ca="1">IF(K19="按租金收入计税",ROUND(J5*M19,1),ROUND(C29*F33*0.7,1))</f>
        <v>28</v>
      </c>
      <c r="K19" s="813" t="s">
        <v>666</v>
      </c>
      <c r="L19" s="786" t="s">
        <v>1746</v>
      </c>
      <c r="M19" s="811">
        <f>IF(K19="按租金收入计税",'数据-取费表'!B51,'数据-取费表'!B50)</f>
        <v>1.2E-2</v>
      </c>
    </row>
    <row r="20" spans="1:33" s="2068" customFormat="1" ht="18" customHeight="1">
      <c r="A20" s="1652" t="s">
        <v>1888</v>
      </c>
      <c r="B20" s="786" t="s">
        <v>667</v>
      </c>
      <c r="C20" s="53">
        <f ca="1">ROUND(C19*F20,0)</f>
        <v>53</v>
      </c>
      <c r="D20" s="814" t="s">
        <v>1758</v>
      </c>
      <c r="E20" s="786" t="s">
        <v>1746</v>
      </c>
      <c r="F20" s="811">
        <f>'数据-取费表'!B37</f>
        <v>0.02</v>
      </c>
      <c r="G20" s="1596"/>
      <c r="H20" s="1654" t="s">
        <v>1879</v>
      </c>
      <c r="I20" s="343" t="s">
        <v>1759</v>
      </c>
      <c r="J20" s="54">
        <f ca="1">ROUND(M20*M21/10000,0)</f>
        <v>0</v>
      </c>
      <c r="K20" s="816" t="s">
        <v>1760</v>
      </c>
      <c r="L20" s="786" t="s">
        <v>1761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1762</v>
      </c>
      <c r="C21" s="53" t="s">
        <v>1763</v>
      </c>
      <c r="D21" s="814" t="s">
        <v>2299</v>
      </c>
      <c r="E21" s="786" t="s">
        <v>1764</v>
      </c>
      <c r="F21" s="811">
        <f>'数据-取费表'!B38</f>
        <v>0.02</v>
      </c>
      <c r="G21" s="1596"/>
      <c r="H21" s="2534"/>
      <c r="I21" s="795"/>
      <c r="J21" s="69"/>
      <c r="K21" s="818"/>
      <c r="L21" s="786" t="s">
        <v>1765</v>
      </c>
      <c r="M21" s="787">
        <f ca="1">INDIRECT("'数据-取费表'!r"&amp;$G$1)</f>
        <v>612.52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1766</v>
      </c>
      <c r="C22" s="53"/>
      <c r="D22" s="2600" t="str">
        <f>IF(F23&lt;=1,"单利计息。","复利计息。")&amp;"建造成本、管理费用、销售费用产生的利息。"</f>
        <v>复利计息。建造成本、管理费用、销售费用产生的利息。</v>
      </c>
      <c r="E22" s="1986"/>
      <c r="F22" s="56"/>
      <c r="G22" s="1595"/>
      <c r="H22" s="1652" t="s">
        <v>1888</v>
      </c>
      <c r="I22" s="786" t="s">
        <v>1767</v>
      </c>
      <c r="J22" s="53">
        <f ca="1">ROUND(J14*M22,0)</f>
        <v>50</v>
      </c>
      <c r="K22" s="2512" t="s">
        <v>1768</v>
      </c>
      <c r="L22" s="786" t="s">
        <v>1746</v>
      </c>
      <c r="M22" s="819">
        <f ca="1">INDIRECT("'数据-取费表'!Ak"&amp;$G$1)</f>
        <v>1.4999999999999999E-2</v>
      </c>
    </row>
    <row r="23" spans="1:33" s="2068" customFormat="1" ht="18" customHeight="1">
      <c r="A23" s="1651" t="s">
        <v>1830</v>
      </c>
      <c r="B23" s="786" t="s">
        <v>2539</v>
      </c>
      <c r="C23" s="53">
        <f ca="1">ROUND(IF('数据-取费表'!B22&lt;=1,(C19+C20)*F24*F23/2,(C19+C20)*(POWER((1+F24),F23/2)-1)),0)</f>
        <v>127</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2512" t="s">
        <v>1770</v>
      </c>
      <c r="L23" s="786" t="s">
        <v>1746</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1746</v>
      </c>
      <c r="M24" s="2570">
        <f ca="1">INDIRECT("'数据-取费表'!Am"&amp;$G$1)</f>
        <v>0.01</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1986"/>
      <c r="F25" s="56"/>
      <c r="G25" s="1595"/>
      <c r="H25" s="1833" t="s">
        <v>1775</v>
      </c>
      <c r="I25" s="3040" t="s">
        <v>2828</v>
      </c>
      <c r="J25" s="794">
        <f ca="1">J5-J16</f>
        <v>-78</v>
      </c>
      <c r="K25" s="2576" t="s">
        <v>1776</v>
      </c>
      <c r="L25" s="2577"/>
      <c r="M25" s="2578"/>
    </row>
    <row r="26" spans="1:33" ht="18" customHeight="1">
      <c r="A26" s="1651" t="s">
        <v>1830</v>
      </c>
      <c r="B26" s="786" t="s">
        <v>2440</v>
      </c>
      <c r="C26" s="53">
        <f ca="1">ROUND((C19+C20)*F26,0)</f>
        <v>268</v>
      </c>
      <c r="D26" s="814" t="s">
        <v>1777</v>
      </c>
      <c r="E26" s="797" t="s">
        <v>1778</v>
      </c>
      <c r="F26" s="796">
        <f ca="1">INDIRECT("'数据-取费表'!q"&amp;$G$1)</f>
        <v>0.1</v>
      </c>
      <c r="G26" s="1595"/>
      <c r="H26" s="2530" t="s">
        <v>1779</v>
      </c>
      <c r="I26" s="2236" t="s">
        <v>2833</v>
      </c>
      <c r="J26" s="785">
        <f ca="1">IF(J5&lt;&gt;0,ROUND(J25*(1-((1+M28)/(1+M26))^M27)/(M26-M28),0),0)</f>
        <v>0</v>
      </c>
      <c r="K26" s="816" t="s">
        <v>1780</v>
      </c>
      <c r="L26" s="786" t="s">
        <v>2421</v>
      </c>
      <c r="M26" s="796">
        <f ca="1">INDIRECT("'数据-取费表'!I"&amp;$G$1)</f>
        <v>0.05</v>
      </c>
    </row>
    <row r="27" spans="1:33" ht="18" customHeight="1">
      <c r="A27" s="1651" t="s">
        <v>1831</v>
      </c>
      <c r="B27" s="786" t="s">
        <v>687</v>
      </c>
      <c r="C27" s="53">
        <f ca="1">ROUND(F21*F26,4)</f>
        <v>2E-3</v>
      </c>
      <c r="D27" s="814" t="s">
        <v>1781</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1784</v>
      </c>
      <c r="F28" s="811">
        <f>'数据-取费表'!B41</f>
        <v>5.5000000000000007E-2</v>
      </c>
      <c r="G28" s="1596"/>
      <c r="H28" s="1833"/>
      <c r="I28" s="793"/>
      <c r="J28" s="794"/>
      <c r="K28" s="818"/>
      <c r="L28" s="786" t="s">
        <v>1785</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3328</v>
      </c>
      <c r="D29" s="2573"/>
      <c r="E29" s="2574"/>
      <c r="F29" s="2575"/>
      <c r="G29" s="1596"/>
      <c r="H29" s="825" t="s">
        <v>1786</v>
      </c>
      <c r="I29" s="826" t="s">
        <v>1787</v>
      </c>
      <c r="J29" s="827">
        <f ca="1">ROUND(J26/(1+F40)^F41,0)</f>
        <v>0</v>
      </c>
      <c r="K29" s="828" t="s">
        <v>1788</v>
      </c>
      <c r="L29" s="829"/>
      <c r="M29" s="830">
        <f ca="1">INDIRECT("'数据-取费表'!k"&amp;$G$1)</f>
        <v>7289.2300000000014</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1892</v>
      </c>
      <c r="B30" s="1831" t="s">
        <v>1789</v>
      </c>
      <c r="C30" s="794">
        <f ca="1">ROUND(C31+C36+C37+C38,0)</f>
        <v>98</v>
      </c>
      <c r="D30" s="1825" t="s">
        <v>1790</v>
      </c>
      <c r="E30" s="2514"/>
      <c r="F30" s="2519"/>
      <c r="G30" s="2066"/>
      <c r="H30" s="2069"/>
      <c r="I30" s="2070"/>
      <c r="J30" s="2071"/>
      <c r="K30" s="2072"/>
      <c r="L30" s="2073"/>
      <c r="M30" s="2074"/>
    </row>
    <row r="31" spans="1:33" ht="18" customHeight="1">
      <c r="A31" s="1652" t="s">
        <v>1829</v>
      </c>
      <c r="B31" s="786" t="s">
        <v>657</v>
      </c>
      <c r="C31" s="53">
        <f ca="1">ROUND(IF(项目基本情况!B11="自然人",C5*F31,C32+C33+C34),1)</f>
        <v>40.5</v>
      </c>
      <c r="D31" s="1983" t="s">
        <v>1791</v>
      </c>
      <c r="E31" s="1981"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1793</v>
      </c>
      <c r="C32" s="53">
        <f ca="1">ROUND(C5*F32/1.05,1)</f>
        <v>12.4</v>
      </c>
      <c r="D32" s="1981" t="s">
        <v>1794</v>
      </c>
      <c r="E32" s="786" t="s">
        <v>1795</v>
      </c>
      <c r="F32" s="811">
        <f>'数据-取费表'!B41</f>
        <v>5.5000000000000007E-2</v>
      </c>
      <c r="G32" s="2066"/>
      <c r="H32" s="2075"/>
      <c r="I32" s="2076"/>
      <c r="J32" s="2077"/>
      <c r="K32" s="2078"/>
      <c r="L32" s="2079"/>
      <c r="M32" s="2080"/>
    </row>
    <row r="33" spans="1:18" ht="18" customHeight="1">
      <c r="A33" s="1651" t="s">
        <v>1831</v>
      </c>
      <c r="B33" s="786" t="s">
        <v>1796</v>
      </c>
      <c r="C33" s="53">
        <f ca="1">IF(D33="按租金收入计税",ROUND(C5*F33,1),IF(D33="按房产原值计税",ROUND(C29*F33*0.7,1),INDIRECT("'数据-取费表'!Aj"&amp;$G$1)))</f>
        <v>28</v>
      </c>
      <c r="D33" s="813" t="s">
        <v>1682</v>
      </c>
      <c r="E33" s="786" t="s">
        <v>1795</v>
      </c>
      <c r="F33" s="811">
        <f>IF(D33="按租金收入计税",'数据-取费表'!B51,'数据-取费表'!B50)</f>
        <v>1.2E-2</v>
      </c>
      <c r="G33" s="2066"/>
      <c r="H33" s="2081"/>
      <c r="I33" s="2081"/>
      <c r="J33" s="2081"/>
      <c r="K33" s="2082"/>
      <c r="L33" s="2081"/>
      <c r="M33" s="2081"/>
    </row>
    <row r="34" spans="1:18" ht="18" customHeight="1">
      <c r="A34" s="1654" t="s">
        <v>1832</v>
      </c>
      <c r="B34" s="343" t="s">
        <v>1797</v>
      </c>
      <c r="C34" s="54">
        <f ca="1">ROUND(F34*F35/10000,1)</f>
        <v>0.1</v>
      </c>
      <c r="D34" s="816" t="s">
        <v>1798</v>
      </c>
      <c r="E34" s="786" t="s">
        <v>1799</v>
      </c>
      <c r="F34" s="642">
        <f>'数据-取费表'!B52</f>
        <v>1.5</v>
      </c>
      <c r="G34" s="2066"/>
      <c r="H34" s="2069"/>
      <c r="I34" s="837" t="s">
        <v>1812</v>
      </c>
      <c r="J34" s="838"/>
      <c r="K34" s="2084"/>
      <c r="L34" s="2083"/>
      <c r="M34" s="2083"/>
    </row>
    <row r="35" spans="1:18" ht="18" customHeight="1">
      <c r="A35" s="817"/>
      <c r="B35" s="795"/>
      <c r="C35" s="69"/>
      <c r="D35" s="818"/>
      <c r="E35" s="786" t="s">
        <v>1800</v>
      </c>
      <c r="F35" s="787">
        <f ca="1">INDIRECT("'数据-取费表'!r"&amp;$G$1)</f>
        <v>612.52</v>
      </c>
      <c r="G35" s="2066"/>
      <c r="H35" s="2069"/>
      <c r="I35" s="839" t="s">
        <v>1813</v>
      </c>
      <c r="J35" s="840">
        <f ca="1">ROUND(C13*J36,0)</f>
        <v>283</v>
      </c>
      <c r="K35" s="2082"/>
      <c r="L35" s="2081"/>
      <c r="M35" s="2081"/>
    </row>
    <row r="36" spans="1:18" ht="18" customHeight="1">
      <c r="A36" s="1652" t="s">
        <v>1888</v>
      </c>
      <c r="B36" s="786" t="s">
        <v>1801</v>
      </c>
      <c r="C36" s="53">
        <f ca="1">ROUND(C29*F36,1)</f>
        <v>49.9</v>
      </c>
      <c r="D36" s="1981" t="s">
        <v>1802</v>
      </c>
      <c r="E36" s="786" t="s">
        <v>1795</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5</v>
      </c>
      <c r="D37" s="1981" t="s">
        <v>1803</v>
      </c>
      <c r="E37" s="786" t="s">
        <v>1795</v>
      </c>
      <c r="F37" s="820">
        <f ca="1">INDIRECT("'数据-取费表'!Al"&amp;$G$1)</f>
        <v>1.5E-3</v>
      </c>
      <c r="G37" s="2066"/>
      <c r="H37" s="2081"/>
      <c r="I37" s="843" t="s">
        <v>1815</v>
      </c>
      <c r="J37" s="844"/>
      <c r="K37" s="2086"/>
      <c r="L37" s="2081"/>
      <c r="M37" s="2081"/>
    </row>
    <row r="38" spans="1:18" ht="18" customHeight="1" thickBot="1">
      <c r="A38" s="2579" t="s">
        <v>1890</v>
      </c>
      <c r="B38" s="2574" t="s">
        <v>667</v>
      </c>
      <c r="C38" s="2572">
        <f ca="1">ROUND(C5*F38,1)</f>
        <v>2.4</v>
      </c>
      <c r="D38" s="2573" t="s">
        <v>1804</v>
      </c>
      <c r="E38" s="2574" t="s">
        <v>1795</v>
      </c>
      <c r="F38" s="2570">
        <f ca="1">INDIRECT("'数据-取费表'!Am"&amp;$G$1)</f>
        <v>0.01</v>
      </c>
      <c r="G38" s="2066"/>
      <c r="H38" s="2081"/>
      <c r="I38" s="845" t="s">
        <v>1816</v>
      </c>
      <c r="J38" s="846"/>
      <c r="K38" s="2087"/>
      <c r="L38" s="2081"/>
      <c r="M38" s="2081"/>
    </row>
    <row r="39" spans="1:18" ht="24.6" customHeight="1" thickTop="1">
      <c r="A39" s="1833" t="s">
        <v>1893</v>
      </c>
      <c r="B39" s="3040" t="s">
        <v>2828</v>
      </c>
      <c r="C39" s="794">
        <f ca="1">C5-C30</f>
        <v>139</v>
      </c>
      <c r="D39" s="2576" t="s">
        <v>1805</v>
      </c>
      <c r="E39" s="2577"/>
      <c r="F39" s="2578"/>
      <c r="G39" s="2066"/>
      <c r="H39" s="2081"/>
      <c r="I39" s="839" t="s">
        <v>1817</v>
      </c>
      <c r="J39" s="847">
        <f ca="1">ROUND(J35/C39,3)</f>
        <v>2.036</v>
      </c>
      <c r="K39" s="2087"/>
      <c r="L39" s="2081"/>
      <c r="M39" s="2081"/>
    </row>
    <row r="40" spans="1:18" ht="18" customHeight="1">
      <c r="A40" s="783" t="s">
        <v>1894</v>
      </c>
      <c r="B40" s="2236" t="s">
        <v>2302</v>
      </c>
      <c r="C40" s="785">
        <f ca="1">ROUND(C39*(1-((1+F42)/(1+F40))^F41)/(F40-F42),0)</f>
        <v>2471</v>
      </c>
      <c r="D40" s="816" t="s">
        <v>1806</v>
      </c>
      <c r="E40" s="786" t="s">
        <v>2421</v>
      </c>
      <c r="F40" s="796">
        <f ca="1">INDIRECT("'数据-取费表'!I"&amp;$G$1)</f>
        <v>0.05</v>
      </c>
      <c r="G40" s="2066"/>
      <c r="H40" s="2066"/>
      <c r="I40" s="839" t="s">
        <v>1818</v>
      </c>
      <c r="J40" s="847">
        <f ca="1">1-J39</f>
        <v>-1.036</v>
      </c>
      <c r="K40" s="2087"/>
      <c r="L40" s="2066"/>
      <c r="M40" s="2066"/>
    </row>
    <row r="41" spans="1:18" ht="18" customHeight="1">
      <c r="A41" s="788"/>
      <c r="B41" s="789"/>
      <c r="C41" s="790"/>
      <c r="D41" s="823" t="s">
        <v>1807</v>
      </c>
      <c r="E41" s="786" t="s">
        <v>2970</v>
      </c>
      <c r="F41" s="824">
        <f ca="1">IF(INDIRECT("'数据-取费表'!af"&amp;$G$1)=0,INDIRECT("'数据-取费表'!ae"&amp;$G$1),INDIRECT("'数据-取费表'!af"&amp;$G$1))</f>
        <v>45.05</v>
      </c>
      <c r="G41" s="2066"/>
      <c r="H41" s="1992"/>
      <c r="I41" s="845" t="s">
        <v>1819</v>
      </c>
      <c r="J41" s="848"/>
      <c r="K41" s="2086"/>
      <c r="L41" s="1992"/>
      <c r="M41" s="1992"/>
    </row>
    <row r="42" spans="1:18" ht="18" customHeight="1">
      <c r="A42" s="792"/>
      <c r="B42" s="793"/>
      <c r="C42" s="794"/>
      <c r="D42" s="818"/>
      <c r="E42" s="786" t="s">
        <v>1808</v>
      </c>
      <c r="F42" s="796">
        <f ca="1">INDIRECT("'数据-取费表'!v"&amp;$G$1)</f>
        <v>0</v>
      </c>
      <c r="G42" s="2066"/>
      <c r="H42" s="1992"/>
      <c r="I42" s="849" t="s">
        <v>1820</v>
      </c>
      <c r="J42" s="847">
        <f ca="1">ROUND(C13/C40,3)</f>
        <v>1.347</v>
      </c>
      <c r="K42" s="2086"/>
      <c r="L42" s="1992"/>
      <c r="M42" s="1992"/>
    </row>
    <row r="43" spans="1:18" ht="18" customHeight="1" thickBot="1">
      <c r="A43" s="825" t="s">
        <v>1786</v>
      </c>
      <c r="B43" s="826" t="s">
        <v>1809</v>
      </c>
      <c r="C43" s="827">
        <f ca="1">ROUND(C40*10000/F43,0)</f>
        <v>3390</v>
      </c>
      <c r="D43" s="828" t="s">
        <v>1810</v>
      </c>
      <c r="E43" s="829" t="s">
        <v>1811</v>
      </c>
      <c r="F43" s="830">
        <f ca="1">INDIRECT("'数据-取费表'!k"&amp;$G$1)</f>
        <v>7289.2300000000014</v>
      </c>
      <c r="G43" s="2066"/>
      <c r="H43" s="1992"/>
      <c r="I43" s="849" t="s">
        <v>1821</v>
      </c>
      <c r="J43" s="850">
        <f ca="1">1-J42</f>
        <v>-0.34699999999999998</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-3947</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3136</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2541</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2471</v>
      </c>
      <c r="R48" s="2427" t="s">
        <v>2382</v>
      </c>
    </row>
    <row r="49" spans="1:18" s="2063" customFormat="1" ht="18" customHeight="1" thickBot="1">
      <c r="A49" s="788"/>
      <c r="B49" s="789"/>
      <c r="C49" s="790"/>
      <c r="D49" s="791"/>
      <c r="E49" s="786" t="s">
        <v>1738</v>
      </c>
      <c r="F49" s="787">
        <f ca="1">F7</f>
        <v>208</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1739</v>
      </c>
      <c r="F50" s="787">
        <f ca="1">F8</f>
        <v>12</v>
      </c>
      <c r="G50" s="2099"/>
      <c r="H50" s="2097"/>
      <c r="I50" s="2387" t="s">
        <v>2348</v>
      </c>
      <c r="J50" s="2400">
        <f>SUMPRODUCT((I63:I65=J47)*(J62:L62=J48)*(J63:L65))</f>
        <v>60</v>
      </c>
      <c r="K50" s="2398" t="s">
        <v>2355</v>
      </c>
      <c r="L50" s="2399"/>
      <c r="O50" s="2429" t="s">
        <v>2385</v>
      </c>
      <c r="P50" s="2427" t="s">
        <v>2409</v>
      </c>
      <c r="Q50" s="2428">
        <f ca="1">C29</f>
        <v>3328</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-2757</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53" t="s">
        <v>2972</v>
      </c>
      <c r="L53" s="3454"/>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2471</v>
      </c>
      <c r="R54" s="2431" t="s">
        <v>2394</v>
      </c>
    </row>
    <row r="55" spans="1:18" s="2063" customFormat="1" ht="18" customHeight="1" thickTop="1" thickBot="1">
      <c r="A55" s="799">
        <v>2</v>
      </c>
      <c r="B55" s="800" t="s">
        <v>645</v>
      </c>
      <c r="C55" s="801">
        <f ca="1">C13</f>
        <v>3328</v>
      </c>
      <c r="D55" s="797"/>
      <c r="E55" s="797"/>
      <c r="F55" s="802"/>
      <c r="I55" s="3131" t="s">
        <v>2357</v>
      </c>
      <c r="J55" s="3130" t="e">
        <f ca="1">ROUND(IF(J47="钢混",J57/J50,1-(1-2%)*(J50-J57)/J50),3)</f>
        <v>#VALUE!</v>
      </c>
      <c r="K55" s="2405" t="s">
        <v>2358</v>
      </c>
      <c r="L55" s="2406"/>
      <c r="O55" s="2432" t="s">
        <v>2413</v>
      </c>
      <c r="P55" s="1595"/>
      <c r="Q55" s="1607"/>
      <c r="R55" s="1595"/>
    </row>
    <row r="56" spans="1:18" s="2063" customFormat="1" ht="42.75" customHeight="1" thickBot="1">
      <c r="A56" s="1653"/>
      <c r="B56" s="2235" t="s">
        <v>2303</v>
      </c>
      <c r="C56" s="53">
        <f ca="1">C29</f>
        <v>3328</v>
      </c>
      <c r="D56" s="2668"/>
      <c r="E56" s="786"/>
      <c r="F56" s="811"/>
      <c r="I56" s="2407" t="s">
        <v>2359</v>
      </c>
      <c r="J56" s="3154"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83</v>
      </c>
      <c r="D57" s="26" t="s">
        <v>1749</v>
      </c>
      <c r="E57" s="2669"/>
      <c r="F57" s="56"/>
      <c r="I57" s="2408" t="s">
        <v>2360</v>
      </c>
      <c r="J57" s="2410" t="str">
        <f ca="1">IF(OR(M47="住宅",J51&lt;L48,J56="是"),"——",J51-L48)</f>
        <v>——</v>
      </c>
      <c r="K57" s="2387" t="s">
        <v>2365</v>
      </c>
      <c r="L57" s="2396" t="str">
        <f ca="1">IF(L48&lt;J51,"——",IF(L55="比较法",L49,IF(L55="基准地价",L50,L51)))</f>
        <v>——</v>
      </c>
      <c r="O57" s="2426" t="s">
        <v>2381</v>
      </c>
      <c r="P57" s="2427" t="s">
        <v>2411</v>
      </c>
      <c r="Q57" s="2428">
        <f ca="1">C40+J29</f>
        <v>2471</v>
      </c>
      <c r="R57" s="2427" t="s">
        <v>2382</v>
      </c>
    </row>
    <row r="58" spans="1:18" s="2063" customFormat="1" ht="28.5" customHeight="1" thickBot="1">
      <c r="A58" s="1652" t="s">
        <v>1823</v>
      </c>
      <c r="B58" s="786" t="s">
        <v>657</v>
      </c>
      <c r="C58" s="53">
        <f ca="1">ROUND(IF(项目基本情况!B11="自然人",C47*F58,C59+C60+C61),1)</f>
        <v>28.1</v>
      </c>
      <c r="D58" s="2667" t="s">
        <v>658</v>
      </c>
      <c r="E58" s="2668" t="s">
        <v>691</v>
      </c>
      <c r="F58" s="812" t="str">
        <f ca="1">IF(项目基本情况!B11="企业","",IF(INDIRECT("'数据-取费表'!c"&amp;$G$1)="住宅",5%,IF(F48*F49*F50/12/(1+'数据-取费表'!C42)&gt;20000,12%,7%)))</f>
        <v/>
      </c>
      <c r="I58" s="2408" t="s">
        <v>2361</v>
      </c>
      <c r="J58" s="3132"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2668" t="s">
        <v>1755</v>
      </c>
      <c r="E59" s="786" t="s">
        <v>1746</v>
      </c>
      <c r="F59" s="811">
        <f t="shared" ref="F59:F65" si="0">F32</f>
        <v>5.5000000000000007E-2</v>
      </c>
      <c r="I59" s="2408" t="s">
        <v>2362</v>
      </c>
      <c r="J59" s="2410" t="str">
        <f ca="1">IF(OR(M47="住宅",J51&lt;L48,J56="是"),"——",ROUND(C29*J58,0))</f>
        <v>——</v>
      </c>
      <c r="K59" s="3161"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1757</v>
      </c>
      <c r="C60" s="53">
        <f ca="1">IF(D60="按租金收入计税",ROUND(C47*F60,1),IF(D60="按房产原值计税",ROUND(C56*F60*0.7,1),INDIRECT("'数据-取费表'!Aj"&amp;$G$1)))</f>
        <v>28</v>
      </c>
      <c r="D60" s="2668" t="str">
        <f>D33</f>
        <v>按房产原值计税</v>
      </c>
      <c r="E60" s="786" t="s">
        <v>1746</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0.1</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612.52</v>
      </c>
      <c r="I62" s="2413" t="s">
        <v>2369</v>
      </c>
      <c r="J62" s="2414" t="s">
        <v>2370</v>
      </c>
      <c r="K62" s="2414" t="s">
        <v>2371</v>
      </c>
      <c r="L62" s="2414" t="s">
        <v>2352</v>
      </c>
      <c r="M62" s="3133" t="s">
        <v>2947</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49.9</v>
      </c>
      <c r="D63" s="2668" t="s">
        <v>1802</v>
      </c>
      <c r="E63" s="786" t="s">
        <v>1746</v>
      </c>
      <c r="F63" s="819">
        <f t="shared" ca="1" si="0"/>
        <v>1.4999999999999999E-2</v>
      </c>
      <c r="I63" s="2413" t="s">
        <v>2372</v>
      </c>
      <c r="J63" s="2414">
        <v>70</v>
      </c>
      <c r="K63" s="2414">
        <v>50</v>
      </c>
      <c r="L63" s="2414">
        <v>80</v>
      </c>
      <c r="M63" s="3134">
        <v>0.02</v>
      </c>
      <c r="O63" s="2426" t="s">
        <v>2393</v>
      </c>
      <c r="P63" s="2427" t="s">
        <v>2410</v>
      </c>
      <c r="Q63" s="2428">
        <f ca="1">Q57+Q58</f>
        <v>2471</v>
      </c>
      <c r="R63" s="2431" t="s">
        <v>2394</v>
      </c>
    </row>
    <row r="64" spans="1:18" s="2063" customFormat="1" ht="16.5" thickBot="1">
      <c r="A64" s="1652" t="s">
        <v>1889</v>
      </c>
      <c r="B64" s="786" t="s">
        <v>680</v>
      </c>
      <c r="C64" s="53">
        <f ca="1">ROUND(C55*F64,1)</f>
        <v>5</v>
      </c>
      <c r="D64" s="2668" t="s">
        <v>681</v>
      </c>
      <c r="E64" s="786" t="s">
        <v>1746</v>
      </c>
      <c r="F64" s="820">
        <f t="shared" ca="1" si="0"/>
        <v>1.5E-3</v>
      </c>
      <c r="I64" s="2413" t="s">
        <v>2373</v>
      </c>
      <c r="J64" s="2414">
        <v>50</v>
      </c>
      <c r="K64" s="2414">
        <v>35</v>
      </c>
      <c r="L64" s="2414">
        <v>60</v>
      </c>
      <c r="M64" s="3135">
        <v>0</v>
      </c>
      <c r="O64" s="2432" t="s">
        <v>2417</v>
      </c>
      <c r="P64" s="1595"/>
      <c r="Q64" s="1607"/>
      <c r="R64" s="1595"/>
    </row>
    <row r="65" spans="1:18" s="2063" customFormat="1" ht="15.75" thickBot="1">
      <c r="A65" s="1652" t="s">
        <v>1890</v>
      </c>
      <c r="B65" s="786" t="s">
        <v>667</v>
      </c>
      <c r="C65" s="53">
        <f ca="1">ROUND(C47*F65,1)</f>
        <v>0</v>
      </c>
      <c r="D65" s="2668" t="s">
        <v>684</v>
      </c>
      <c r="E65" s="786" t="s">
        <v>1746</v>
      </c>
      <c r="F65" s="796">
        <f t="shared" ca="1" si="0"/>
        <v>0.01</v>
      </c>
      <c r="I65" s="2413" t="s">
        <v>2374</v>
      </c>
      <c r="J65" s="2414">
        <v>40</v>
      </c>
      <c r="K65" s="2414">
        <v>30</v>
      </c>
      <c r="L65" s="2414">
        <v>50</v>
      </c>
      <c r="M65" s="3134">
        <v>0.02</v>
      </c>
      <c r="O65" s="2423" t="s">
        <v>2377</v>
      </c>
      <c r="P65" s="2424" t="s">
        <v>2378</v>
      </c>
      <c r="Q65" s="2425" t="s">
        <v>2379</v>
      </c>
      <c r="R65" s="2424" t="s">
        <v>2380</v>
      </c>
    </row>
    <row r="66" spans="1:18" s="2063" customFormat="1" ht="24.75" thickBot="1">
      <c r="A66" s="799" t="s">
        <v>1775</v>
      </c>
      <c r="B66" s="3041" t="s">
        <v>2828</v>
      </c>
      <c r="C66" s="801">
        <f ca="1">C47-C57</f>
        <v>-83</v>
      </c>
      <c r="D66" s="2667" t="s">
        <v>701</v>
      </c>
      <c r="E66" s="2666"/>
      <c r="F66" s="822"/>
      <c r="K66" s="2090"/>
      <c r="O66" s="2426" t="s">
        <v>2381</v>
      </c>
      <c r="P66" s="2427" t="s">
        <v>2411</v>
      </c>
      <c r="Q66" s="2428">
        <f ca="1">C40+J29</f>
        <v>2471</v>
      </c>
      <c r="R66" s="2427" t="s">
        <v>2382</v>
      </c>
    </row>
    <row r="67" spans="1:18" s="2063" customFormat="1" ht="20.25" thickBot="1">
      <c r="A67" s="783" t="s">
        <v>1779</v>
      </c>
      <c r="B67" s="2236" t="s">
        <v>2302</v>
      </c>
      <c r="C67" s="785">
        <f ca="1">ROUND(C66*(1-((1+F69)/(1+F67))^F68)/(F67-F69),0)</f>
        <v>-1476</v>
      </c>
      <c r="D67" s="816" t="s">
        <v>705</v>
      </c>
      <c r="E67" s="786" t="s">
        <v>706</v>
      </c>
      <c r="F67" s="796">
        <f ca="1">F40</f>
        <v>0.05</v>
      </c>
      <c r="K67" s="2090"/>
      <c r="O67" s="2426" t="s">
        <v>2383</v>
      </c>
      <c r="P67" s="2427" t="s">
        <v>2414</v>
      </c>
      <c r="Q67" s="2428">
        <f ca="1">L60</f>
        <v>0</v>
      </c>
      <c r="R67" s="2431" t="s">
        <v>2416</v>
      </c>
    </row>
    <row r="68" spans="1:18" ht="21.75" thickBot="1">
      <c r="A68" s="788"/>
      <c r="B68" s="789"/>
      <c r="C68" s="790"/>
      <c r="D68" s="823" t="s">
        <v>1807</v>
      </c>
      <c r="E68" s="786" t="s">
        <v>1783</v>
      </c>
      <c r="F68" s="824">
        <f ca="1">F41</f>
        <v>45.05</v>
      </c>
      <c r="O68" s="2429" t="s">
        <v>2385</v>
      </c>
      <c r="P68" s="2427" t="s">
        <v>2415</v>
      </c>
      <c r="Q68" s="2433">
        <f ca="1">L51</f>
        <v>-2757</v>
      </c>
      <c r="R68" s="2434" t="s">
        <v>2418</v>
      </c>
    </row>
    <row r="69" spans="1:18" ht="20.25" thickBot="1">
      <c r="A69" s="792"/>
      <c r="B69" s="793"/>
      <c r="C69" s="794"/>
      <c r="D69" s="818"/>
      <c r="E69" s="786" t="s">
        <v>711</v>
      </c>
      <c r="F69" s="2375"/>
      <c r="O69" s="2429" t="s">
        <v>2386</v>
      </c>
      <c r="P69" s="2435" t="s">
        <v>2400</v>
      </c>
      <c r="Q69" s="2428">
        <f ca="1">ROUND(Q70-Q71*Q72,0)</f>
        <v>-144</v>
      </c>
      <c r="R69" s="2431"/>
    </row>
    <row r="70" spans="1:18" ht="15.75" thickBot="1">
      <c r="A70" s="825" t="s">
        <v>1786</v>
      </c>
      <c r="B70" s="826" t="s">
        <v>1809</v>
      </c>
      <c r="C70" s="827">
        <f ca="1">ROUND(C67*10000/F70,0)</f>
        <v>-2025</v>
      </c>
      <c r="D70" s="828" t="s">
        <v>1810</v>
      </c>
      <c r="E70" s="829" t="s">
        <v>1811</v>
      </c>
      <c r="F70" s="830">
        <f ca="1">F43</f>
        <v>7289.2300000000014</v>
      </c>
      <c r="O70" s="2429" t="s">
        <v>2401</v>
      </c>
      <c r="P70" s="2435" t="s">
        <v>2402</v>
      </c>
      <c r="Q70" s="2428">
        <f ca="1">C39</f>
        <v>139</v>
      </c>
      <c r="R70" s="2427" t="s">
        <v>2382</v>
      </c>
    </row>
    <row r="71" spans="1:18" ht="15.75" thickBot="1">
      <c r="O71" s="2429" t="s">
        <v>2403</v>
      </c>
      <c r="P71" s="2435" t="s">
        <v>2404</v>
      </c>
      <c r="Q71" s="2428">
        <f ca="1">C13</f>
        <v>3328</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2471</v>
      </c>
      <c r="R76" s="243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0" priority="7">
      <formula>$L$48&gt;$J$51</formula>
    </cfRule>
  </conditionalFormatting>
  <conditionalFormatting sqref="I55">
    <cfRule type="expression" dxfId="79" priority="8">
      <formula>$J$51&gt;$L$48</formula>
    </cfRule>
  </conditionalFormatting>
  <conditionalFormatting sqref="I60">
    <cfRule type="expression" dxfId="78" priority="6">
      <formula>$J$51&gt;$L$48</formula>
    </cfRule>
  </conditionalFormatting>
  <conditionalFormatting sqref="K60">
    <cfRule type="expression" dxfId="77" priority="5">
      <formula>$L$48&gt;$J$51</formula>
    </cfRule>
  </conditionalFormatting>
  <conditionalFormatting sqref="C11">
    <cfRule type="expression" dxfId="76" priority="4">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2475</v>
      </c>
      <c r="B1" s="3483"/>
      <c r="C1" s="3484"/>
      <c r="D1" s="3485">
        <f>SUM(I10,I15,I20,I21,I23)</f>
        <v>0</v>
      </c>
      <c r="E1" s="3485"/>
      <c r="F1" s="3485"/>
      <c r="G1" s="3485"/>
      <c r="H1" s="3485"/>
      <c r="I1" s="3486"/>
    </row>
    <row r="2" spans="1:9">
      <c r="A2" s="3472" t="s">
        <v>2476</v>
      </c>
      <c r="B2" s="3473" t="s">
        <v>2477</v>
      </c>
      <c r="C2" s="3473"/>
      <c r="D2" s="2535" t="s">
        <v>2478</v>
      </c>
      <c r="E2" s="2535" t="s">
        <v>2479</v>
      </c>
      <c r="F2" s="2535" t="s">
        <v>2480</v>
      </c>
      <c r="G2" s="2535" t="s">
        <v>2481</v>
      </c>
      <c r="H2" s="2535" t="s">
        <v>2482</v>
      </c>
      <c r="I2" s="2536" t="s">
        <v>2483</v>
      </c>
    </row>
    <row r="3" spans="1:9">
      <c r="A3" s="3472"/>
      <c r="B3" s="3473" t="s">
        <v>2484</v>
      </c>
      <c r="C3" s="3473"/>
      <c r="D3" s="2537"/>
      <c r="E3" s="2535"/>
      <c r="F3" s="2538"/>
      <c r="G3" s="2538"/>
      <c r="H3" s="2539"/>
      <c r="I3" s="2540">
        <f>ROUND(D3*E3*F3*G3*H3/10000,0)</f>
        <v>0</v>
      </c>
    </row>
    <row r="4" spans="1:9">
      <c r="A4" s="3472"/>
      <c r="B4" s="3473" t="s">
        <v>2485</v>
      </c>
      <c r="C4" s="3473"/>
      <c r="D4" s="2537"/>
      <c r="E4" s="2535"/>
      <c r="F4" s="2538"/>
      <c r="G4" s="2538"/>
      <c r="H4" s="2539"/>
      <c r="I4" s="2540">
        <f t="shared" ref="I4:I9" si="0">ROUND(D4*E4*F4*G4*H4/10000,0)</f>
        <v>0</v>
      </c>
    </row>
    <row r="5" spans="1:9">
      <c r="A5" s="3472"/>
      <c r="B5" s="3473" t="s">
        <v>2486</v>
      </c>
      <c r="C5" s="3473"/>
      <c r="D5" s="2537"/>
      <c r="E5" s="2535"/>
      <c r="F5" s="2538"/>
      <c r="G5" s="2538"/>
      <c r="H5" s="2539"/>
      <c r="I5" s="2540">
        <f t="shared" si="0"/>
        <v>0</v>
      </c>
    </row>
    <row r="6" spans="1:9">
      <c r="A6" s="3472"/>
      <c r="B6" s="3473" t="s">
        <v>2487</v>
      </c>
      <c r="C6" s="3473"/>
      <c r="D6" s="2537"/>
      <c r="E6" s="2535"/>
      <c r="F6" s="2538"/>
      <c r="G6" s="2538"/>
      <c r="H6" s="2539"/>
      <c r="I6" s="2540">
        <f t="shared" si="0"/>
        <v>0</v>
      </c>
    </row>
    <row r="7" spans="1:9">
      <c r="A7" s="3472"/>
      <c r="B7" s="3473" t="s">
        <v>2488</v>
      </c>
      <c r="C7" s="3473"/>
      <c r="D7" s="2537"/>
      <c r="E7" s="2535"/>
      <c r="F7" s="2538"/>
      <c r="G7" s="2538"/>
      <c r="H7" s="2539"/>
      <c r="I7" s="2540">
        <f t="shared" si="0"/>
        <v>0</v>
      </c>
    </row>
    <row r="8" spans="1:9">
      <c r="A8" s="3472"/>
      <c r="B8" s="3473" t="s">
        <v>2489</v>
      </c>
      <c r="C8" s="3473"/>
      <c r="D8" s="2537"/>
      <c r="E8" s="2535"/>
      <c r="F8" s="2538"/>
      <c r="G8" s="2538"/>
      <c r="H8" s="2539"/>
      <c r="I8" s="2540">
        <f t="shared" si="0"/>
        <v>0</v>
      </c>
    </row>
    <row r="9" spans="1:9">
      <c r="A9" s="3472"/>
      <c r="B9" s="3473" t="s">
        <v>2490</v>
      </c>
      <c r="C9" s="3473"/>
      <c r="D9" s="2537"/>
      <c r="E9" s="2535"/>
      <c r="F9" s="2538"/>
      <c r="G9" s="2538"/>
      <c r="H9" s="2539"/>
      <c r="I9" s="2540">
        <f t="shared" si="0"/>
        <v>0</v>
      </c>
    </row>
    <row r="10" spans="1:9">
      <c r="A10" s="3472"/>
      <c r="B10" s="3474" t="s">
        <v>2491</v>
      </c>
      <c r="C10" s="3474"/>
      <c r="D10" s="2541">
        <v>527</v>
      </c>
      <c r="E10" s="2541" t="e">
        <f>ROUND(D1*10000/D10/H9,0)</f>
        <v>#DIV/0!</v>
      </c>
      <c r="F10" s="2542"/>
      <c r="G10" s="2542"/>
      <c r="H10" s="2543"/>
      <c r="I10" s="2544">
        <f>SUM(I3:I9)</f>
        <v>0</v>
      </c>
    </row>
    <row r="11" spans="1:9" ht="14.25">
      <c r="A11" s="3472" t="s">
        <v>2492</v>
      </c>
      <c r="B11" s="3473" t="s">
        <v>2493</v>
      </c>
      <c r="C11" s="3473"/>
      <c r="D11" s="2537" t="s">
        <v>2494</v>
      </c>
      <c r="E11" s="2537" t="s">
        <v>2495</v>
      </c>
      <c r="F11" s="2538" t="s">
        <v>2496</v>
      </c>
      <c r="G11" s="2538" t="s">
        <v>2497</v>
      </c>
      <c r="H11" s="2545" t="s">
        <v>2498</v>
      </c>
      <c r="I11" s="2536" t="s">
        <v>2499</v>
      </c>
    </row>
    <row r="12" spans="1:9">
      <c r="A12" s="3472"/>
      <c r="B12" s="3473" t="s">
        <v>2500</v>
      </c>
      <c r="C12" s="3473"/>
      <c r="D12" s="2537"/>
      <c r="E12" s="2537"/>
      <c r="F12" s="2538"/>
      <c r="G12" s="2539"/>
      <c r="H12" s="2546"/>
      <c r="I12" s="2536">
        <f>ROUND(D12*E12*F12*G12/10000,0)</f>
        <v>0</v>
      </c>
    </row>
    <row r="13" spans="1:9">
      <c r="A13" s="3472"/>
      <c r="B13" s="3473" t="s">
        <v>2501</v>
      </c>
      <c r="C13" s="3473"/>
      <c r="D13" s="2537"/>
      <c r="E13" s="2537"/>
      <c r="F13" s="2538"/>
      <c r="G13" s="2539"/>
      <c r="H13" s="2546"/>
      <c r="I13" s="2536">
        <f>ROUND(D13*E13*F13*G13/10000,0)</f>
        <v>0</v>
      </c>
    </row>
    <row r="14" spans="1:9">
      <c r="A14" s="3472"/>
      <c r="B14" s="3473" t="s">
        <v>2502</v>
      </c>
      <c r="C14" s="3473"/>
      <c r="D14" s="2537"/>
      <c r="E14" s="2537"/>
      <c r="F14" s="2538"/>
      <c r="G14" s="2539"/>
      <c r="H14" s="2546"/>
      <c r="I14" s="2536">
        <f>ROUND(D14*E14*F14*G14/10000,0)</f>
        <v>0</v>
      </c>
    </row>
    <row r="15" spans="1:9">
      <c r="A15" s="3472"/>
      <c r="B15" s="3474" t="s">
        <v>2491</v>
      </c>
      <c r="C15" s="3474"/>
      <c r="D15" s="2541"/>
      <c r="E15" s="2541">
        <f>SUM(E12:E14)</f>
        <v>0</v>
      </c>
      <c r="F15" s="2542"/>
      <c r="G15" s="2539"/>
      <c r="H15" s="2546"/>
      <c r="I15" s="2547">
        <f>SUM(I12:I14)</f>
        <v>0</v>
      </c>
    </row>
    <row r="16" spans="1:9" ht="24">
      <c r="A16" s="3472" t="s">
        <v>2503</v>
      </c>
      <c r="B16" s="3473" t="s">
        <v>2504</v>
      </c>
      <c r="C16" s="3473"/>
      <c r="D16" s="2537" t="s">
        <v>2505</v>
      </c>
      <c r="E16" s="2548" t="s">
        <v>2506</v>
      </c>
      <c r="F16" s="2538" t="s">
        <v>2507</v>
      </c>
      <c r="G16" s="2539" t="s">
        <v>2497</v>
      </c>
      <c r="H16" s="2545" t="s">
        <v>2498</v>
      </c>
      <c r="I16" s="2536" t="s">
        <v>2499</v>
      </c>
    </row>
    <row r="17" spans="1:9" ht="14.25">
      <c r="A17" s="3472"/>
      <c r="B17" s="3473" t="s">
        <v>2508</v>
      </c>
      <c r="C17" s="3473"/>
      <c r="D17" s="2537"/>
      <c r="E17" s="2537"/>
      <c r="F17" s="2538"/>
      <c r="G17" s="2539"/>
      <c r="H17" s="2549"/>
      <c r="I17" s="2550">
        <f>ROUND(D17*E17*F17*G17/10000,0)</f>
        <v>0</v>
      </c>
    </row>
    <row r="18" spans="1:9" ht="14.25">
      <c r="A18" s="3472"/>
      <c r="B18" s="3473" t="s">
        <v>2509</v>
      </c>
      <c r="C18" s="3473"/>
      <c r="D18" s="2537"/>
      <c r="E18" s="2537"/>
      <c r="F18" s="2538"/>
      <c r="G18" s="2539"/>
      <c r="H18" s="2549"/>
      <c r="I18" s="2550">
        <f>ROUND(D18*E18*F18*G18/10000,0)</f>
        <v>0</v>
      </c>
    </row>
    <row r="19" spans="1:9" ht="14.25">
      <c r="A19" s="3472"/>
      <c r="B19" s="3473" t="s">
        <v>2510</v>
      </c>
      <c r="C19" s="3473"/>
      <c r="D19" s="2537"/>
      <c r="E19" s="2537"/>
      <c r="F19" s="2538"/>
      <c r="G19" s="2539"/>
      <c r="H19" s="2549"/>
      <c r="I19" s="2550">
        <f>ROUND(D19*E19*F19*G19/10000,0)</f>
        <v>0</v>
      </c>
    </row>
    <row r="20" spans="1:9">
      <c r="A20" s="3472"/>
      <c r="B20" s="3474" t="s">
        <v>2491</v>
      </c>
      <c r="C20" s="3474"/>
      <c r="D20" s="2541">
        <f>SUM(D17:D19)</f>
        <v>0</v>
      </c>
      <c r="E20" s="2541"/>
      <c r="F20" s="2542"/>
      <c r="G20" s="2539"/>
      <c r="H20" s="2546"/>
      <c r="I20" s="2547">
        <f>SUM(I17:I19)</f>
        <v>0</v>
      </c>
    </row>
    <row r="21" spans="1:9">
      <c r="A21" s="3472" t="s">
        <v>2511</v>
      </c>
      <c r="B21" s="3475"/>
      <c r="C21" s="3475"/>
      <c r="D21" s="3475"/>
      <c r="E21" s="3475"/>
      <c r="F21" s="3475"/>
      <c r="G21" s="3475"/>
      <c r="H21" s="2551">
        <v>0.1</v>
      </c>
      <c r="I21" s="2544">
        <f>ROUND(I10*H21,0)</f>
        <v>0</v>
      </c>
    </row>
    <row r="22" spans="1:9" ht="14.25">
      <c r="A22" s="3476" t="s">
        <v>2512</v>
      </c>
      <c r="B22" s="3477"/>
      <c r="C22" s="3478"/>
      <c r="D22" s="2552" t="s">
        <v>2513</v>
      </c>
      <c r="E22" s="2552" t="s">
        <v>2514</v>
      </c>
      <c r="F22" s="2553" t="s">
        <v>2515</v>
      </c>
      <c r="G22" s="2553" t="s">
        <v>2516</v>
      </c>
      <c r="H22" s="2545" t="s">
        <v>2517</v>
      </c>
      <c r="I22" s="2536" t="s">
        <v>2518</v>
      </c>
    </row>
    <row r="23" spans="1:9" ht="14.25" thickBot="1">
      <c r="A23" s="3479"/>
      <c r="B23" s="3480"/>
      <c r="C23" s="3481"/>
      <c r="D23" s="2554"/>
      <c r="E23" s="2554"/>
      <c r="F23" s="2554"/>
      <c r="G23" s="2555"/>
      <c r="H23" s="2556"/>
      <c r="I23" s="2557">
        <f>ROUND(E23*D23*F23*(1-G23)/10000,0)</f>
        <v>0</v>
      </c>
    </row>
    <row r="26" spans="1:9">
      <c r="A26" s="2558" t="s">
        <v>2519</v>
      </c>
      <c r="B26" s="2558"/>
      <c r="C26" s="2558"/>
      <c r="D26" s="2558"/>
      <c r="E26" s="3469">
        <f>C27-C30-C31-C32</f>
        <v>0</v>
      </c>
      <c r="F26" s="3469"/>
      <c r="G26" s="3469"/>
      <c r="H26" s="3073" t="s">
        <v>2849</v>
      </c>
    </row>
    <row r="27" spans="1:9">
      <c r="A27" s="2559">
        <v>1</v>
      </c>
      <c r="B27" s="2560" t="s">
        <v>2520</v>
      </c>
      <c r="C27" s="2560"/>
      <c r="D27" s="2560"/>
      <c r="E27" s="3470"/>
      <c r="F27" s="3470"/>
      <c r="G27" s="3470"/>
    </row>
    <row r="28" spans="1:9">
      <c r="A28" s="2561" t="s">
        <v>2521</v>
      </c>
      <c r="B28" s="2560" t="s">
        <v>2522</v>
      </c>
      <c r="C28" s="2560"/>
      <c r="D28" s="2560"/>
      <c r="E28" s="3470"/>
      <c r="F28" s="3470"/>
      <c r="G28" s="3470"/>
    </row>
    <row r="29" spans="1:9">
      <c r="A29" s="2561" t="s">
        <v>2523</v>
      </c>
      <c r="B29" s="2560" t="s">
        <v>2463</v>
      </c>
      <c r="C29" s="2560"/>
      <c r="D29" s="2560"/>
      <c r="E29" s="2560" t="s">
        <v>2524</v>
      </c>
      <c r="F29" s="2560"/>
      <c r="G29" s="2560"/>
    </row>
    <row r="30" spans="1:9">
      <c r="A30" s="2559">
        <v>2</v>
      </c>
      <c r="B30" s="2560" t="s">
        <v>2525</v>
      </c>
      <c r="C30" s="2560">
        <f>C27*D30</f>
        <v>0</v>
      </c>
      <c r="D30" s="2562">
        <v>0.2</v>
      </c>
      <c r="E30" s="2560" t="s">
        <v>2526</v>
      </c>
      <c r="F30" s="2560"/>
      <c r="G30" s="2560"/>
    </row>
    <row r="31" spans="1:9">
      <c r="A31" s="2559">
        <v>3</v>
      </c>
      <c r="B31" s="2560" t="s">
        <v>2527</v>
      </c>
      <c r="C31" s="2560">
        <f>C25*D31</f>
        <v>0</v>
      </c>
      <c r="D31" s="2562">
        <v>0.15</v>
      </c>
      <c r="E31" s="2560" t="s">
        <v>2528</v>
      </c>
      <c r="F31" s="2560"/>
      <c r="G31" s="2560"/>
    </row>
    <row r="32" spans="1:9">
      <c r="A32" s="2559">
        <v>4</v>
      </c>
      <c r="B32" s="2560" t="s">
        <v>2529</v>
      </c>
      <c r="C32" s="2560">
        <f>C27*D32</f>
        <v>0</v>
      </c>
      <c r="D32" s="2562">
        <v>0.05</v>
      </c>
      <c r="E32" s="3471"/>
      <c r="F32" s="3471"/>
      <c r="G32" s="3471"/>
    </row>
    <row r="33" spans="1:7" hidden="1">
      <c r="A33" s="3466" t="s">
        <v>2530</v>
      </c>
      <c r="B33" s="3467"/>
      <c r="C33" s="3467"/>
      <c r="D33" s="3468"/>
      <c r="E33" s="3469"/>
      <c r="F33" s="3469"/>
      <c r="G33" s="3469"/>
    </row>
    <row r="34" spans="1:7" hidden="1">
      <c r="A34" s="2563">
        <v>1</v>
      </c>
      <c r="B34" s="2560" t="s">
        <v>2531</v>
      </c>
      <c r="C34" s="2560"/>
      <c r="D34" s="2560"/>
      <c r="E34" s="3470"/>
      <c r="F34" s="3470"/>
      <c r="G34" s="3470"/>
    </row>
    <row r="35" spans="1:7" hidden="1">
      <c r="A35" s="2563">
        <v>2</v>
      </c>
      <c r="B35" s="2560" t="s">
        <v>2532</v>
      </c>
      <c r="C35" s="2560"/>
      <c r="D35" s="2560"/>
      <c r="E35" s="3470"/>
      <c r="F35" s="3470"/>
      <c r="G35" s="3470"/>
    </row>
    <row r="36" spans="1:7" hidden="1">
      <c r="A36" s="2563">
        <v>3</v>
      </c>
      <c r="B36" s="2560" t="s">
        <v>2533</v>
      </c>
      <c r="C36" s="2560"/>
      <c r="D36" s="2560"/>
      <c r="E36" s="3470"/>
      <c r="F36" s="3470"/>
      <c r="G36" s="3470"/>
    </row>
    <row r="37" spans="1:7" hidden="1">
      <c r="A37" s="2563">
        <v>4</v>
      </c>
      <c r="B37" s="2560" t="s">
        <v>2534</v>
      </c>
      <c r="C37" s="2560"/>
      <c r="D37" s="2560"/>
      <c r="E37" s="3470"/>
      <c r="F37" s="3470"/>
      <c r="G37" s="3470"/>
    </row>
    <row r="38" spans="1:7" hidden="1">
      <c r="A38" s="3466" t="s">
        <v>2535</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604</v>
      </c>
      <c r="B1" s="744"/>
      <c r="C1" s="2186"/>
      <c r="D1" s="2186"/>
      <c r="E1" s="2186"/>
      <c r="F1" s="2186"/>
      <c r="G1" s="2112"/>
    </row>
    <row r="2" spans="1:25" s="2063" customFormat="1" ht="18" customHeight="1">
      <c r="A2" s="425" t="s">
        <v>467</v>
      </c>
      <c r="B2" s="427">
        <f ca="1">C23</f>
        <v>0</v>
      </c>
      <c r="C2" s="2112"/>
      <c r="D2" s="2112"/>
      <c r="E2" s="2112"/>
      <c r="F2" s="2112"/>
      <c r="G2" s="2112"/>
    </row>
    <row r="3" spans="1:25" s="2063" customFormat="1" ht="18" customHeight="1">
      <c r="A3" s="1382" t="s">
        <v>1684</v>
      </c>
      <c r="B3" s="427">
        <f ca="1">ROUND(B2*10000/'数据-汇总表'!E3,0)</f>
        <v>0</v>
      </c>
      <c r="C3" s="2112"/>
      <c r="D3" s="2112"/>
      <c r="E3" s="2112"/>
      <c r="F3" s="2112"/>
      <c r="G3" s="2112"/>
    </row>
    <row r="4" spans="1:25" s="2063" customFormat="1" ht="18" customHeight="1">
      <c r="A4" s="428" t="s">
        <v>468</v>
      </c>
      <c r="B4" s="429">
        <f ca="1">ROUND(B2*10000/'数据-汇总表'!D3,0)</f>
        <v>0</v>
      </c>
      <c r="C4" s="2065"/>
      <c r="D4" s="2112"/>
      <c r="E4" s="2112"/>
      <c r="F4" s="2112"/>
      <c r="G4" s="2112"/>
    </row>
    <row r="5" spans="1:25" s="2063" customFormat="1" ht="18" customHeight="1" thickBot="1">
      <c r="A5" s="431"/>
      <c r="B5" s="432">
        <f ca="1">ROUND(B2/('数据-汇总表'!D3/666.67),0)</f>
        <v>0</v>
      </c>
      <c r="C5" s="433" t="s">
        <v>469</v>
      </c>
      <c r="D5" s="2112"/>
      <c r="E5" s="2112"/>
      <c r="F5" s="2112"/>
      <c r="G5" s="2112"/>
    </row>
    <row r="6" spans="1:25" s="2187" customFormat="1" ht="13.5" customHeight="1">
      <c r="A6" s="745"/>
      <c r="B6" s="746" t="s">
        <v>605</v>
      </c>
      <c r="C6" s="747" t="s">
        <v>606</v>
      </c>
      <c r="D6" s="747" t="s">
        <v>607</v>
      </c>
      <c r="E6" s="748" t="s">
        <v>608</v>
      </c>
      <c r="F6" s="748" t="s">
        <v>609</v>
      </c>
      <c r="G6" s="749"/>
    </row>
    <row r="7" spans="1:25" s="2187" customFormat="1" ht="13.5" customHeight="1">
      <c r="A7" s="2497">
        <v>1</v>
      </c>
      <c r="B7" s="750" t="s">
        <v>610</v>
      </c>
      <c r="C7" s="751">
        <f>C8+C9</f>
        <v>0</v>
      </c>
      <c r="D7" s="751"/>
      <c r="E7" s="752"/>
      <c r="F7" s="752"/>
      <c r="G7" s="2507"/>
    </row>
    <row r="8" spans="1:25" s="2187" customFormat="1" ht="13.5" customHeight="1">
      <c r="A8" s="2497" t="s">
        <v>2442</v>
      </c>
      <c r="B8" s="2500" t="s">
        <v>2444</v>
      </c>
      <c r="C8" s="2501"/>
      <c r="D8" s="751"/>
      <c r="E8" s="752"/>
      <c r="F8" s="752"/>
      <c r="G8" s="753"/>
    </row>
    <row r="9" spans="1:25" s="2187" customFormat="1" ht="13.5" customHeight="1">
      <c r="A9" s="2497" t="s">
        <v>2443</v>
      </c>
      <c r="B9" s="2500" t="s">
        <v>2445</v>
      </c>
      <c r="C9" s="2501"/>
      <c r="D9" s="751"/>
      <c r="E9" s="752"/>
      <c r="F9" s="752"/>
      <c r="G9" s="753"/>
    </row>
    <row r="10" spans="1:25" s="2187" customFormat="1" ht="36">
      <c r="A10" s="2497">
        <v>2</v>
      </c>
      <c r="B10" s="750" t="s">
        <v>614</v>
      </c>
      <c r="C10" s="751">
        <f>C11+C14+C15</f>
        <v>0</v>
      </c>
      <c r="D10" s="762">
        <f>'数据-汇总表'!E3</f>
        <v>130076.72</v>
      </c>
      <c r="E10" s="751">
        <f>'数据-取费表'!B31</f>
        <v>200</v>
      </c>
      <c r="F10" s="763"/>
      <c r="G10" s="761" t="s">
        <v>615</v>
      </c>
    </row>
    <row r="11" spans="1:25" s="2187" customFormat="1" ht="13.5" customHeight="1">
      <c r="A11" s="2497" t="s">
        <v>2442</v>
      </c>
      <c r="B11" s="754" t="s">
        <v>611</v>
      </c>
      <c r="C11" s="755">
        <f>'数据-取费表'!B29</f>
        <v>0</v>
      </c>
      <c r="D11" s="756"/>
      <c r="E11" s="755"/>
      <c r="F11" s="757"/>
      <c r="G11" s="2506" t="s">
        <v>2453</v>
      </c>
    </row>
    <row r="12" spans="1:25" s="2187" customFormat="1" ht="13.5" customHeight="1">
      <c r="A12" s="2504" t="s">
        <v>2450</v>
      </c>
      <c r="B12" s="758" t="s">
        <v>612</v>
      </c>
      <c r="C12" s="759">
        <f>ROUND(D12*E12/10000,0)</f>
        <v>0</v>
      </c>
      <c r="D12" s="760">
        <f>'数据-汇总表'!E5</f>
        <v>0</v>
      </c>
      <c r="E12" s="759">
        <f>'数据-取费表'!B27</f>
        <v>0</v>
      </c>
      <c r="F12" s="757"/>
      <c r="G12" s="761"/>
    </row>
    <row r="13" spans="1:25" s="2187" customFormat="1" ht="13.5" customHeight="1">
      <c r="A13" s="2504" t="s">
        <v>2449</v>
      </c>
      <c r="B13" s="758" t="s">
        <v>613</v>
      </c>
      <c r="C13" s="759">
        <f>ROUND(D13*E13/10000,0)</f>
        <v>2602</v>
      </c>
      <c r="D13" s="760">
        <f>'数据-汇总表'!E6</f>
        <v>130076.72</v>
      </c>
      <c r="E13" s="759">
        <f>'数据-取费表'!B28</f>
        <v>200</v>
      </c>
      <c r="F13" s="757"/>
      <c r="G13" s="761"/>
    </row>
    <row r="14" spans="1:25" s="2187" customFormat="1" ht="13.5" customHeight="1">
      <c r="A14" s="2497" t="s">
        <v>2443</v>
      </c>
      <c r="B14" s="2503" t="s">
        <v>2446</v>
      </c>
      <c r="C14" s="2501"/>
      <c r="D14" s="760"/>
      <c r="E14" s="759"/>
      <c r="F14" s="2502"/>
      <c r="G14" s="2505" t="s">
        <v>2451</v>
      </c>
    </row>
    <row r="15" spans="1:25" s="2187" customFormat="1" ht="13.5" customHeight="1">
      <c r="A15" s="2497" t="s">
        <v>2448</v>
      </c>
      <c r="B15" s="2503" t="s">
        <v>2447</v>
      </c>
      <c r="C15" s="2501"/>
      <c r="D15" s="760"/>
      <c r="E15" s="759"/>
      <c r="F15" s="2502"/>
      <c r="G15" s="2505" t="s">
        <v>2452</v>
      </c>
    </row>
    <row r="16" spans="1:25" s="2188" customFormat="1" ht="48">
      <c r="A16" s="2497">
        <v>3</v>
      </c>
      <c r="B16" s="750" t="s">
        <v>616</v>
      </c>
      <c r="C16" s="2501"/>
      <c r="D16" s="762"/>
      <c r="E16" s="751"/>
      <c r="F16" s="763"/>
      <c r="G16" s="761" t="s">
        <v>2454</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618</v>
      </c>
      <c r="C18" s="751">
        <f>ROUND((C7+C10+C16)*F18,0)</f>
        <v>0</v>
      </c>
      <c r="D18" s="764"/>
      <c r="E18" s="765"/>
      <c r="F18" s="763">
        <f>'数据-取费表'!Q16</f>
        <v>0.24</v>
      </c>
      <c r="G18" s="767"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620</v>
      </c>
      <c r="C19" s="751">
        <f ca="1">C7+C10+C16+C17+C18</f>
        <v>0</v>
      </c>
      <c r="D19" s="762"/>
      <c r="E19" s="751"/>
      <c r="F19" s="763"/>
      <c r="G19" s="767"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622</v>
      </c>
      <c r="C20" s="751">
        <f ca="1">ROUND(C19*F20,0)</f>
        <v>0</v>
      </c>
      <c r="D20" s="762"/>
      <c r="E20" s="751"/>
      <c r="F20" s="1351"/>
      <c r="G20" s="767"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624</v>
      </c>
      <c r="C21" s="751">
        <f ca="1">C19+C20</f>
        <v>0</v>
      </c>
      <c r="D21" s="762"/>
      <c r="E21" s="751"/>
      <c r="F21" s="763"/>
      <c r="G21" s="767"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626</v>
      </c>
      <c r="C22" s="751">
        <f ca="1">ROUND(C21*F22,0)</f>
        <v>0</v>
      </c>
      <c r="D22" s="762"/>
      <c r="E22" s="751"/>
      <c r="F22" s="768">
        <f>'数据-取费表'!AP16</f>
        <v>0.85499999999999998</v>
      </c>
      <c r="G22" s="767"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628</v>
      </c>
      <c r="C23" s="770">
        <f ca="1">C22</f>
        <v>0</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2651" t="s">
        <v>720</v>
      </c>
      <c r="C1" s="2652" t="s">
        <v>721</v>
      </c>
      <c r="D1" s="2653"/>
      <c r="E1" s="2654"/>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520</v>
      </c>
      <c r="B3" s="853" t="e">
        <f>C49</f>
        <v>#DIV/0!</v>
      </c>
      <c r="C3" s="854" t="s">
        <v>723</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522</v>
      </c>
      <c r="B4" s="515"/>
      <c r="C4" s="3383" t="s">
        <v>523</v>
      </c>
      <c r="D4" s="3384"/>
      <c r="E4" s="3407" t="s">
        <v>524</v>
      </c>
      <c r="F4" s="3408"/>
      <c r="G4" s="3383" t="s">
        <v>525</v>
      </c>
      <c r="H4" s="3384"/>
      <c r="I4" s="3383" t="s">
        <v>526</v>
      </c>
      <c r="J4" s="3384"/>
      <c r="K4" s="855" t="s">
        <v>527</v>
      </c>
      <c r="L4" s="2137"/>
      <c r="M4" s="2138"/>
      <c r="N4" s="2138"/>
      <c r="O4" s="2138"/>
      <c r="P4" s="3385" t="s">
        <v>528</v>
      </c>
      <c r="Q4" s="3386"/>
      <c r="R4" s="3371" t="s">
        <v>524</v>
      </c>
      <c r="S4" s="3372"/>
      <c r="T4" s="3371" t="s">
        <v>525</v>
      </c>
      <c r="U4" s="3372"/>
      <c r="V4" s="3391" t="s">
        <v>526</v>
      </c>
      <c r="W4" s="3391"/>
      <c r="X4" s="1570"/>
      <c r="Y4" s="3371" t="s">
        <v>528</v>
      </c>
      <c r="Z4" s="3372"/>
      <c r="AA4" s="3366" t="s">
        <v>524</v>
      </c>
      <c r="AB4" s="3366" t="s">
        <v>525</v>
      </c>
      <c r="AC4" s="3366" t="s">
        <v>526</v>
      </c>
    </row>
    <row r="5" spans="1:29" ht="15">
      <c r="A5" s="517"/>
      <c r="B5" s="518"/>
      <c r="C5" s="3394" t="s">
        <v>2932</v>
      </c>
      <c r="D5" s="3395"/>
      <c r="E5" s="3409" t="s">
        <v>2933</v>
      </c>
      <c r="F5" s="3410"/>
      <c r="G5" s="3394" t="s">
        <v>2934</v>
      </c>
      <c r="H5" s="3395"/>
      <c r="I5" s="3394" t="s">
        <v>2935</v>
      </c>
      <c r="J5" s="3395"/>
      <c r="K5" s="856"/>
      <c r="L5" s="2137"/>
      <c r="M5" s="2138"/>
      <c r="N5" s="2138"/>
      <c r="O5" s="2138"/>
      <c r="P5" s="3387"/>
      <c r="Q5" s="3388"/>
      <c r="R5" s="3373"/>
      <c r="S5" s="3374"/>
      <c r="T5" s="3373"/>
      <c r="U5" s="3374"/>
      <c r="V5" s="3391"/>
      <c r="W5" s="3391"/>
      <c r="X5" s="1570"/>
      <c r="Y5" s="3373"/>
      <c r="Z5" s="3374"/>
      <c r="AA5" s="3367"/>
      <c r="AB5" s="3367"/>
      <c r="AC5" s="3367"/>
    </row>
    <row r="6" spans="1:29" ht="15.75" thickBot="1">
      <c r="A6" s="519"/>
      <c r="B6" s="520"/>
      <c r="C6" s="3392" t="s">
        <v>2936</v>
      </c>
      <c r="D6" s="3393"/>
      <c r="E6" s="3411" t="s">
        <v>2936</v>
      </c>
      <c r="F6" s="3412"/>
      <c r="G6" s="3392" t="s">
        <v>2936</v>
      </c>
      <c r="H6" s="3393"/>
      <c r="I6" s="3392" t="s">
        <v>2936</v>
      </c>
      <c r="J6" s="3393"/>
      <c r="K6" s="856" t="s">
        <v>529</v>
      </c>
      <c r="L6" s="2137"/>
      <c r="M6" s="2138"/>
      <c r="N6" s="2138"/>
      <c r="O6" s="2138"/>
      <c r="P6" s="3389"/>
      <c r="Q6" s="3390"/>
      <c r="R6" s="3373"/>
      <c r="S6" s="3374"/>
      <c r="T6" s="3375"/>
      <c r="U6" s="3376"/>
      <c r="V6" s="3391"/>
      <c r="W6" s="3391"/>
      <c r="X6" s="1570"/>
      <c r="Y6" s="3375"/>
      <c r="Z6" s="3376"/>
      <c r="AA6" s="3368"/>
      <c r="AB6" s="3368"/>
      <c r="AC6" s="3368"/>
    </row>
    <row r="7" spans="1:29" s="1222" customFormat="1" ht="15.75" thickBot="1">
      <c r="A7" s="2942"/>
      <c r="B7" s="2949" t="s">
        <v>530</v>
      </c>
      <c r="C7" s="521">
        <f>'数据-取费表'!B2</f>
        <v>43035</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69" t="s">
        <v>531</v>
      </c>
      <c r="Q7" s="3378"/>
      <c r="R7" s="1571" t="s">
        <v>13</v>
      </c>
      <c r="S7" s="1572">
        <f t="shared" ref="S7:S15" si="0">F7</f>
        <v>0</v>
      </c>
      <c r="T7" s="1571" t="s">
        <v>13</v>
      </c>
      <c r="U7" s="1572">
        <f t="shared" ref="U7:U15" si="1">H7</f>
        <v>0</v>
      </c>
      <c r="V7" s="1571" t="s">
        <v>13</v>
      </c>
      <c r="W7" s="1572">
        <f t="shared" ref="W7:W15" si="2">J7</f>
        <v>0</v>
      </c>
      <c r="X7" s="1573"/>
      <c r="Y7" s="3369" t="s">
        <v>531</v>
      </c>
      <c r="Z7" s="3370"/>
      <c r="AA7" s="1574" t="e">
        <f>D7/F7</f>
        <v>#DIV/0!</v>
      </c>
      <c r="AB7" s="1574" t="e">
        <f>D7/H7</f>
        <v>#DIV/0!</v>
      </c>
      <c r="AC7" s="1574" t="e">
        <f>D7/J7</f>
        <v>#DIV/0!</v>
      </c>
    </row>
    <row r="8" spans="1:29" s="1222" customFormat="1" ht="15.75" thickBot="1">
      <c r="A8" s="2943"/>
      <c r="B8" s="2950" t="s">
        <v>532</v>
      </c>
      <c r="C8" s="527" t="s">
        <v>577</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69" t="s">
        <v>534</v>
      </c>
      <c r="Q8" s="3370"/>
      <c r="R8" s="1571" t="s">
        <v>13</v>
      </c>
      <c r="S8" s="1572">
        <f t="shared" si="0"/>
        <v>0</v>
      </c>
      <c r="T8" s="1571" t="s">
        <v>13</v>
      </c>
      <c r="U8" s="1572">
        <f t="shared" si="1"/>
        <v>0</v>
      </c>
      <c r="V8" s="1571" t="s">
        <v>13</v>
      </c>
      <c r="W8" s="1572">
        <f t="shared" si="2"/>
        <v>0</v>
      </c>
      <c r="X8" s="1573"/>
      <c r="Y8" s="3369" t="s">
        <v>534</v>
      </c>
      <c r="Z8" s="3370"/>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77" t="s">
        <v>536</v>
      </c>
      <c r="Q9" s="1153" t="str">
        <f t="shared" ref="Q9:Q15" si="6">B9</f>
        <v>用途</v>
      </c>
      <c r="R9" s="1571" t="s">
        <v>8</v>
      </c>
      <c r="S9" s="1572">
        <f t="shared" si="0"/>
        <v>100</v>
      </c>
      <c r="T9" s="1571" t="s">
        <v>8</v>
      </c>
      <c r="U9" s="1572">
        <f t="shared" si="1"/>
        <v>100</v>
      </c>
      <c r="V9" s="1571" t="s">
        <v>8</v>
      </c>
      <c r="W9" s="1572">
        <f t="shared" si="2"/>
        <v>100</v>
      </c>
      <c r="X9" s="1573"/>
      <c r="Y9" s="3334"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77"/>
      <c r="Q10" s="1153" t="str">
        <f t="shared" si="6"/>
        <v>土地使用年限（年）</v>
      </c>
      <c r="R10" s="1571" t="s">
        <v>8</v>
      </c>
      <c r="S10" s="1572">
        <f t="shared" si="0"/>
        <v>100</v>
      </c>
      <c r="T10" s="1571" t="s">
        <v>8</v>
      </c>
      <c r="U10" s="1572">
        <f t="shared" si="1"/>
        <v>100</v>
      </c>
      <c r="V10" s="1571" t="s">
        <v>8</v>
      </c>
      <c r="W10" s="1572">
        <f t="shared" si="2"/>
        <v>100</v>
      </c>
      <c r="X10" s="1573"/>
      <c r="Y10" s="3334"/>
      <c r="Z10" s="1152" t="str">
        <f t="shared" si="7"/>
        <v>土地使用年限（年）</v>
      </c>
      <c r="AA10" s="1574">
        <f t="shared" si="3"/>
        <v>1</v>
      </c>
      <c r="AB10" s="1574">
        <f t="shared" si="4"/>
        <v>1</v>
      </c>
      <c r="AC10" s="1574">
        <f t="shared" si="5"/>
        <v>1</v>
      </c>
    </row>
    <row r="11" spans="1:29" ht="15">
      <c r="A11" s="2946"/>
      <c r="B11" s="2950" t="s">
        <v>2764</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77"/>
      <c r="Q11" s="1153" t="str">
        <f t="shared" si="6"/>
        <v>容积率</v>
      </c>
      <c r="R11" s="1571" t="s">
        <v>11</v>
      </c>
      <c r="S11" s="1572" t="e">
        <f t="shared" si="0"/>
        <v>#N/A</v>
      </c>
      <c r="T11" s="1571" t="s">
        <v>11</v>
      </c>
      <c r="U11" s="1572" t="e">
        <f t="shared" si="1"/>
        <v>#N/A</v>
      </c>
      <c r="V11" s="1571" t="s">
        <v>11</v>
      </c>
      <c r="W11" s="1572" t="e">
        <f t="shared" si="2"/>
        <v>#N/A</v>
      </c>
      <c r="X11" s="1573"/>
      <c r="Y11" s="3334"/>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77"/>
      <c r="Q12" s="1153">
        <f t="shared" si="6"/>
        <v>111</v>
      </c>
      <c r="R12" s="1571" t="s">
        <v>11</v>
      </c>
      <c r="S12" s="1572">
        <f t="shared" si="0"/>
        <v>100</v>
      </c>
      <c r="T12" s="1571" t="s">
        <v>11</v>
      </c>
      <c r="U12" s="1572">
        <f t="shared" si="1"/>
        <v>100</v>
      </c>
      <c r="V12" s="1571" t="s">
        <v>11</v>
      </c>
      <c r="W12" s="1572">
        <f t="shared" si="2"/>
        <v>100</v>
      </c>
      <c r="X12" s="1573"/>
      <c r="Y12" s="3334"/>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77"/>
      <c r="Q13" s="1153">
        <f t="shared" si="6"/>
        <v>111</v>
      </c>
      <c r="R13" s="1571" t="s">
        <v>11</v>
      </c>
      <c r="S13" s="1572">
        <f t="shared" si="0"/>
        <v>100</v>
      </c>
      <c r="T13" s="1571" t="s">
        <v>11</v>
      </c>
      <c r="U13" s="1572">
        <f t="shared" si="1"/>
        <v>100</v>
      </c>
      <c r="V13" s="1571" t="s">
        <v>11</v>
      </c>
      <c r="W13" s="1572">
        <f t="shared" si="2"/>
        <v>100</v>
      </c>
      <c r="X13" s="1573"/>
      <c r="Y13" s="3334"/>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77"/>
      <c r="Q14" s="1153">
        <f t="shared" si="6"/>
        <v>111</v>
      </c>
      <c r="R14" s="1571" t="s">
        <v>11</v>
      </c>
      <c r="S14" s="1572">
        <f t="shared" si="0"/>
        <v>100</v>
      </c>
      <c r="T14" s="1571" t="s">
        <v>11</v>
      </c>
      <c r="U14" s="1572">
        <f t="shared" si="1"/>
        <v>100</v>
      </c>
      <c r="V14" s="1571" t="s">
        <v>11</v>
      </c>
      <c r="W14" s="1572">
        <f t="shared" si="2"/>
        <v>100</v>
      </c>
      <c r="X14" s="1573"/>
      <c r="Y14" s="3334"/>
      <c r="Z14" s="1152">
        <f t="shared" si="7"/>
        <v>111</v>
      </c>
      <c r="AA14" s="1574">
        <f t="shared" si="3"/>
        <v>1</v>
      </c>
      <c r="AB14" s="1574">
        <f t="shared" si="4"/>
        <v>1</v>
      </c>
      <c r="AC14" s="1574">
        <f t="shared" si="5"/>
        <v>1</v>
      </c>
    </row>
    <row r="15" spans="1:29" ht="99.75">
      <c r="A15" s="2940" t="s">
        <v>2760</v>
      </c>
      <c r="B15" s="166" t="s">
        <v>295</v>
      </c>
      <c r="C15" s="869">
        <f>估价对象房地状况!C3</f>
        <v>0</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79" t="s">
        <v>541</v>
      </c>
      <c r="Q15" s="1575" t="str">
        <f t="shared" si="6"/>
        <v>居住社区成熟度</v>
      </c>
      <c r="R15" s="1576" t="s">
        <v>11</v>
      </c>
      <c r="S15" s="1577">
        <f t="shared" si="0"/>
        <v>100</v>
      </c>
      <c r="T15" s="1576" t="s">
        <v>11</v>
      </c>
      <c r="U15" s="1577">
        <f t="shared" si="1"/>
        <v>100</v>
      </c>
      <c r="V15" s="1576" t="s">
        <v>11</v>
      </c>
      <c r="W15" s="1577">
        <f t="shared" si="2"/>
        <v>100</v>
      </c>
      <c r="X15" s="1570"/>
      <c r="Y15" s="3379" t="s">
        <v>541</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80"/>
      <c r="Q16" s="1575"/>
      <c r="R16" s="1576"/>
      <c r="S16" s="1577"/>
      <c r="T16" s="1576"/>
      <c r="U16" s="1577"/>
      <c r="V16" s="1576"/>
      <c r="W16" s="1577"/>
      <c r="X16" s="1570"/>
      <c r="Y16" s="3380"/>
      <c r="Z16" s="1578"/>
      <c r="AA16" s="1579">
        <v>1</v>
      </c>
      <c r="AB16" s="1579">
        <v>1</v>
      </c>
      <c r="AC16" s="1579">
        <v>1</v>
      </c>
    </row>
    <row r="17" spans="1:29" ht="85.5">
      <c r="A17" s="534"/>
      <c r="B17" s="873" t="s">
        <v>296</v>
      </c>
      <c r="C17" s="874" t="str">
        <f>估价对象房地状况!C6</f>
        <v>周边路网较为密集。周边有322路、342路、589路、626路等公交线路，紧邻地铁6号线，公交便捷度较好。整体交通便捷度较好。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80"/>
      <c r="Q17" s="1575" t="str">
        <f>B17</f>
        <v>交通便捷度</v>
      </c>
      <c r="R17" s="1576" t="s">
        <v>11</v>
      </c>
      <c r="S17" s="1577">
        <f>F17</f>
        <v>100</v>
      </c>
      <c r="T17" s="1576" t="s">
        <v>11</v>
      </c>
      <c r="U17" s="1577">
        <f>H17</f>
        <v>100</v>
      </c>
      <c r="V17" s="1576" t="s">
        <v>11</v>
      </c>
      <c r="W17" s="1577">
        <f>J17</f>
        <v>100</v>
      </c>
      <c r="X17" s="1570"/>
      <c r="Y17" s="3380"/>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80"/>
      <c r="Q18" s="1575"/>
      <c r="R18" s="1576"/>
      <c r="S18" s="1577"/>
      <c r="T18" s="1576"/>
      <c r="U18" s="1577"/>
      <c r="V18" s="1576"/>
      <c r="W18" s="1577"/>
      <c r="X18" s="1570"/>
      <c r="Y18" s="3380"/>
      <c r="Z18" s="1578"/>
      <c r="AA18" s="1579">
        <v>1</v>
      </c>
      <c r="AB18" s="1579">
        <v>1</v>
      </c>
      <c r="AC18" s="1579">
        <v>1</v>
      </c>
    </row>
    <row r="19" spans="1:29" ht="42.75">
      <c r="A19" s="534"/>
      <c r="B19" s="2628" t="s">
        <v>2550</v>
      </c>
      <c r="C19" s="874" t="str">
        <f>估价对象房地状况!C7</f>
        <v>周边分布银行、购物场所、餐饮等配套设施较多，公共设施状况较好。</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80"/>
      <c r="Q19" s="1575" t="str">
        <f>B19</f>
        <v>公共配套设施</v>
      </c>
      <c r="R19" s="1576" t="s">
        <v>11</v>
      </c>
      <c r="S19" s="1577">
        <f>F19</f>
        <v>100</v>
      </c>
      <c r="T19" s="1576" t="s">
        <v>11</v>
      </c>
      <c r="U19" s="1577">
        <f>H19</f>
        <v>100</v>
      </c>
      <c r="V19" s="1576" t="s">
        <v>11</v>
      </c>
      <c r="W19" s="1577">
        <f>J19</f>
        <v>100</v>
      </c>
      <c r="X19" s="1570"/>
      <c r="Y19" s="3380"/>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80"/>
      <c r="Q20" s="1575"/>
      <c r="R20" s="1576"/>
      <c r="S20" s="1577"/>
      <c r="T20" s="1576"/>
      <c r="U20" s="1577"/>
      <c r="V20" s="1576"/>
      <c r="W20" s="1577"/>
      <c r="X20" s="1570"/>
      <c r="Y20" s="3380"/>
      <c r="Z20" s="1578"/>
      <c r="AA20" s="1579">
        <v>1</v>
      </c>
      <c r="AB20" s="1579">
        <v>1</v>
      </c>
      <c r="AC20" s="1579">
        <v>1</v>
      </c>
    </row>
    <row r="21" spans="1:29" ht="28.5">
      <c r="A21" s="534"/>
      <c r="B21" s="2621" t="s">
        <v>2562</v>
      </c>
      <c r="C21" s="874" t="str">
        <f>估价对象房地状况!C8</f>
        <v>七通</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80"/>
      <c r="Q21" s="2607" t="str">
        <f>B21</f>
        <v>基础设施水平</v>
      </c>
      <c r="R21" s="1576" t="s">
        <v>11</v>
      </c>
      <c r="S21" s="1577">
        <f>F21</f>
        <v>100</v>
      </c>
      <c r="T21" s="1576" t="s">
        <v>11</v>
      </c>
      <c r="U21" s="1577">
        <f>H21</f>
        <v>100</v>
      </c>
      <c r="V21" s="1576" t="s">
        <v>11</v>
      </c>
      <c r="W21" s="1577">
        <f>J21</f>
        <v>100</v>
      </c>
      <c r="X21" s="2609"/>
      <c r="Y21" s="3380"/>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80"/>
      <c r="Q22" s="2607"/>
      <c r="R22" s="1576"/>
      <c r="S22" s="1577"/>
      <c r="T22" s="1576"/>
      <c r="U22" s="1577"/>
      <c r="V22" s="1576"/>
      <c r="W22" s="1577"/>
      <c r="X22" s="2609"/>
      <c r="Y22" s="3380"/>
      <c r="Z22" s="2608"/>
      <c r="AA22" s="1579">
        <v>1</v>
      </c>
      <c r="AB22" s="1579">
        <v>1</v>
      </c>
      <c r="AC22" s="1579">
        <v>1</v>
      </c>
    </row>
    <row r="23" spans="1:29" ht="57">
      <c r="A23" s="534"/>
      <c r="B23" s="873" t="s">
        <v>297</v>
      </c>
      <c r="C23" s="874" t="str">
        <f>估价对象房地状况!C9</f>
        <v>周边约1公里范围内人文设施较少；周边约1公里范围内有运河奥体公园等，紧邻运河，自然环境较好。综合评价，综合考虑自然及人文环境较好。</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80"/>
      <c r="Q23" s="1575" t="str">
        <f>B23</f>
        <v>自然及人文环境</v>
      </c>
      <c r="R23" s="1576" t="s">
        <v>11</v>
      </c>
      <c r="S23" s="1577">
        <f>F23</f>
        <v>100</v>
      </c>
      <c r="T23" s="1576" t="s">
        <v>11</v>
      </c>
      <c r="U23" s="1577">
        <f>H23</f>
        <v>100</v>
      </c>
      <c r="V23" s="1576" t="s">
        <v>11</v>
      </c>
      <c r="W23" s="1577">
        <f>J23</f>
        <v>100</v>
      </c>
      <c r="X23" s="1570"/>
      <c r="Y23" s="3380"/>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80"/>
      <c r="Q24" s="1575"/>
      <c r="R24" s="1576"/>
      <c r="S24" s="1577"/>
      <c r="T24" s="1576"/>
      <c r="U24" s="1577"/>
      <c r="V24" s="1576"/>
      <c r="W24" s="1577"/>
      <c r="X24" s="1570"/>
      <c r="Y24" s="3380"/>
      <c r="Z24" s="1578"/>
      <c r="AA24" s="1579">
        <v>1</v>
      </c>
      <c r="AB24" s="1579">
        <v>1</v>
      </c>
      <c r="AC24" s="1579">
        <v>1</v>
      </c>
    </row>
    <row r="25" spans="1:29" ht="15">
      <c r="A25" s="534"/>
      <c r="B25" s="1899" t="s">
        <v>2257</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80"/>
      <c r="Q25" s="1575" t="str">
        <f t="shared" ref="Q25:Q46" si="11">B25</f>
        <v>楼层-1</v>
      </c>
      <c r="R25" s="1576" t="s">
        <v>11</v>
      </c>
      <c r="S25" s="1577">
        <f>F25</f>
        <v>100</v>
      </c>
      <c r="T25" s="1576" t="s">
        <v>11</v>
      </c>
      <c r="U25" s="1577">
        <f>H25</f>
        <v>100</v>
      </c>
      <c r="V25" s="1576" t="s">
        <v>11</v>
      </c>
      <c r="W25" s="1577">
        <f>J25</f>
        <v>100</v>
      </c>
      <c r="X25" s="1570"/>
      <c r="Y25" s="3380"/>
      <c r="Z25" s="1578" t="str">
        <f>Q25</f>
        <v>楼层-1</v>
      </c>
      <c r="AA25" s="1579">
        <f t="shared" si="3"/>
        <v>1</v>
      </c>
      <c r="AB25" s="1579">
        <f t="shared" si="4"/>
        <v>1</v>
      </c>
      <c r="AC25" s="1579">
        <f t="shared" si="5"/>
        <v>1</v>
      </c>
    </row>
    <row r="26" spans="1:29" ht="15">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80"/>
      <c r="Q26" s="1575" t="str">
        <f t="shared" si="11"/>
        <v>朝向</v>
      </c>
      <c r="R26" s="1576" t="s">
        <v>11</v>
      </c>
      <c r="S26" s="1577">
        <f>F26</f>
        <v>100</v>
      </c>
      <c r="T26" s="1576" t="s">
        <v>11</v>
      </c>
      <c r="U26" s="1577">
        <f>H26</f>
        <v>100</v>
      </c>
      <c r="V26" s="1576" t="s">
        <v>11</v>
      </c>
      <c r="W26" s="1577">
        <f>J26</f>
        <v>100</v>
      </c>
      <c r="X26" s="1570"/>
      <c r="Y26" s="3380"/>
      <c r="Z26" s="1578" t="str">
        <f>Q26</f>
        <v>朝向</v>
      </c>
      <c r="AA26" s="1579">
        <f t="shared" si="3"/>
        <v>1</v>
      </c>
      <c r="AB26" s="1579">
        <f t="shared" si="4"/>
        <v>1</v>
      </c>
      <c r="AC26" s="1579">
        <f t="shared" si="5"/>
        <v>1</v>
      </c>
    </row>
    <row r="27" spans="1:29" s="1222" customFormat="1" ht="15">
      <c r="A27" s="538"/>
      <c r="B27" s="539" t="s">
        <v>725</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80"/>
      <c r="Q27" s="1153" t="str">
        <f t="shared" si="11"/>
        <v>道路级别</v>
      </c>
      <c r="R27" s="1571" t="s">
        <v>11</v>
      </c>
      <c r="S27" s="1572">
        <f>F27</f>
        <v>100</v>
      </c>
      <c r="T27" s="1571" t="s">
        <v>11</v>
      </c>
      <c r="U27" s="1572">
        <f>H27</f>
        <v>100</v>
      </c>
      <c r="V27" s="1571" t="s">
        <v>11</v>
      </c>
      <c r="W27" s="1572">
        <f>J27</f>
        <v>100</v>
      </c>
      <c r="X27" s="1573"/>
      <c r="Y27" s="3380"/>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80"/>
      <c r="Q28" s="1575">
        <f t="shared" si="11"/>
        <v>111</v>
      </c>
      <c r="R28" s="1576" t="s">
        <v>11</v>
      </c>
      <c r="S28" s="1577">
        <f t="shared" ref="S28:S46" si="12">F28</f>
        <v>100</v>
      </c>
      <c r="T28" s="1576" t="s">
        <v>11</v>
      </c>
      <c r="U28" s="1577">
        <f t="shared" ref="U28:U46" si="13">H28</f>
        <v>100</v>
      </c>
      <c r="V28" s="1576" t="s">
        <v>11</v>
      </c>
      <c r="W28" s="1577">
        <f t="shared" ref="W28:W46" si="14">J28</f>
        <v>100</v>
      </c>
      <c r="X28" s="1570"/>
      <c r="Y28" s="3380"/>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80"/>
      <c r="Q29" s="1575">
        <f t="shared" si="11"/>
        <v>111</v>
      </c>
      <c r="R29" s="1576" t="s">
        <v>11</v>
      </c>
      <c r="S29" s="1577">
        <f t="shared" si="12"/>
        <v>100</v>
      </c>
      <c r="T29" s="1576" t="s">
        <v>11</v>
      </c>
      <c r="U29" s="1577">
        <f t="shared" si="13"/>
        <v>100</v>
      </c>
      <c r="V29" s="1576" t="s">
        <v>11</v>
      </c>
      <c r="W29" s="1577">
        <f t="shared" si="14"/>
        <v>100</v>
      </c>
      <c r="X29" s="1570"/>
      <c r="Y29" s="3380"/>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80"/>
      <c r="Q30" s="1575">
        <f t="shared" si="11"/>
        <v>111</v>
      </c>
      <c r="R30" s="1576" t="s">
        <v>11</v>
      </c>
      <c r="S30" s="1577">
        <f t="shared" si="12"/>
        <v>100</v>
      </c>
      <c r="T30" s="1576" t="s">
        <v>11</v>
      </c>
      <c r="U30" s="1577">
        <f t="shared" si="13"/>
        <v>100</v>
      </c>
      <c r="V30" s="1576" t="s">
        <v>11</v>
      </c>
      <c r="W30" s="1577">
        <f t="shared" si="14"/>
        <v>100</v>
      </c>
      <c r="X30" s="1570"/>
      <c r="Y30" s="3380"/>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80"/>
      <c r="Q31" s="1575">
        <f t="shared" si="11"/>
        <v>111</v>
      </c>
      <c r="R31" s="1576" t="s">
        <v>11</v>
      </c>
      <c r="S31" s="1577">
        <f t="shared" si="12"/>
        <v>100</v>
      </c>
      <c r="T31" s="1576" t="s">
        <v>11</v>
      </c>
      <c r="U31" s="1577">
        <f t="shared" si="13"/>
        <v>100</v>
      </c>
      <c r="V31" s="1576" t="s">
        <v>11</v>
      </c>
      <c r="W31" s="1577">
        <f t="shared" si="14"/>
        <v>100</v>
      </c>
      <c r="X31" s="1570"/>
      <c r="Y31" s="3380"/>
      <c r="Z31" s="1578">
        <f t="shared" si="15"/>
        <v>111</v>
      </c>
      <c r="AA31" s="1579">
        <f t="shared" si="3"/>
        <v>1</v>
      </c>
      <c r="AB31" s="1579">
        <f t="shared" si="4"/>
        <v>1</v>
      </c>
      <c r="AC31" s="1579">
        <f t="shared" si="5"/>
        <v>1</v>
      </c>
    </row>
    <row r="32" spans="1:29" ht="15">
      <c r="A32" s="2937" t="s">
        <v>2761</v>
      </c>
      <c r="B32" s="172" t="s">
        <v>726</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81" t="s">
        <v>551</v>
      </c>
      <c r="Q32" s="1575" t="str">
        <f t="shared" si="11"/>
        <v>建筑类型</v>
      </c>
      <c r="R32" s="1576" t="s">
        <v>11</v>
      </c>
      <c r="S32" s="1577">
        <f t="shared" si="12"/>
        <v>100</v>
      </c>
      <c r="T32" s="1576" t="s">
        <v>11</v>
      </c>
      <c r="U32" s="1577">
        <f t="shared" si="13"/>
        <v>100</v>
      </c>
      <c r="V32" s="1576" t="s">
        <v>11</v>
      </c>
      <c r="W32" s="1577">
        <f t="shared" si="14"/>
        <v>100</v>
      </c>
      <c r="X32" s="1570"/>
      <c r="Y32" s="3382" t="s">
        <v>551</v>
      </c>
      <c r="Z32" s="1578" t="str">
        <f t="shared" si="15"/>
        <v>建筑类型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82"/>
      <c r="Q33" s="1608" t="str">
        <f t="shared" si="11"/>
        <v>项目建筑规模</v>
      </c>
      <c r="R33" s="1580" t="s">
        <v>11</v>
      </c>
      <c r="S33" s="1581" t="e">
        <f t="shared" si="12"/>
        <v>#N/A</v>
      </c>
      <c r="T33" s="1580" t="s">
        <v>11</v>
      </c>
      <c r="U33" s="1581" t="e">
        <f t="shared" si="13"/>
        <v>#N/A</v>
      </c>
      <c r="V33" s="1580" t="s">
        <v>11</v>
      </c>
      <c r="W33" s="1581" t="e">
        <f t="shared" si="14"/>
        <v>#N/A</v>
      </c>
      <c r="X33" s="1582"/>
      <c r="Y33" s="3382"/>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82"/>
      <c r="Q34" s="1575" t="str">
        <f t="shared" si="11"/>
        <v>建筑结构</v>
      </c>
      <c r="R34" s="1576" t="s">
        <v>11</v>
      </c>
      <c r="S34" s="1577">
        <f t="shared" si="12"/>
        <v>100</v>
      </c>
      <c r="T34" s="1576" t="s">
        <v>11</v>
      </c>
      <c r="U34" s="1577">
        <f t="shared" si="13"/>
        <v>100</v>
      </c>
      <c r="V34" s="1576" t="s">
        <v>11</v>
      </c>
      <c r="W34" s="1577">
        <f t="shared" si="14"/>
        <v>100</v>
      </c>
      <c r="X34" s="1570"/>
      <c r="Y34" s="3382"/>
      <c r="Z34" s="1578" t="str">
        <f t="shared" si="15"/>
        <v>建筑结构</v>
      </c>
      <c r="AA34" s="1579">
        <f t="shared" si="3"/>
        <v>1</v>
      </c>
      <c r="AB34" s="1579">
        <f t="shared" si="4"/>
        <v>1</v>
      </c>
      <c r="AC34" s="1579">
        <f t="shared" si="5"/>
        <v>1</v>
      </c>
    </row>
    <row r="35" spans="1:29" ht="15">
      <c r="A35" s="596"/>
      <c r="B35" s="529" t="s">
        <v>729</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82"/>
      <c r="Q35" s="1575" t="str">
        <f t="shared" si="11"/>
        <v>建筑品质</v>
      </c>
      <c r="R35" s="1576" t="s">
        <v>11</v>
      </c>
      <c r="S35" s="1577">
        <f t="shared" si="12"/>
        <v>100</v>
      </c>
      <c r="T35" s="1576" t="s">
        <v>11</v>
      </c>
      <c r="U35" s="1577">
        <f t="shared" si="13"/>
        <v>100</v>
      </c>
      <c r="V35" s="1576" t="s">
        <v>11</v>
      </c>
      <c r="W35" s="1577">
        <f t="shared" si="14"/>
        <v>100</v>
      </c>
      <c r="X35" s="1570"/>
      <c r="Y35" s="3382"/>
      <c r="Z35" s="1578" t="str">
        <f t="shared" si="15"/>
        <v>建筑品质</v>
      </c>
      <c r="AA35" s="1579">
        <f t="shared" si="3"/>
        <v>1</v>
      </c>
      <c r="AB35" s="1579">
        <f t="shared" si="4"/>
        <v>1</v>
      </c>
      <c r="AC35" s="1579">
        <f t="shared" si="5"/>
        <v>1</v>
      </c>
    </row>
    <row r="36" spans="1:29" ht="15">
      <c r="A36" s="596"/>
      <c r="B36" s="529" t="s">
        <v>730</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82"/>
      <c r="Q36" s="1575" t="str">
        <f t="shared" si="11"/>
        <v>公共部分装修</v>
      </c>
      <c r="R36" s="1576" t="s">
        <v>11</v>
      </c>
      <c r="S36" s="1577">
        <f t="shared" si="12"/>
        <v>100</v>
      </c>
      <c r="T36" s="1576" t="s">
        <v>11</v>
      </c>
      <c r="U36" s="1577">
        <f t="shared" si="13"/>
        <v>100</v>
      </c>
      <c r="V36" s="1576" t="s">
        <v>11</v>
      </c>
      <c r="W36" s="1577">
        <f t="shared" si="14"/>
        <v>100</v>
      </c>
      <c r="X36" s="1570"/>
      <c r="Y36" s="3382"/>
      <c r="Z36" s="1578" t="str">
        <f t="shared" si="15"/>
        <v>公共部分装修</v>
      </c>
      <c r="AA36" s="1579">
        <f t="shared" si="3"/>
        <v>1</v>
      </c>
      <c r="AB36" s="1579">
        <f t="shared" si="4"/>
        <v>1</v>
      </c>
      <c r="AC36" s="1579">
        <f t="shared" si="5"/>
        <v>1</v>
      </c>
    </row>
    <row r="37" spans="1:29" s="1222" customFormat="1" ht="15">
      <c r="A37" s="602"/>
      <c r="B37" s="529" t="s">
        <v>731</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82"/>
      <c r="Q37" s="1153" t="str">
        <f t="shared" si="11"/>
        <v>成新度</v>
      </c>
      <c r="R37" s="1571" t="s">
        <v>11</v>
      </c>
      <c r="S37" s="1572" t="e">
        <f t="shared" si="12"/>
        <v>#N/A</v>
      </c>
      <c r="T37" s="1571" t="s">
        <v>11</v>
      </c>
      <c r="U37" s="1572" t="e">
        <f t="shared" si="13"/>
        <v>#N/A</v>
      </c>
      <c r="V37" s="1571" t="s">
        <v>11</v>
      </c>
      <c r="W37" s="1572" t="e">
        <f t="shared" si="14"/>
        <v>#N/A</v>
      </c>
      <c r="X37" s="1573"/>
      <c r="Y37" s="3382"/>
      <c r="Z37" s="1152" t="str">
        <f t="shared" si="15"/>
        <v>成新度</v>
      </c>
      <c r="AA37" s="1574" t="e">
        <f t="shared" si="3"/>
        <v>#N/A</v>
      </c>
      <c r="AB37" s="1574" t="e">
        <f t="shared" si="4"/>
        <v>#N/A</v>
      </c>
      <c r="AC37" s="1574" t="e">
        <f t="shared" si="5"/>
        <v>#N/A</v>
      </c>
    </row>
    <row r="38" spans="1:29" ht="15">
      <c r="A38" s="596"/>
      <c r="B38" s="529" t="s">
        <v>732</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82" t="s">
        <v>551</v>
      </c>
      <c r="Q38" s="1575" t="str">
        <f t="shared" si="11"/>
        <v>物业管理</v>
      </c>
      <c r="R38" s="1576" t="s">
        <v>11</v>
      </c>
      <c r="S38" s="1577">
        <f t="shared" si="12"/>
        <v>100</v>
      </c>
      <c r="T38" s="1576" t="s">
        <v>11</v>
      </c>
      <c r="U38" s="1577">
        <f t="shared" si="13"/>
        <v>100</v>
      </c>
      <c r="V38" s="1576" t="s">
        <v>11</v>
      </c>
      <c r="W38" s="1577">
        <f t="shared" si="14"/>
        <v>100</v>
      </c>
      <c r="X38" s="1570"/>
      <c r="Y38" s="3382" t="s">
        <v>551</v>
      </c>
      <c r="Z38" s="1578" t="str">
        <f t="shared" si="15"/>
        <v>物业管理</v>
      </c>
      <c r="AA38" s="1579">
        <f t="shared" si="3"/>
        <v>1</v>
      </c>
      <c r="AB38" s="1579">
        <f t="shared" si="4"/>
        <v>1</v>
      </c>
      <c r="AC38" s="1579">
        <f t="shared" si="5"/>
        <v>1</v>
      </c>
    </row>
    <row r="39" spans="1:29" ht="15">
      <c r="A39" s="596"/>
      <c r="B39" s="1899" t="s">
        <v>2568</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82"/>
      <c r="Q39" s="1575" t="str">
        <f t="shared" si="11"/>
        <v>市政基础设施</v>
      </c>
      <c r="R39" s="1576" t="s">
        <v>11</v>
      </c>
      <c r="S39" s="1577">
        <f t="shared" si="12"/>
        <v>100</v>
      </c>
      <c r="T39" s="1576" t="s">
        <v>11</v>
      </c>
      <c r="U39" s="1577">
        <f t="shared" si="13"/>
        <v>100</v>
      </c>
      <c r="V39" s="1576" t="s">
        <v>11</v>
      </c>
      <c r="W39" s="1577">
        <f t="shared" si="14"/>
        <v>100</v>
      </c>
      <c r="X39" s="1570"/>
      <c r="Y39" s="3382"/>
      <c r="Z39" s="1578" t="str">
        <f t="shared" si="15"/>
        <v>市政基础设施</v>
      </c>
      <c r="AA39" s="1579">
        <f t="shared" si="3"/>
        <v>1</v>
      </c>
      <c r="AB39" s="1579">
        <f t="shared" si="4"/>
        <v>1</v>
      </c>
      <c r="AC39" s="1579">
        <f t="shared" si="5"/>
        <v>1</v>
      </c>
    </row>
    <row r="40" spans="1:29" ht="15">
      <c r="A40" s="596"/>
      <c r="B40" s="529" t="s">
        <v>733</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82"/>
      <c r="Q40" s="1575" t="str">
        <f t="shared" si="11"/>
        <v>房型</v>
      </c>
      <c r="R40" s="1576" t="s">
        <v>11</v>
      </c>
      <c r="S40" s="1577">
        <f t="shared" si="12"/>
        <v>100</v>
      </c>
      <c r="T40" s="1576" t="s">
        <v>11</v>
      </c>
      <c r="U40" s="1577">
        <f t="shared" si="13"/>
        <v>100</v>
      </c>
      <c r="V40" s="1576" t="s">
        <v>11</v>
      </c>
      <c r="W40" s="1577">
        <f t="shared" si="14"/>
        <v>100</v>
      </c>
      <c r="X40" s="1570"/>
      <c r="Y40" s="3382"/>
      <c r="Z40" s="1578" t="str">
        <f t="shared" si="15"/>
        <v>房型</v>
      </c>
      <c r="AA40" s="1579">
        <f t="shared" si="3"/>
        <v>1</v>
      </c>
      <c r="AB40" s="1579">
        <f t="shared" si="4"/>
        <v>1</v>
      </c>
      <c r="AC40" s="1579">
        <f t="shared" si="5"/>
        <v>1</v>
      </c>
    </row>
    <row r="41" spans="1:29" s="1341" customFormat="1" ht="28.5">
      <c r="A41" s="605"/>
      <c r="B41" s="529" t="s">
        <v>734</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82"/>
      <c r="Q41" s="1608" t="str">
        <f t="shared" si="11"/>
        <v>单套/主力户型建筑面积</v>
      </c>
      <c r="R41" s="1580" t="s">
        <v>11</v>
      </c>
      <c r="S41" s="1581">
        <f t="shared" si="12"/>
        <v>100</v>
      </c>
      <c r="T41" s="1580" t="s">
        <v>11</v>
      </c>
      <c r="U41" s="1581">
        <f t="shared" si="13"/>
        <v>100</v>
      </c>
      <c r="V41" s="1580" t="s">
        <v>11</v>
      </c>
      <c r="W41" s="1581">
        <f t="shared" si="14"/>
        <v>100</v>
      </c>
      <c r="X41" s="1582"/>
      <c r="Y41" s="3382"/>
      <c r="Z41" s="1583" t="str">
        <f t="shared" si="15"/>
        <v>单套/主力户型建筑面积</v>
      </c>
      <c r="AA41" s="1579">
        <f t="shared" si="3"/>
        <v>1</v>
      </c>
      <c r="AB41" s="1579">
        <f t="shared" si="4"/>
        <v>1</v>
      </c>
      <c r="AC41" s="1579">
        <f t="shared" si="5"/>
        <v>1</v>
      </c>
    </row>
    <row r="42" spans="1:29" ht="15">
      <c r="A42" s="596"/>
      <c r="B42" s="529" t="s">
        <v>735</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82"/>
      <c r="Q42" s="1575" t="str">
        <f t="shared" si="11"/>
        <v>内部装修</v>
      </c>
      <c r="R42" s="1576" t="s">
        <v>11</v>
      </c>
      <c r="S42" s="1577">
        <f t="shared" si="12"/>
        <v>100</v>
      </c>
      <c r="T42" s="1576" t="s">
        <v>11</v>
      </c>
      <c r="U42" s="1577">
        <f t="shared" si="13"/>
        <v>100</v>
      </c>
      <c r="V42" s="1576" t="s">
        <v>11</v>
      </c>
      <c r="W42" s="1577">
        <f t="shared" si="14"/>
        <v>100</v>
      </c>
      <c r="X42" s="1570"/>
      <c r="Y42" s="3382"/>
      <c r="Z42" s="1578" t="str">
        <f t="shared" si="15"/>
        <v>内部装修</v>
      </c>
      <c r="AA42" s="1579">
        <f t="shared" si="3"/>
        <v>1</v>
      </c>
      <c r="AB42" s="1579">
        <f t="shared" si="4"/>
        <v>1</v>
      </c>
      <c r="AC42" s="1579">
        <f t="shared" si="5"/>
        <v>1</v>
      </c>
    </row>
    <row r="43" spans="1:29" ht="27">
      <c r="A43" s="596"/>
      <c r="B43" s="529" t="s">
        <v>736</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82"/>
      <c r="Q43" s="1575" t="str">
        <f t="shared" si="11"/>
        <v>内部装修维护情况</v>
      </c>
      <c r="R43" s="1576" t="s">
        <v>11</v>
      </c>
      <c r="S43" s="1577">
        <f t="shared" si="12"/>
        <v>100</v>
      </c>
      <c r="T43" s="1576" t="s">
        <v>11</v>
      </c>
      <c r="U43" s="1577">
        <f t="shared" si="13"/>
        <v>100</v>
      </c>
      <c r="V43" s="1576" t="s">
        <v>11</v>
      </c>
      <c r="W43" s="1577">
        <f t="shared" si="14"/>
        <v>100</v>
      </c>
      <c r="X43" s="1570"/>
      <c r="Y43" s="3382"/>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82"/>
      <c r="Q44" s="1153">
        <f t="shared" si="11"/>
        <v>111</v>
      </c>
      <c r="R44" s="1571" t="s">
        <v>11</v>
      </c>
      <c r="S44" s="1572">
        <f t="shared" si="12"/>
        <v>100</v>
      </c>
      <c r="T44" s="1571" t="s">
        <v>11</v>
      </c>
      <c r="U44" s="1572">
        <f t="shared" si="13"/>
        <v>100</v>
      </c>
      <c r="V44" s="1571" t="s">
        <v>11</v>
      </c>
      <c r="W44" s="1572">
        <f t="shared" si="14"/>
        <v>100</v>
      </c>
      <c r="X44" s="1573"/>
      <c r="Y44" s="3382"/>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82"/>
      <c r="Q45" s="1575">
        <f t="shared" si="11"/>
        <v>111</v>
      </c>
      <c r="R45" s="1576" t="s">
        <v>11</v>
      </c>
      <c r="S45" s="1577">
        <f t="shared" si="12"/>
        <v>100</v>
      </c>
      <c r="T45" s="1576" t="s">
        <v>11</v>
      </c>
      <c r="U45" s="1577">
        <f t="shared" si="13"/>
        <v>100</v>
      </c>
      <c r="V45" s="1576" t="s">
        <v>11</v>
      </c>
      <c r="W45" s="1577">
        <f t="shared" si="14"/>
        <v>100</v>
      </c>
      <c r="X45" s="1570"/>
      <c r="Y45" s="3382"/>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62"/>
      <c r="Q46" s="1575">
        <f t="shared" si="11"/>
        <v>111</v>
      </c>
      <c r="R46" s="1576" t="s">
        <v>10</v>
      </c>
      <c r="S46" s="1577">
        <f t="shared" si="12"/>
        <v>100</v>
      </c>
      <c r="T46" s="1576" t="s">
        <v>10</v>
      </c>
      <c r="U46" s="1577">
        <f t="shared" si="13"/>
        <v>100</v>
      </c>
      <c r="V46" s="1576" t="s">
        <v>10</v>
      </c>
      <c r="W46" s="1577">
        <f t="shared" si="14"/>
        <v>100</v>
      </c>
      <c r="X46" s="1570"/>
      <c r="Y46" s="3462"/>
      <c r="Z46" s="1578">
        <f t="shared" si="15"/>
        <v>111</v>
      </c>
      <c r="AA46" s="1579">
        <f t="shared" si="3"/>
        <v>1</v>
      </c>
      <c r="AB46" s="1579">
        <f t="shared" si="4"/>
        <v>1</v>
      </c>
      <c r="AC46" s="1579">
        <f t="shared" si="5"/>
        <v>1</v>
      </c>
    </row>
    <row r="47" spans="1:29" ht="15">
      <c r="A47" s="609" t="s">
        <v>737</v>
      </c>
      <c r="B47" s="889"/>
      <c r="C47" s="2655" t="s">
        <v>9</v>
      </c>
      <c r="D47" s="2656"/>
      <c r="E47" s="2657"/>
      <c r="F47" s="2658"/>
      <c r="G47" s="2659"/>
      <c r="H47" s="2660"/>
      <c r="I47" s="2657"/>
      <c r="J47" s="2660"/>
      <c r="K47" s="1609"/>
      <c r="L47" s="2148"/>
      <c r="M47" s="2149"/>
      <c r="N47" s="2138"/>
      <c r="O47" s="2149"/>
      <c r="P47" s="3377" t="str">
        <f>A47</f>
        <v>成交单价（元/平方米）</v>
      </c>
      <c r="Q47" s="3377"/>
      <c r="R47" s="3463">
        <f>E47</f>
        <v>0</v>
      </c>
      <c r="S47" s="3463"/>
      <c r="T47" s="3463">
        <f>G47</f>
        <v>0</v>
      </c>
      <c r="U47" s="3463"/>
      <c r="V47" s="3463">
        <f>I47</f>
        <v>0</v>
      </c>
      <c r="W47" s="346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0"/>
      <c r="L48" s="2148"/>
      <c r="M48" s="2149"/>
      <c r="N48" s="2149"/>
      <c r="O48" s="2149"/>
      <c r="P48" s="3377" t="str">
        <f>A48</f>
        <v>比较价格（元/平方米）</v>
      </c>
      <c r="Q48" s="3377"/>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2"/>
      <c r="Y48" s="1562"/>
      <c r="Z48" s="1562"/>
      <c r="AA48" s="1562"/>
      <c r="AB48" s="1562"/>
      <c r="AC48" s="1562"/>
    </row>
    <row r="49" spans="1:29" ht="15.75" thickBot="1">
      <c r="A49" s="623" t="s">
        <v>2938</v>
      </c>
      <c r="B49" s="624"/>
      <c r="C49" s="2664" t="e">
        <f>R49</f>
        <v>#DIV/0!</v>
      </c>
      <c r="D49" s="2664"/>
      <c r="E49" s="2664"/>
      <c r="F49" s="2664"/>
      <c r="G49" s="2664"/>
      <c r="H49" s="2664"/>
      <c r="I49" s="2664"/>
      <c r="J49" s="2664"/>
      <c r="K49" s="1611"/>
      <c r="L49" s="2148"/>
      <c r="M49" s="2149"/>
      <c r="N49" s="2149"/>
      <c r="O49" s="2149"/>
      <c r="P49" s="3398" t="str">
        <f>A49</f>
        <v>估价对象XX用房的比较价格（楼面单价，元/平方米）</v>
      </c>
      <c r="Q49" s="3399"/>
      <c r="R49" s="3465" t="e">
        <f>IF(F1="售价",ROUND(AVERAGE(R48:V48),0),ROUND(AVERAGE(R48:V48),1))</f>
        <v>#DIV/0!</v>
      </c>
      <c r="S49" s="3465"/>
      <c r="T49" s="3465"/>
      <c r="U49" s="3465"/>
      <c r="V49" s="3465"/>
      <c r="W49" s="3465"/>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2258</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747</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748</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2560</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755</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734</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2259</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2260</v>
      </c>
      <c r="C137" s="1923"/>
      <c r="D137" s="1923"/>
      <c r="E137" s="1923"/>
      <c r="F137" s="1923"/>
      <c r="G137" s="1924"/>
      <c r="H137" s="1925"/>
      <c r="I137" s="1926" t="s">
        <v>2261</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2262</v>
      </c>
      <c r="D138" s="1929" t="s">
        <v>2263</v>
      </c>
      <c r="E138" s="1930" t="s">
        <v>2264</v>
      </c>
      <c r="F138" s="1931" t="s">
        <v>2265</v>
      </c>
      <c r="G138" s="1929" t="s">
        <v>2266</v>
      </c>
      <c r="H138" s="1932" t="s">
        <v>2267</v>
      </c>
      <c r="I138" s="1933"/>
      <c r="J138" s="1929" t="s">
        <v>2268</v>
      </c>
      <c r="K138" s="1932" t="s">
        <v>2269</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2270</v>
      </c>
      <c r="E139" s="1903">
        <v>100</v>
      </c>
      <c r="F139" s="1904">
        <v>102.5</v>
      </c>
      <c r="G139" s="1934" t="s">
        <v>2271</v>
      </c>
      <c r="H139" s="1905">
        <v>105</v>
      </c>
      <c r="I139" s="1935" t="s">
        <v>2272</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2273</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2274</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2275</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2276</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2277</v>
      </c>
      <c r="E144" s="1909">
        <v>102</v>
      </c>
      <c r="F144" s="1915">
        <v>100</v>
      </c>
      <c r="G144" s="1938" t="s">
        <v>2277</v>
      </c>
      <c r="H144" s="1911">
        <v>105</v>
      </c>
      <c r="I144" s="1937" t="s">
        <v>2276</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2278</v>
      </c>
      <c r="C145" s="1916">
        <f>ROUND(MAX(C139:C144)/MIN(C139:C144)-1,3)</f>
        <v>7.2999999999999995E-2</v>
      </c>
      <c r="D145" s="1940"/>
      <c r="E145" s="1940"/>
      <c r="F145" s="1941" t="s">
        <v>2279</v>
      </c>
      <c r="G145" s="1942"/>
      <c r="H145" s="1943"/>
      <c r="I145" s="1944" t="s">
        <v>2276</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2288</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2289</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758</v>
      </c>
      <c r="C1" s="506" t="s">
        <v>721</v>
      </c>
      <c r="D1" s="2374"/>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520</v>
      </c>
      <c r="B3" s="512" t="e">
        <f>C49</f>
        <v>#DIV/0!</v>
      </c>
      <c r="C3" s="854" t="s">
        <v>723</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522</v>
      </c>
      <c r="B4" s="515"/>
      <c r="C4" s="3383" t="s">
        <v>523</v>
      </c>
      <c r="D4" s="3384"/>
      <c r="E4" s="3407" t="s">
        <v>524</v>
      </c>
      <c r="F4" s="3408"/>
      <c r="G4" s="3383" t="s">
        <v>525</v>
      </c>
      <c r="H4" s="3384"/>
      <c r="I4" s="3383" t="s">
        <v>526</v>
      </c>
      <c r="J4" s="3384"/>
      <c r="K4" s="516" t="s">
        <v>527</v>
      </c>
      <c r="L4" s="2137"/>
      <c r="M4" s="2138"/>
      <c r="N4" s="2138"/>
      <c r="O4" s="2138"/>
      <c r="P4" s="3385" t="s">
        <v>528</v>
      </c>
      <c r="Q4" s="3386"/>
      <c r="R4" s="3371" t="s">
        <v>524</v>
      </c>
      <c r="S4" s="3372"/>
      <c r="T4" s="3371" t="s">
        <v>525</v>
      </c>
      <c r="U4" s="3372"/>
      <c r="V4" s="3391" t="s">
        <v>526</v>
      </c>
      <c r="W4" s="3391"/>
      <c r="X4" s="1570"/>
      <c r="Y4" s="3371" t="s">
        <v>528</v>
      </c>
      <c r="Z4" s="3372"/>
      <c r="AA4" s="3366" t="s">
        <v>524</v>
      </c>
      <c r="AB4" s="3391" t="s">
        <v>525</v>
      </c>
      <c r="AC4" s="3366" t="s">
        <v>526</v>
      </c>
    </row>
    <row r="5" spans="1:29" ht="15">
      <c r="A5" s="517"/>
      <c r="B5" s="518"/>
      <c r="C5" s="3394" t="s">
        <v>2932</v>
      </c>
      <c r="D5" s="3395"/>
      <c r="E5" s="3409" t="s">
        <v>2933</v>
      </c>
      <c r="F5" s="3410"/>
      <c r="G5" s="3394" t="s">
        <v>2934</v>
      </c>
      <c r="H5" s="3395"/>
      <c r="I5" s="3394" t="s">
        <v>2935</v>
      </c>
      <c r="J5" s="3395"/>
      <c r="K5" s="516"/>
      <c r="L5" s="2137"/>
      <c r="M5" s="2138"/>
      <c r="N5" s="2138"/>
      <c r="O5" s="2138"/>
      <c r="P5" s="3387"/>
      <c r="Q5" s="3388"/>
      <c r="R5" s="3373"/>
      <c r="S5" s="3374"/>
      <c r="T5" s="3373"/>
      <c r="U5" s="3374"/>
      <c r="V5" s="3391"/>
      <c r="W5" s="3391"/>
      <c r="X5" s="1570"/>
      <c r="Y5" s="3373"/>
      <c r="Z5" s="3374"/>
      <c r="AA5" s="3367"/>
      <c r="AB5" s="3391"/>
      <c r="AC5" s="3367"/>
    </row>
    <row r="6" spans="1:29" ht="15.75" thickBot="1">
      <c r="A6" s="519"/>
      <c r="B6" s="520"/>
      <c r="C6" s="3392" t="s">
        <v>2936</v>
      </c>
      <c r="D6" s="3393"/>
      <c r="E6" s="3411" t="s">
        <v>2936</v>
      </c>
      <c r="F6" s="3412"/>
      <c r="G6" s="3392" t="s">
        <v>2936</v>
      </c>
      <c r="H6" s="3393"/>
      <c r="I6" s="3392" t="s">
        <v>2936</v>
      </c>
      <c r="J6" s="3393"/>
      <c r="K6" s="516" t="s">
        <v>529</v>
      </c>
      <c r="L6" s="2137"/>
      <c r="M6" s="2138"/>
      <c r="N6" s="2138"/>
      <c r="O6" s="2138"/>
      <c r="P6" s="3389"/>
      <c r="Q6" s="3390"/>
      <c r="R6" s="3373"/>
      <c r="S6" s="3374"/>
      <c r="T6" s="3375"/>
      <c r="U6" s="3376"/>
      <c r="V6" s="3391"/>
      <c r="W6" s="3391"/>
      <c r="X6" s="1570"/>
      <c r="Y6" s="3375"/>
      <c r="Z6" s="3376"/>
      <c r="AA6" s="3368"/>
      <c r="AB6" s="3391"/>
      <c r="AC6" s="3368"/>
    </row>
    <row r="7" spans="1:29" s="1222" customFormat="1" ht="15.75" thickBot="1">
      <c r="A7" s="2942"/>
      <c r="B7" s="2949" t="s">
        <v>530</v>
      </c>
      <c r="C7" s="521">
        <f>'数据-取费表'!B2</f>
        <v>43035</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69" t="s">
        <v>531</v>
      </c>
      <c r="Q7" s="3378"/>
      <c r="R7" s="1571" t="s">
        <v>8</v>
      </c>
      <c r="S7" s="1572">
        <f t="shared" ref="S7:S15" si="0">F7</f>
        <v>0</v>
      </c>
      <c r="T7" s="1571" t="s">
        <v>8</v>
      </c>
      <c r="U7" s="1572">
        <f t="shared" ref="U7:U15" si="1">H7</f>
        <v>0</v>
      </c>
      <c r="V7" s="1571" t="s">
        <v>8</v>
      </c>
      <c r="W7" s="1572">
        <f t="shared" ref="W7:W15" si="2">J7</f>
        <v>0</v>
      </c>
      <c r="X7" s="1573"/>
      <c r="Y7" s="3369" t="s">
        <v>531</v>
      </c>
      <c r="Z7" s="3370"/>
      <c r="AA7" s="1574" t="e">
        <f>D7/F7</f>
        <v>#DIV/0!</v>
      </c>
      <c r="AB7" s="1574" t="e">
        <f>D7/H7</f>
        <v>#DIV/0!</v>
      </c>
      <c r="AC7" s="1574" t="e">
        <f>D7/J7</f>
        <v>#DIV/0!</v>
      </c>
    </row>
    <row r="8" spans="1:29" s="1222" customFormat="1" ht="15.75" thickBot="1">
      <c r="A8" s="2943"/>
      <c r="B8" s="2950" t="s">
        <v>532</v>
      </c>
      <c r="C8" s="527" t="s">
        <v>577</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69" t="s">
        <v>534</v>
      </c>
      <c r="Q8" s="3370"/>
      <c r="R8" s="1571" t="s">
        <v>8</v>
      </c>
      <c r="S8" s="1572">
        <f t="shared" si="0"/>
        <v>0</v>
      </c>
      <c r="T8" s="1571" t="s">
        <v>8</v>
      </c>
      <c r="U8" s="1572">
        <f t="shared" si="1"/>
        <v>0</v>
      </c>
      <c r="V8" s="1571" t="s">
        <v>8</v>
      </c>
      <c r="W8" s="1572">
        <f t="shared" si="2"/>
        <v>0</v>
      </c>
      <c r="X8" s="1573"/>
      <c r="Y8" s="3369" t="s">
        <v>534</v>
      </c>
      <c r="Z8" s="3370"/>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77" t="s">
        <v>536</v>
      </c>
      <c r="Q9" s="1153" t="str">
        <f t="shared" ref="Q9:Q15" si="6">B9</f>
        <v>用途</v>
      </c>
      <c r="R9" s="1571" t="s">
        <v>8</v>
      </c>
      <c r="S9" s="1572">
        <f t="shared" si="0"/>
        <v>100</v>
      </c>
      <c r="T9" s="1571" t="s">
        <v>8</v>
      </c>
      <c r="U9" s="1572">
        <f t="shared" si="1"/>
        <v>100</v>
      </c>
      <c r="V9" s="1571" t="s">
        <v>8</v>
      </c>
      <c r="W9" s="1572">
        <f t="shared" si="2"/>
        <v>100</v>
      </c>
      <c r="X9" s="1573"/>
      <c r="Y9" s="3334"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77"/>
      <c r="Q10" s="1153" t="str">
        <f t="shared" si="6"/>
        <v>土地使用年限（年）</v>
      </c>
      <c r="R10" s="1571" t="s">
        <v>8</v>
      </c>
      <c r="S10" s="1572">
        <f t="shared" si="0"/>
        <v>100</v>
      </c>
      <c r="T10" s="1571" t="s">
        <v>8</v>
      </c>
      <c r="U10" s="1572">
        <f t="shared" si="1"/>
        <v>100</v>
      </c>
      <c r="V10" s="1571" t="s">
        <v>8</v>
      </c>
      <c r="W10" s="1572">
        <f t="shared" si="2"/>
        <v>100</v>
      </c>
      <c r="X10" s="1573"/>
      <c r="Y10" s="3334"/>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77"/>
      <c r="Q11" s="1153" t="str">
        <f t="shared" si="6"/>
        <v>容积率</v>
      </c>
      <c r="R11" s="1571" t="s">
        <v>8</v>
      </c>
      <c r="S11" s="1572" t="e">
        <f t="shared" si="0"/>
        <v>#N/A</v>
      </c>
      <c r="T11" s="1571" t="s">
        <v>8</v>
      </c>
      <c r="U11" s="1572" t="e">
        <f t="shared" si="1"/>
        <v>#N/A</v>
      </c>
      <c r="V11" s="1571" t="s">
        <v>8</v>
      </c>
      <c r="W11" s="1572" t="e">
        <f t="shared" si="2"/>
        <v>#N/A</v>
      </c>
      <c r="X11" s="1573"/>
      <c r="Y11" s="3334"/>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77"/>
      <c r="Q12" s="1153">
        <f t="shared" si="6"/>
        <v>111</v>
      </c>
      <c r="R12" s="1571" t="s">
        <v>8</v>
      </c>
      <c r="S12" s="1572">
        <f t="shared" si="0"/>
        <v>100</v>
      </c>
      <c r="T12" s="1571" t="s">
        <v>8</v>
      </c>
      <c r="U12" s="1572">
        <f t="shared" si="1"/>
        <v>100</v>
      </c>
      <c r="V12" s="1571" t="s">
        <v>8</v>
      </c>
      <c r="W12" s="1572">
        <f t="shared" si="2"/>
        <v>100</v>
      </c>
      <c r="X12" s="1573"/>
      <c r="Y12" s="3334"/>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77"/>
      <c r="Q13" s="1153">
        <f t="shared" si="6"/>
        <v>111</v>
      </c>
      <c r="R13" s="1571" t="s">
        <v>8</v>
      </c>
      <c r="S13" s="1572">
        <f t="shared" si="0"/>
        <v>100</v>
      </c>
      <c r="T13" s="1571" t="s">
        <v>8</v>
      </c>
      <c r="U13" s="1572">
        <f t="shared" si="1"/>
        <v>100</v>
      </c>
      <c r="V13" s="1571" t="s">
        <v>8</v>
      </c>
      <c r="W13" s="1572">
        <f t="shared" si="2"/>
        <v>100</v>
      </c>
      <c r="X13" s="1573"/>
      <c r="Y13" s="3334"/>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77"/>
      <c r="Q14" s="1153">
        <f t="shared" si="6"/>
        <v>111</v>
      </c>
      <c r="R14" s="1571" t="s">
        <v>8</v>
      </c>
      <c r="S14" s="1572">
        <f t="shared" si="0"/>
        <v>100</v>
      </c>
      <c r="T14" s="1571" t="s">
        <v>8</v>
      </c>
      <c r="U14" s="1572">
        <f t="shared" si="1"/>
        <v>100</v>
      </c>
      <c r="V14" s="1571" t="s">
        <v>8</v>
      </c>
      <c r="W14" s="1572">
        <f t="shared" si="2"/>
        <v>100</v>
      </c>
      <c r="X14" s="1573"/>
      <c r="Y14" s="3334"/>
      <c r="Z14" s="1152">
        <f t="shared" si="7"/>
        <v>111</v>
      </c>
      <c r="AA14" s="1574">
        <f t="shared" si="3"/>
        <v>1</v>
      </c>
      <c r="AB14" s="1574">
        <f t="shared" si="4"/>
        <v>1</v>
      </c>
      <c r="AC14" s="1574">
        <f t="shared" si="5"/>
        <v>1</v>
      </c>
    </row>
    <row r="15" spans="1:29" ht="71.25">
      <c r="A15" s="2940" t="s">
        <v>2760</v>
      </c>
      <c r="B15" s="166" t="s">
        <v>542</v>
      </c>
      <c r="C15" s="869" t="str">
        <f>估价对象房地状况!C4</f>
        <v>位于通州区运河核心区，现处于开发建设阶段，目前周边大型商业较少，多为社区配套商业，商业繁华度一般。</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79" t="s">
        <v>541</v>
      </c>
      <c r="Q15" s="1575" t="str">
        <f t="shared" si="6"/>
        <v>商业繁华度</v>
      </c>
      <c r="R15" s="1576" t="s">
        <v>8</v>
      </c>
      <c r="S15" s="1577">
        <f t="shared" si="0"/>
        <v>100</v>
      </c>
      <c r="T15" s="1576" t="s">
        <v>8</v>
      </c>
      <c r="U15" s="1577">
        <f t="shared" si="1"/>
        <v>100</v>
      </c>
      <c r="V15" s="1576" t="s">
        <v>8</v>
      </c>
      <c r="W15" s="1577">
        <f t="shared" si="2"/>
        <v>100</v>
      </c>
      <c r="X15" s="1570"/>
      <c r="Y15" s="3379"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80"/>
      <c r="Q16" s="1575"/>
      <c r="R16" s="1576"/>
      <c r="S16" s="1577"/>
      <c r="T16" s="1576"/>
      <c r="U16" s="1577"/>
      <c r="V16" s="1576"/>
      <c r="W16" s="1577"/>
      <c r="X16" s="1570"/>
      <c r="Y16" s="3380"/>
      <c r="Z16" s="1578"/>
      <c r="AA16" s="1579">
        <v>1</v>
      </c>
      <c r="AB16" s="1579">
        <v>1</v>
      </c>
      <c r="AC16" s="1579">
        <v>1</v>
      </c>
    </row>
    <row r="17" spans="1:29" ht="85.5">
      <c r="A17" s="534"/>
      <c r="B17" s="873" t="s">
        <v>296</v>
      </c>
      <c r="C17" s="874" t="str">
        <f>估价对象房地状况!C6</f>
        <v>周边路网较为密集。周边有322路、342路、589路、626路等公交线路，紧邻地铁6号线，公交便捷度较好。整体交通便捷度较好。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80"/>
      <c r="Q17" s="1575" t="str">
        <f>B17</f>
        <v>交通便捷度</v>
      </c>
      <c r="R17" s="1576" t="s">
        <v>8</v>
      </c>
      <c r="S17" s="1577">
        <f>F17</f>
        <v>100</v>
      </c>
      <c r="T17" s="1576" t="s">
        <v>8</v>
      </c>
      <c r="U17" s="1577">
        <f>H17</f>
        <v>100</v>
      </c>
      <c r="V17" s="1576" t="s">
        <v>8</v>
      </c>
      <c r="W17" s="1577">
        <f>J17</f>
        <v>100</v>
      </c>
      <c r="X17" s="1570"/>
      <c r="Y17" s="3380"/>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80"/>
      <c r="Q18" s="1575"/>
      <c r="R18" s="1576"/>
      <c r="S18" s="1577"/>
      <c r="T18" s="1576"/>
      <c r="U18" s="1577"/>
      <c r="V18" s="1576"/>
      <c r="W18" s="1577"/>
      <c r="X18" s="1570"/>
      <c r="Y18" s="3380"/>
      <c r="Z18" s="1578"/>
      <c r="AA18" s="1579">
        <v>1</v>
      </c>
      <c r="AB18" s="1579">
        <v>1</v>
      </c>
      <c r="AC18" s="1579">
        <v>1</v>
      </c>
    </row>
    <row r="19" spans="1:29" ht="42.75">
      <c r="A19" s="534"/>
      <c r="B19" s="2628" t="s">
        <v>2550</v>
      </c>
      <c r="C19" s="874" t="str">
        <f>估价对象房地状况!C7</f>
        <v>周边分布银行、购物场所、餐饮等配套设施较多，公共设施状况较好。</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80"/>
      <c r="Q19" s="1575" t="str">
        <f>B19</f>
        <v>公共配套设施</v>
      </c>
      <c r="R19" s="1576" t="s">
        <v>8</v>
      </c>
      <c r="S19" s="1577">
        <f>F19</f>
        <v>100</v>
      </c>
      <c r="T19" s="1576" t="s">
        <v>8</v>
      </c>
      <c r="U19" s="1577">
        <f>H19</f>
        <v>100</v>
      </c>
      <c r="V19" s="1576" t="s">
        <v>8</v>
      </c>
      <c r="W19" s="1577">
        <f>J19</f>
        <v>100</v>
      </c>
      <c r="X19" s="1570"/>
      <c r="Y19" s="3380"/>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80"/>
      <c r="Q20" s="1575"/>
      <c r="R20" s="1576"/>
      <c r="S20" s="1577"/>
      <c r="T20" s="1576"/>
      <c r="U20" s="1577"/>
      <c r="V20" s="1576"/>
      <c r="W20" s="1577"/>
      <c r="X20" s="1570"/>
      <c r="Y20" s="3380"/>
      <c r="Z20" s="1578"/>
      <c r="AA20" s="1579">
        <v>1</v>
      </c>
      <c r="AB20" s="1579">
        <v>1</v>
      </c>
      <c r="AC20" s="1579">
        <v>1</v>
      </c>
    </row>
    <row r="21" spans="1:29" ht="28.5">
      <c r="A21" s="534"/>
      <c r="B21" s="2621" t="s">
        <v>2562</v>
      </c>
      <c r="C21" s="874" t="str">
        <f>估价对象房地状况!C8</f>
        <v>七通</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80"/>
      <c r="Q21" s="2607" t="str">
        <f>B21</f>
        <v>基础设施水平</v>
      </c>
      <c r="R21" s="1576" t="s">
        <v>8</v>
      </c>
      <c r="S21" s="1577">
        <f>F21</f>
        <v>100</v>
      </c>
      <c r="T21" s="1576" t="s">
        <v>8</v>
      </c>
      <c r="U21" s="1577">
        <f>H21</f>
        <v>100</v>
      </c>
      <c r="V21" s="1576" t="s">
        <v>8</v>
      </c>
      <c r="W21" s="1577">
        <f>J21</f>
        <v>100</v>
      </c>
      <c r="X21" s="2609"/>
      <c r="Y21" s="3380"/>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80"/>
      <c r="Q22" s="2607"/>
      <c r="R22" s="1576"/>
      <c r="S22" s="1577"/>
      <c r="T22" s="1576"/>
      <c r="U22" s="1577"/>
      <c r="V22" s="1576"/>
      <c r="W22" s="1577"/>
      <c r="X22" s="2609"/>
      <c r="Y22" s="3380"/>
      <c r="Z22" s="2608"/>
      <c r="AA22" s="1579">
        <v>1</v>
      </c>
      <c r="AB22" s="1579">
        <v>1</v>
      </c>
      <c r="AC22" s="1579">
        <v>1</v>
      </c>
    </row>
    <row r="23" spans="1:29" ht="57">
      <c r="A23" s="534"/>
      <c r="B23" s="873" t="s">
        <v>297</v>
      </c>
      <c r="C23" s="902" t="str">
        <f>估价对象房地状况!C9</f>
        <v>周边约1公里范围内人文设施较少；周边约1公里范围内有运河奥体公园等，紧邻运河，自然环境较好。综合评价，综合考虑自然及人文环境较好。</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80"/>
      <c r="Q23" s="1575" t="str">
        <f>B23</f>
        <v>自然及人文环境</v>
      </c>
      <c r="R23" s="1576" t="s">
        <v>8</v>
      </c>
      <c r="S23" s="1577">
        <f>F23</f>
        <v>100</v>
      </c>
      <c r="T23" s="1576" t="s">
        <v>8</v>
      </c>
      <c r="U23" s="1577">
        <f>H23</f>
        <v>100</v>
      </c>
      <c r="V23" s="1576" t="s">
        <v>8</v>
      </c>
      <c r="W23" s="1577">
        <f>J23</f>
        <v>100</v>
      </c>
      <c r="X23" s="1570"/>
      <c r="Y23" s="3380"/>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80"/>
      <c r="Q24" s="1575"/>
      <c r="R24" s="1576"/>
      <c r="S24" s="1577"/>
      <c r="T24" s="1576"/>
      <c r="U24" s="1577"/>
      <c r="V24" s="1576"/>
      <c r="W24" s="1577"/>
      <c r="X24" s="1570"/>
      <c r="Y24" s="3380"/>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80"/>
      <c r="Q25" s="1575" t="str">
        <f t="shared" ref="Q25:Q46" si="11">B25</f>
        <v>临街状况</v>
      </c>
      <c r="R25" s="1576" t="s">
        <v>8</v>
      </c>
      <c r="S25" s="1577">
        <f>F25</f>
        <v>100</v>
      </c>
      <c r="T25" s="1576" t="s">
        <v>8</v>
      </c>
      <c r="U25" s="1577">
        <f>H25</f>
        <v>100</v>
      </c>
      <c r="V25" s="1576" t="s">
        <v>8</v>
      </c>
      <c r="W25" s="1577">
        <f>J25</f>
        <v>100</v>
      </c>
      <c r="X25" s="1570"/>
      <c r="Y25" s="3380"/>
      <c r="Z25" s="1578" t="str">
        <f>Q25</f>
        <v>临街状况</v>
      </c>
      <c r="AA25" s="1579">
        <f t="shared" si="3"/>
        <v>1</v>
      </c>
      <c r="AB25" s="1579">
        <f t="shared" si="4"/>
        <v>1</v>
      </c>
      <c r="AC25" s="1579">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80"/>
      <c r="Q26" s="1575" t="str">
        <f t="shared" si="11"/>
        <v>平面位置/可视性</v>
      </c>
      <c r="R26" s="1576" t="s">
        <v>8</v>
      </c>
      <c r="S26" s="1577">
        <f>F26</f>
        <v>100</v>
      </c>
      <c r="T26" s="1576" t="s">
        <v>8</v>
      </c>
      <c r="U26" s="1577">
        <f>H26</f>
        <v>100</v>
      </c>
      <c r="V26" s="1576" t="s">
        <v>8</v>
      </c>
      <c r="W26" s="1577">
        <f>J26</f>
        <v>100</v>
      </c>
      <c r="X26" s="1570"/>
      <c r="Y26" s="3380"/>
      <c r="Z26" s="1578" t="str">
        <f>Q26</f>
        <v>平面位置/可视性</v>
      </c>
      <c r="AA26" s="1579">
        <f t="shared" si="3"/>
        <v>1</v>
      </c>
      <c r="AB26" s="1579">
        <f t="shared" si="4"/>
        <v>1</v>
      </c>
      <c r="AC26" s="1579">
        <f t="shared" si="5"/>
        <v>1</v>
      </c>
    </row>
    <row r="27" spans="1:29" s="1222" customFormat="1" ht="15">
      <c r="A27" s="538"/>
      <c r="B27" s="873" t="s">
        <v>760</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80"/>
      <c r="Q27" s="1153" t="str">
        <f t="shared" si="11"/>
        <v>人流量</v>
      </c>
      <c r="R27" s="1571" t="s">
        <v>8</v>
      </c>
      <c r="S27" s="1572">
        <f>F27</f>
        <v>100</v>
      </c>
      <c r="T27" s="1571" t="s">
        <v>8</v>
      </c>
      <c r="U27" s="1572">
        <f>H27</f>
        <v>100</v>
      </c>
      <c r="V27" s="1571" t="s">
        <v>8</v>
      </c>
      <c r="W27" s="1572">
        <f>J27</f>
        <v>100</v>
      </c>
      <c r="X27" s="1573"/>
      <c r="Y27" s="3380"/>
      <c r="Z27" s="1152" t="str">
        <f>Q27</f>
        <v>人流量</v>
      </c>
      <c r="AA27" s="1579">
        <f>D27/F27</f>
        <v>1</v>
      </c>
      <c r="AB27" s="1579">
        <f>D27/H27</f>
        <v>1</v>
      </c>
      <c r="AC27" s="1579">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80"/>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80"/>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80"/>
      <c r="Q29" s="1575">
        <f t="shared" si="11"/>
        <v>111</v>
      </c>
      <c r="R29" s="1576" t="s">
        <v>8</v>
      </c>
      <c r="S29" s="1577">
        <f t="shared" si="12"/>
        <v>100</v>
      </c>
      <c r="T29" s="1576" t="s">
        <v>8</v>
      </c>
      <c r="U29" s="1577">
        <f t="shared" si="13"/>
        <v>100</v>
      </c>
      <c r="V29" s="1576" t="s">
        <v>8</v>
      </c>
      <c r="W29" s="1577">
        <f t="shared" si="14"/>
        <v>100</v>
      </c>
      <c r="X29" s="1570"/>
      <c r="Y29" s="3380"/>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80"/>
      <c r="Q30" s="1575">
        <f t="shared" si="11"/>
        <v>111</v>
      </c>
      <c r="R30" s="1576" t="s">
        <v>8</v>
      </c>
      <c r="S30" s="1577">
        <f t="shared" si="12"/>
        <v>100</v>
      </c>
      <c r="T30" s="1576" t="s">
        <v>8</v>
      </c>
      <c r="U30" s="1577">
        <f t="shared" si="13"/>
        <v>100</v>
      </c>
      <c r="V30" s="1576" t="s">
        <v>8</v>
      </c>
      <c r="W30" s="1577">
        <f t="shared" si="14"/>
        <v>100</v>
      </c>
      <c r="X30" s="1570"/>
      <c r="Y30" s="3380"/>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80"/>
      <c r="Q31" s="1575">
        <f t="shared" si="11"/>
        <v>111</v>
      </c>
      <c r="R31" s="1576" t="s">
        <v>8</v>
      </c>
      <c r="S31" s="1577">
        <f t="shared" si="12"/>
        <v>100</v>
      </c>
      <c r="T31" s="1576" t="s">
        <v>8</v>
      </c>
      <c r="U31" s="1577">
        <f t="shared" si="13"/>
        <v>100</v>
      </c>
      <c r="V31" s="1576" t="s">
        <v>8</v>
      </c>
      <c r="W31" s="1577">
        <f t="shared" si="14"/>
        <v>100</v>
      </c>
      <c r="X31" s="1570"/>
      <c r="Y31" s="3380"/>
      <c r="Z31" s="1578">
        <f t="shared" si="15"/>
        <v>111</v>
      </c>
      <c r="AA31" s="1579">
        <f t="shared" si="3"/>
        <v>1</v>
      </c>
      <c r="AB31" s="1579">
        <f t="shared" si="4"/>
        <v>1</v>
      </c>
      <c r="AC31" s="1579">
        <f t="shared" si="5"/>
        <v>1</v>
      </c>
    </row>
    <row r="32" spans="1:29" ht="15">
      <c r="A32" s="2937" t="s">
        <v>2761</v>
      </c>
      <c r="B32" s="172"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81" t="s">
        <v>551</v>
      </c>
      <c r="Q32" s="1575" t="str">
        <f t="shared" si="11"/>
        <v>商业类型</v>
      </c>
      <c r="R32" s="1576" t="s">
        <v>8</v>
      </c>
      <c r="S32" s="1577">
        <f t="shared" si="12"/>
        <v>100</v>
      </c>
      <c r="T32" s="1576" t="s">
        <v>8</v>
      </c>
      <c r="U32" s="1577">
        <f t="shared" si="13"/>
        <v>100</v>
      </c>
      <c r="V32" s="1576" t="s">
        <v>8</v>
      </c>
      <c r="W32" s="1577">
        <f t="shared" si="14"/>
        <v>100</v>
      </c>
      <c r="X32" s="1570"/>
      <c r="Y32" s="3382" t="s">
        <v>551</v>
      </c>
      <c r="Z32" s="1578" t="str">
        <f t="shared" si="15"/>
        <v>商业类型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82"/>
      <c r="Q33" s="1608" t="str">
        <f t="shared" si="11"/>
        <v>项目建筑规模</v>
      </c>
      <c r="R33" s="1580" t="s">
        <v>8</v>
      </c>
      <c r="S33" s="1581" t="e">
        <f t="shared" si="12"/>
        <v>#N/A</v>
      </c>
      <c r="T33" s="1580" t="s">
        <v>8</v>
      </c>
      <c r="U33" s="1581" t="e">
        <f t="shared" si="13"/>
        <v>#N/A</v>
      </c>
      <c r="V33" s="1580" t="s">
        <v>8</v>
      </c>
      <c r="W33" s="1581" t="e">
        <f t="shared" si="14"/>
        <v>#N/A</v>
      </c>
      <c r="X33" s="1582"/>
      <c r="Y33" s="3382"/>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82"/>
      <c r="Q34" s="1575" t="str">
        <f t="shared" si="11"/>
        <v>建筑结构</v>
      </c>
      <c r="R34" s="1576" t="s">
        <v>8</v>
      </c>
      <c r="S34" s="1577">
        <f t="shared" si="12"/>
        <v>100</v>
      </c>
      <c r="T34" s="1576" t="s">
        <v>8</v>
      </c>
      <c r="U34" s="1577">
        <f t="shared" si="13"/>
        <v>100</v>
      </c>
      <c r="V34" s="1576" t="s">
        <v>8</v>
      </c>
      <c r="W34" s="1577">
        <f t="shared" si="14"/>
        <v>100</v>
      </c>
      <c r="X34" s="1570"/>
      <c r="Y34" s="3382"/>
      <c r="Z34" s="1578" t="str">
        <f t="shared" si="15"/>
        <v>建筑结构</v>
      </c>
      <c r="AA34" s="1579">
        <f t="shared" si="3"/>
        <v>1</v>
      </c>
      <c r="AB34" s="1579">
        <f t="shared" si="4"/>
        <v>1</v>
      </c>
      <c r="AC34" s="1579">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82"/>
      <c r="Q35" s="1575" t="str">
        <f t="shared" si="11"/>
        <v>公共部分装修</v>
      </c>
      <c r="R35" s="1576" t="s">
        <v>8</v>
      </c>
      <c r="S35" s="1577">
        <f t="shared" si="12"/>
        <v>100</v>
      </c>
      <c r="T35" s="1576" t="s">
        <v>8</v>
      </c>
      <c r="U35" s="1577">
        <f t="shared" si="13"/>
        <v>100</v>
      </c>
      <c r="V35" s="1576" t="s">
        <v>8</v>
      </c>
      <c r="W35" s="1577">
        <f t="shared" si="14"/>
        <v>100</v>
      </c>
      <c r="X35" s="1570"/>
      <c r="Y35" s="3382"/>
      <c r="Z35" s="1578" t="str">
        <f t="shared" si="15"/>
        <v>公共部分装修</v>
      </c>
      <c r="AA35" s="1579">
        <f t="shared" si="3"/>
        <v>1</v>
      </c>
      <c r="AB35" s="1579">
        <f t="shared" si="4"/>
        <v>1</v>
      </c>
      <c r="AC35" s="1579">
        <f t="shared" si="5"/>
        <v>1</v>
      </c>
    </row>
    <row r="36" spans="1:29" ht="15">
      <c r="A36" s="596"/>
      <c r="B36" s="529" t="s">
        <v>765</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82"/>
      <c r="Q36" s="1575" t="str">
        <f t="shared" si="11"/>
        <v>成新度</v>
      </c>
      <c r="R36" s="1576" t="s">
        <v>8</v>
      </c>
      <c r="S36" s="1577" t="e">
        <f t="shared" si="12"/>
        <v>#N/A</v>
      </c>
      <c r="T36" s="1576" t="s">
        <v>8</v>
      </c>
      <c r="U36" s="1577" t="e">
        <f t="shared" si="13"/>
        <v>#N/A</v>
      </c>
      <c r="V36" s="1576" t="s">
        <v>8</v>
      </c>
      <c r="W36" s="1577" t="e">
        <f t="shared" si="14"/>
        <v>#N/A</v>
      </c>
      <c r="X36" s="1570"/>
      <c r="Y36" s="3382"/>
      <c r="Z36" s="1578" t="str">
        <f t="shared" si="15"/>
        <v>成新度</v>
      </c>
      <c r="AA36" s="1579" t="e">
        <f t="shared" si="3"/>
        <v>#N/A</v>
      </c>
      <c r="AB36" s="1579" t="e">
        <f t="shared" si="4"/>
        <v>#N/A</v>
      </c>
      <c r="AC36" s="1579" t="e">
        <f t="shared" si="5"/>
        <v>#N/A</v>
      </c>
    </row>
    <row r="37" spans="1:29" s="1222" customFormat="1" ht="15">
      <c r="A37" s="602"/>
      <c r="B37" s="1899" t="s">
        <v>2569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82"/>
      <c r="Q37" s="1153" t="str">
        <f t="shared" si="11"/>
        <v>市政基础设施</v>
      </c>
      <c r="R37" s="1571" t="s">
        <v>8</v>
      </c>
      <c r="S37" s="1572">
        <f t="shared" si="12"/>
        <v>100</v>
      </c>
      <c r="T37" s="1571" t="s">
        <v>8</v>
      </c>
      <c r="U37" s="1572">
        <f t="shared" si="13"/>
        <v>100</v>
      </c>
      <c r="V37" s="1571" t="s">
        <v>8</v>
      </c>
      <c r="W37" s="1572">
        <f t="shared" si="14"/>
        <v>100</v>
      </c>
      <c r="X37" s="1573"/>
      <c r="Y37" s="3382"/>
      <c r="Z37" s="1152" t="str">
        <f t="shared" si="15"/>
        <v>市政基础设施</v>
      </c>
      <c r="AA37" s="1574">
        <f t="shared" si="3"/>
        <v>1</v>
      </c>
      <c r="AB37" s="1574">
        <f t="shared" si="4"/>
        <v>1</v>
      </c>
      <c r="AC37" s="1574">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82" t="s">
        <v>767</v>
      </c>
      <c r="Q38" s="1575" t="str">
        <f t="shared" si="11"/>
        <v>业态</v>
      </c>
      <c r="R38" s="1576" t="s">
        <v>8</v>
      </c>
      <c r="S38" s="1577">
        <f t="shared" si="12"/>
        <v>100</v>
      </c>
      <c r="T38" s="1576" t="s">
        <v>8</v>
      </c>
      <c r="U38" s="1577">
        <f t="shared" si="13"/>
        <v>100</v>
      </c>
      <c r="V38" s="1576" t="s">
        <v>8</v>
      </c>
      <c r="W38" s="1577">
        <f t="shared" si="14"/>
        <v>100</v>
      </c>
      <c r="X38" s="1570"/>
      <c r="Y38" s="3382" t="s">
        <v>767</v>
      </c>
      <c r="Z38" s="1578" t="str">
        <f t="shared" si="15"/>
        <v>业态</v>
      </c>
      <c r="AA38" s="1579">
        <f t="shared" si="3"/>
        <v>1</v>
      </c>
      <c r="AB38" s="1579">
        <f t="shared" si="4"/>
        <v>1</v>
      </c>
      <c r="AC38" s="1579">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82"/>
      <c r="Q39" s="1575" t="str">
        <f t="shared" si="11"/>
        <v>层高</v>
      </c>
      <c r="R39" s="1576" t="s">
        <v>8</v>
      </c>
      <c r="S39" s="1577">
        <f t="shared" si="12"/>
        <v>100</v>
      </c>
      <c r="T39" s="1576" t="s">
        <v>8</v>
      </c>
      <c r="U39" s="1577">
        <f t="shared" si="13"/>
        <v>100</v>
      </c>
      <c r="V39" s="1576" t="s">
        <v>8</v>
      </c>
      <c r="W39" s="1577">
        <f t="shared" si="14"/>
        <v>100</v>
      </c>
      <c r="X39" s="1570"/>
      <c r="Y39" s="3382"/>
      <c r="Z39" s="1578" t="str">
        <f t="shared" si="15"/>
        <v>层高</v>
      </c>
      <c r="AA39" s="1579">
        <f t="shared" si="3"/>
        <v>1</v>
      </c>
      <c r="AB39" s="1579">
        <f t="shared" si="4"/>
        <v>1</v>
      </c>
      <c r="AC39" s="1579">
        <f t="shared" si="5"/>
        <v>1</v>
      </c>
    </row>
    <row r="40" spans="1:29" ht="15">
      <c r="A40" s="596"/>
      <c r="B40" s="529" t="s">
        <v>769</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82"/>
      <c r="Q40" s="1575" t="str">
        <f t="shared" si="11"/>
        <v>单套建筑面积</v>
      </c>
      <c r="R40" s="1576" t="s">
        <v>8</v>
      </c>
      <c r="S40" s="1577">
        <f t="shared" si="12"/>
        <v>100</v>
      </c>
      <c r="T40" s="1576" t="s">
        <v>8</v>
      </c>
      <c r="U40" s="1577">
        <f t="shared" si="13"/>
        <v>100</v>
      </c>
      <c r="V40" s="1576" t="s">
        <v>8</v>
      </c>
      <c r="W40" s="1577">
        <f t="shared" si="14"/>
        <v>100</v>
      </c>
      <c r="X40" s="1570"/>
      <c r="Y40" s="3382"/>
      <c r="Z40" s="1578" t="str">
        <f t="shared" si="15"/>
        <v>单套建筑面积</v>
      </c>
      <c r="AA40" s="1579">
        <f t="shared" si="3"/>
        <v>1</v>
      </c>
      <c r="AB40" s="1579">
        <f t="shared" si="4"/>
        <v>1</v>
      </c>
      <c r="AC40" s="1579">
        <f t="shared" si="5"/>
        <v>1</v>
      </c>
    </row>
    <row r="41" spans="1:29" s="1341" customFormat="1" ht="15">
      <c r="A41" s="605"/>
      <c r="B41" s="906"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82"/>
      <c r="Q41" s="1608" t="str">
        <f t="shared" si="11"/>
        <v>进深比</v>
      </c>
      <c r="R41" s="1580" t="s">
        <v>8</v>
      </c>
      <c r="S41" s="1581">
        <f t="shared" si="12"/>
        <v>100</v>
      </c>
      <c r="T41" s="1580" t="s">
        <v>8</v>
      </c>
      <c r="U41" s="1581">
        <f t="shared" si="13"/>
        <v>100</v>
      </c>
      <c r="V41" s="1580" t="s">
        <v>8</v>
      </c>
      <c r="W41" s="1581">
        <f t="shared" si="14"/>
        <v>100</v>
      </c>
      <c r="X41" s="1582"/>
      <c r="Y41" s="3382"/>
      <c r="Z41" s="1583" t="str">
        <f t="shared" si="15"/>
        <v>进深比</v>
      </c>
      <c r="AA41" s="1579">
        <f t="shared" si="3"/>
        <v>1</v>
      </c>
      <c r="AB41" s="1579">
        <f t="shared" si="4"/>
        <v>1</v>
      </c>
      <c r="AC41" s="1579">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82"/>
      <c r="Q42" s="1575" t="str">
        <f t="shared" si="11"/>
        <v>内部装修</v>
      </c>
      <c r="R42" s="1576" t="s">
        <v>8</v>
      </c>
      <c r="S42" s="1577">
        <f t="shared" si="12"/>
        <v>100</v>
      </c>
      <c r="T42" s="1576" t="s">
        <v>8</v>
      </c>
      <c r="U42" s="1577">
        <f t="shared" si="13"/>
        <v>100</v>
      </c>
      <c r="V42" s="1576" t="s">
        <v>8</v>
      </c>
      <c r="W42" s="1577">
        <f t="shared" si="14"/>
        <v>100</v>
      </c>
      <c r="X42" s="1570"/>
      <c r="Y42" s="3382"/>
      <c r="Z42" s="1578" t="str">
        <f t="shared" si="15"/>
        <v>内部装修</v>
      </c>
      <c r="AA42" s="1579">
        <f t="shared" si="3"/>
        <v>1</v>
      </c>
      <c r="AB42" s="1579">
        <f t="shared" si="4"/>
        <v>1</v>
      </c>
      <c r="AC42" s="1579">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82"/>
      <c r="Q43" s="1575" t="str">
        <f t="shared" si="11"/>
        <v>内部装修维护情况</v>
      </c>
      <c r="R43" s="1576" t="s">
        <v>8</v>
      </c>
      <c r="S43" s="1577">
        <f t="shared" si="12"/>
        <v>100</v>
      </c>
      <c r="T43" s="1576" t="s">
        <v>8</v>
      </c>
      <c r="U43" s="1577">
        <f t="shared" si="13"/>
        <v>100</v>
      </c>
      <c r="V43" s="1576" t="s">
        <v>8</v>
      </c>
      <c r="W43" s="1577">
        <f t="shared" si="14"/>
        <v>100</v>
      </c>
      <c r="X43" s="1570"/>
      <c r="Y43" s="3382"/>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82"/>
      <c r="Q44" s="1153">
        <f t="shared" si="11"/>
        <v>111</v>
      </c>
      <c r="R44" s="1571" t="s">
        <v>8</v>
      </c>
      <c r="S44" s="1572">
        <f t="shared" si="12"/>
        <v>100</v>
      </c>
      <c r="T44" s="1571" t="s">
        <v>8</v>
      </c>
      <c r="U44" s="1572">
        <f t="shared" si="13"/>
        <v>100</v>
      </c>
      <c r="V44" s="1571" t="s">
        <v>8</v>
      </c>
      <c r="W44" s="1572">
        <f t="shared" si="14"/>
        <v>100</v>
      </c>
      <c r="X44" s="1573"/>
      <c r="Y44" s="3382"/>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82"/>
      <c r="Q45" s="1575">
        <f t="shared" si="11"/>
        <v>111</v>
      </c>
      <c r="R45" s="1576" t="s">
        <v>8</v>
      </c>
      <c r="S45" s="1577">
        <f t="shared" si="12"/>
        <v>100</v>
      </c>
      <c r="T45" s="1576" t="s">
        <v>8</v>
      </c>
      <c r="U45" s="1577">
        <f t="shared" si="13"/>
        <v>100</v>
      </c>
      <c r="V45" s="1576" t="s">
        <v>8</v>
      </c>
      <c r="W45" s="1577">
        <f t="shared" si="14"/>
        <v>100</v>
      </c>
      <c r="X45" s="1570"/>
      <c r="Y45" s="3382"/>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62"/>
      <c r="Q46" s="1575">
        <f t="shared" si="11"/>
        <v>111</v>
      </c>
      <c r="R46" s="1576" t="s">
        <v>8</v>
      </c>
      <c r="S46" s="1577">
        <f t="shared" si="12"/>
        <v>100</v>
      </c>
      <c r="T46" s="1576" t="s">
        <v>8</v>
      </c>
      <c r="U46" s="1577">
        <f t="shared" si="13"/>
        <v>100</v>
      </c>
      <c r="V46" s="1576" t="s">
        <v>8</v>
      </c>
      <c r="W46" s="1577">
        <f t="shared" si="14"/>
        <v>100</v>
      </c>
      <c r="X46" s="1570"/>
      <c r="Y46" s="3462"/>
      <c r="Z46" s="1578">
        <f t="shared" si="15"/>
        <v>111</v>
      </c>
      <c r="AA46" s="1579">
        <f t="shared" si="3"/>
        <v>1</v>
      </c>
      <c r="AB46" s="1579">
        <f t="shared" si="4"/>
        <v>1</v>
      </c>
      <c r="AC46" s="1579">
        <f t="shared" si="5"/>
        <v>1</v>
      </c>
    </row>
    <row r="47" spans="1:29" ht="15">
      <c r="A47" s="609" t="s">
        <v>737</v>
      </c>
      <c r="B47" s="889"/>
      <c r="C47" s="2655" t="s">
        <v>1</v>
      </c>
      <c r="D47" s="2656"/>
      <c r="E47" s="2657"/>
      <c r="F47" s="2658"/>
      <c r="G47" s="2659"/>
      <c r="H47" s="2660"/>
      <c r="I47" s="2657"/>
      <c r="J47" s="2660"/>
      <c r="K47" s="1614"/>
      <c r="L47" s="2148"/>
      <c r="M47" s="2149"/>
      <c r="N47" s="2138"/>
      <c r="O47" s="2149"/>
      <c r="P47" s="3377" t="str">
        <f>A47</f>
        <v>成交单价（元/平方米）</v>
      </c>
      <c r="Q47" s="3377"/>
      <c r="R47" s="3463">
        <f>E47</f>
        <v>0</v>
      </c>
      <c r="S47" s="3463"/>
      <c r="T47" s="3463">
        <f>G47</f>
        <v>0</v>
      </c>
      <c r="U47" s="3463"/>
      <c r="V47" s="3463">
        <f>I47</f>
        <v>0</v>
      </c>
      <c r="W47" s="346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5"/>
      <c r="L48" s="2148"/>
      <c r="M48" s="2149"/>
      <c r="N48" s="2138"/>
      <c r="O48" s="2149"/>
      <c r="P48" s="3377" t="str">
        <f>A48</f>
        <v>比较价格（元/平方米）</v>
      </c>
      <c r="Q48" s="3377"/>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2"/>
      <c r="Y48" s="1562"/>
      <c r="Z48" s="1562"/>
      <c r="AA48" s="1562"/>
      <c r="AB48" s="1562"/>
      <c r="AC48" s="1562"/>
    </row>
    <row r="49" spans="1:29" ht="15.75" thickBot="1">
      <c r="A49" s="623" t="s">
        <v>2938</v>
      </c>
      <c r="B49" s="624"/>
      <c r="C49" s="2664" t="e">
        <f>R49</f>
        <v>#DIV/0!</v>
      </c>
      <c r="D49" s="2664"/>
      <c r="E49" s="2664"/>
      <c r="F49" s="2664"/>
      <c r="G49" s="2664"/>
      <c r="H49" s="2664"/>
      <c r="I49" s="2664"/>
      <c r="J49" s="2664"/>
      <c r="K49" s="1616"/>
      <c r="L49" s="2148"/>
      <c r="M49" s="2149"/>
      <c r="N49" s="2138"/>
      <c r="O49" s="2149"/>
      <c r="P49" s="3398" t="str">
        <f>A49</f>
        <v>估价对象XX用房的比较价格（楼面单价，元/平方米）</v>
      </c>
      <c r="Q49" s="3399"/>
      <c r="R49" s="3465" t="e">
        <f>IF(F1="售价",ROUND(AVERAGE(R48:V48),0),ROUND(AVERAGE(R48:V48),1))</f>
        <v>#DIV/0!</v>
      </c>
      <c r="S49" s="3465"/>
      <c r="T49" s="3465"/>
      <c r="U49" s="3465"/>
      <c r="V49" s="3465"/>
      <c r="W49" s="3465"/>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772</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773</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752</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2560</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775</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776</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777</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789</v>
      </c>
      <c r="C1" s="506" t="s">
        <v>721</v>
      </c>
      <c r="D1" s="851"/>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467</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520</v>
      </c>
      <c r="B3" s="512" t="e">
        <f>C43</f>
        <v>#DIV/0!</v>
      </c>
      <c r="C3" s="854" t="s">
        <v>723</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522</v>
      </c>
      <c r="B4" s="515"/>
      <c r="C4" s="3383" t="s">
        <v>523</v>
      </c>
      <c r="D4" s="3384"/>
      <c r="E4" s="3407" t="s">
        <v>524</v>
      </c>
      <c r="F4" s="3408"/>
      <c r="G4" s="3383" t="s">
        <v>525</v>
      </c>
      <c r="H4" s="3384"/>
      <c r="I4" s="3383" t="s">
        <v>526</v>
      </c>
      <c r="J4" s="3384"/>
      <c r="K4" s="516" t="s">
        <v>527</v>
      </c>
      <c r="L4" s="2137"/>
      <c r="M4" s="2138"/>
      <c r="N4" s="2138"/>
      <c r="O4" s="2138"/>
      <c r="P4" s="3385" t="s">
        <v>528</v>
      </c>
      <c r="Q4" s="3386"/>
      <c r="R4" s="3371" t="s">
        <v>524</v>
      </c>
      <c r="S4" s="3372"/>
      <c r="T4" s="3371" t="s">
        <v>525</v>
      </c>
      <c r="U4" s="3372"/>
      <c r="V4" s="3391" t="s">
        <v>526</v>
      </c>
      <c r="W4" s="3391"/>
      <c r="X4" s="1570"/>
      <c r="Y4" s="3371" t="s">
        <v>528</v>
      </c>
      <c r="Z4" s="3372"/>
      <c r="AA4" s="3366" t="s">
        <v>524</v>
      </c>
      <c r="AB4" s="3367" t="s">
        <v>525</v>
      </c>
      <c r="AC4" s="3366" t="s">
        <v>526</v>
      </c>
    </row>
    <row r="5" spans="1:29" ht="15">
      <c r="A5" s="517"/>
      <c r="B5" s="518"/>
      <c r="C5" s="3394" t="s">
        <v>2932</v>
      </c>
      <c r="D5" s="3395"/>
      <c r="E5" s="3409" t="s">
        <v>2933</v>
      </c>
      <c r="F5" s="3410"/>
      <c r="G5" s="3394" t="s">
        <v>2934</v>
      </c>
      <c r="H5" s="3395"/>
      <c r="I5" s="3394" t="s">
        <v>2935</v>
      </c>
      <c r="J5" s="3395"/>
      <c r="K5" s="516"/>
      <c r="L5" s="2137"/>
      <c r="M5" s="2138"/>
      <c r="N5" s="2138"/>
      <c r="O5" s="2138"/>
      <c r="P5" s="3387"/>
      <c r="Q5" s="3388"/>
      <c r="R5" s="3373"/>
      <c r="S5" s="3374"/>
      <c r="T5" s="3373"/>
      <c r="U5" s="3374"/>
      <c r="V5" s="3391"/>
      <c r="W5" s="3391"/>
      <c r="X5" s="1570"/>
      <c r="Y5" s="3373"/>
      <c r="Z5" s="3374"/>
      <c r="AA5" s="3367"/>
      <c r="AB5" s="3367"/>
      <c r="AC5" s="3367"/>
    </row>
    <row r="6" spans="1:29" ht="15.75" thickBot="1">
      <c r="A6" s="519"/>
      <c r="B6" s="520"/>
      <c r="C6" s="3392" t="s">
        <v>2936</v>
      </c>
      <c r="D6" s="3393"/>
      <c r="E6" s="3411" t="s">
        <v>2936</v>
      </c>
      <c r="F6" s="3412"/>
      <c r="G6" s="3392" t="s">
        <v>2936</v>
      </c>
      <c r="H6" s="3393"/>
      <c r="I6" s="3392" t="s">
        <v>2936</v>
      </c>
      <c r="J6" s="3393"/>
      <c r="K6" s="516" t="s">
        <v>529</v>
      </c>
      <c r="L6" s="2137"/>
      <c r="M6" s="2138"/>
      <c r="N6" s="2138"/>
      <c r="O6" s="2138"/>
      <c r="P6" s="3389"/>
      <c r="Q6" s="3390"/>
      <c r="R6" s="3373"/>
      <c r="S6" s="3374"/>
      <c r="T6" s="3375"/>
      <c r="U6" s="3376"/>
      <c r="V6" s="3391"/>
      <c r="W6" s="3391"/>
      <c r="X6" s="1570"/>
      <c r="Y6" s="3375"/>
      <c r="Z6" s="3376"/>
      <c r="AA6" s="3368"/>
      <c r="AB6" s="3368"/>
      <c r="AC6" s="3368"/>
    </row>
    <row r="7" spans="1:29" s="1222" customFormat="1" ht="15.75" thickBot="1">
      <c r="A7" s="2942"/>
      <c r="B7" s="2949" t="s">
        <v>530</v>
      </c>
      <c r="C7" s="521">
        <f>'数据-取费表'!B2</f>
        <v>43035</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69" t="s">
        <v>531</v>
      </c>
      <c r="Q7" s="3378"/>
      <c r="R7" s="1571" t="s">
        <v>8</v>
      </c>
      <c r="S7" s="1572">
        <f t="shared" ref="S7:S15" si="0">F7</f>
        <v>0</v>
      </c>
      <c r="T7" s="1571" t="s">
        <v>8</v>
      </c>
      <c r="U7" s="1572">
        <f t="shared" ref="U7:U15" si="1">H7</f>
        <v>0</v>
      </c>
      <c r="V7" s="1571" t="s">
        <v>8</v>
      </c>
      <c r="W7" s="1572">
        <f t="shared" ref="W7:W15" si="2">J7</f>
        <v>0</v>
      </c>
      <c r="X7" s="1573"/>
      <c r="Y7" s="3369" t="s">
        <v>531</v>
      </c>
      <c r="Z7" s="3370"/>
      <c r="AA7" s="1574" t="e">
        <f>D7/F7</f>
        <v>#DIV/0!</v>
      </c>
      <c r="AB7" s="1574" t="e">
        <f>D7/H7</f>
        <v>#DIV/0!</v>
      </c>
      <c r="AC7" s="1574" t="e">
        <f>D7/J7</f>
        <v>#DIV/0!</v>
      </c>
    </row>
    <row r="8" spans="1:29" s="1222" customFormat="1" ht="15.75" thickBot="1">
      <c r="A8" s="2943"/>
      <c r="B8" s="2950" t="s">
        <v>532</v>
      </c>
      <c r="C8" s="527" t="s">
        <v>577</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69" t="s">
        <v>534</v>
      </c>
      <c r="Q8" s="3370"/>
      <c r="R8" s="1571" t="s">
        <v>8</v>
      </c>
      <c r="S8" s="1572">
        <f t="shared" si="0"/>
        <v>0</v>
      </c>
      <c r="T8" s="1571" t="s">
        <v>8</v>
      </c>
      <c r="U8" s="1572">
        <f t="shared" si="1"/>
        <v>0</v>
      </c>
      <c r="V8" s="1571" t="s">
        <v>8</v>
      </c>
      <c r="W8" s="1572">
        <f t="shared" si="2"/>
        <v>0</v>
      </c>
      <c r="X8" s="1573"/>
      <c r="Y8" s="3369" t="s">
        <v>534</v>
      </c>
      <c r="Z8" s="3370"/>
      <c r="AA8" s="1574" t="e">
        <f t="shared" ref="AA8:AA40" si="3">D8/F8</f>
        <v>#DIV/0!</v>
      </c>
      <c r="AB8" s="1574" t="e">
        <f t="shared" ref="AB8:AB40" si="4">D8/H8</f>
        <v>#DIV/0!</v>
      </c>
      <c r="AC8" s="1574" t="e">
        <f t="shared" ref="AC8:AC40" si="5">D8/J8</f>
        <v>#DIV/0!</v>
      </c>
    </row>
    <row r="9" spans="1:29" s="1222" customFormat="1" ht="15">
      <c r="A9" s="2944"/>
      <c r="B9" s="2951" t="s">
        <v>2762</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77" t="s">
        <v>536</v>
      </c>
      <c r="Q9" s="1153" t="str">
        <f t="shared" ref="Q9:Q15" si="6">B9</f>
        <v>用途</v>
      </c>
      <c r="R9" s="1571" t="s">
        <v>8</v>
      </c>
      <c r="S9" s="1572">
        <f t="shared" si="0"/>
        <v>100</v>
      </c>
      <c r="T9" s="1571" t="s">
        <v>8</v>
      </c>
      <c r="U9" s="1572">
        <f t="shared" si="1"/>
        <v>100</v>
      </c>
      <c r="V9" s="1571" t="s">
        <v>8</v>
      </c>
      <c r="W9" s="1572">
        <f t="shared" si="2"/>
        <v>100</v>
      </c>
      <c r="X9" s="1573"/>
      <c r="Y9" s="3334"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77"/>
      <c r="Q10" s="1153" t="str">
        <f t="shared" si="6"/>
        <v>土地使用年限（年）</v>
      </c>
      <c r="R10" s="1571" t="s">
        <v>8</v>
      </c>
      <c r="S10" s="1572">
        <f t="shared" si="0"/>
        <v>100</v>
      </c>
      <c r="T10" s="1571" t="s">
        <v>8</v>
      </c>
      <c r="U10" s="1572">
        <f t="shared" si="1"/>
        <v>100</v>
      </c>
      <c r="V10" s="1571" t="s">
        <v>8</v>
      </c>
      <c r="W10" s="1572">
        <f t="shared" si="2"/>
        <v>100</v>
      </c>
      <c r="X10" s="1573"/>
      <c r="Y10" s="3334"/>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77"/>
      <c r="Q11" s="1153" t="str">
        <f t="shared" si="6"/>
        <v>容积率</v>
      </c>
      <c r="R11" s="1571" t="s">
        <v>8</v>
      </c>
      <c r="S11" s="1572" t="e">
        <f t="shared" si="0"/>
        <v>#N/A</v>
      </c>
      <c r="T11" s="1571" t="s">
        <v>8</v>
      </c>
      <c r="U11" s="1572" t="e">
        <f t="shared" si="1"/>
        <v>#N/A</v>
      </c>
      <c r="V11" s="1571" t="s">
        <v>8</v>
      </c>
      <c r="W11" s="1572" t="e">
        <f t="shared" si="2"/>
        <v>#N/A</v>
      </c>
      <c r="X11" s="1573"/>
      <c r="Y11" s="3334"/>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77"/>
      <c r="Q12" s="1153">
        <f t="shared" si="6"/>
        <v>111</v>
      </c>
      <c r="R12" s="1571" t="s">
        <v>8</v>
      </c>
      <c r="S12" s="1572">
        <f t="shared" si="0"/>
        <v>100</v>
      </c>
      <c r="T12" s="1571" t="s">
        <v>8</v>
      </c>
      <c r="U12" s="1572">
        <f t="shared" si="1"/>
        <v>100</v>
      </c>
      <c r="V12" s="1571" t="s">
        <v>8</v>
      </c>
      <c r="W12" s="1572">
        <f t="shared" si="2"/>
        <v>100</v>
      </c>
      <c r="X12" s="1573"/>
      <c r="Y12" s="3334"/>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77"/>
      <c r="Q13" s="1153">
        <f t="shared" si="6"/>
        <v>111</v>
      </c>
      <c r="R13" s="1571" t="s">
        <v>8</v>
      </c>
      <c r="S13" s="1572">
        <f t="shared" si="0"/>
        <v>100</v>
      </c>
      <c r="T13" s="1571" t="s">
        <v>8</v>
      </c>
      <c r="U13" s="1572">
        <f t="shared" si="1"/>
        <v>100</v>
      </c>
      <c r="V13" s="1571" t="s">
        <v>8</v>
      </c>
      <c r="W13" s="1572">
        <f t="shared" si="2"/>
        <v>100</v>
      </c>
      <c r="X13" s="1573"/>
      <c r="Y13" s="3334"/>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77"/>
      <c r="Q14" s="1153">
        <f t="shared" si="6"/>
        <v>111</v>
      </c>
      <c r="R14" s="1571" t="s">
        <v>8</v>
      </c>
      <c r="S14" s="1572">
        <f t="shared" si="0"/>
        <v>100</v>
      </c>
      <c r="T14" s="1571" t="s">
        <v>8</v>
      </c>
      <c r="U14" s="1572">
        <f t="shared" si="1"/>
        <v>100</v>
      </c>
      <c r="V14" s="1571" t="s">
        <v>8</v>
      </c>
      <c r="W14" s="1572">
        <f t="shared" si="2"/>
        <v>100</v>
      </c>
      <c r="X14" s="1573"/>
      <c r="Y14" s="3334"/>
      <c r="Z14" s="1152">
        <f t="shared" si="7"/>
        <v>111</v>
      </c>
      <c r="AA14" s="1574">
        <f t="shared" si="3"/>
        <v>1</v>
      </c>
      <c r="AB14" s="1574">
        <f t="shared" si="4"/>
        <v>1</v>
      </c>
      <c r="AC14" s="1574">
        <f t="shared" si="5"/>
        <v>1</v>
      </c>
    </row>
    <row r="15" spans="1:29" ht="57">
      <c r="A15" s="2940" t="s">
        <v>2760</v>
      </c>
      <c r="B15" s="166" t="s">
        <v>790</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79" t="s">
        <v>541</v>
      </c>
      <c r="Q15" s="1575" t="str">
        <f t="shared" si="6"/>
        <v>产业集聚程度</v>
      </c>
      <c r="R15" s="1576" t="s">
        <v>8</v>
      </c>
      <c r="S15" s="1577">
        <f t="shared" si="0"/>
        <v>100</v>
      </c>
      <c r="T15" s="1576" t="s">
        <v>8</v>
      </c>
      <c r="U15" s="1577">
        <f t="shared" si="1"/>
        <v>100</v>
      </c>
      <c r="V15" s="1576" t="s">
        <v>8</v>
      </c>
      <c r="W15" s="1577">
        <f t="shared" si="2"/>
        <v>100</v>
      </c>
      <c r="X15" s="1570"/>
      <c r="Y15" s="3379"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80"/>
      <c r="Q16" s="1575"/>
      <c r="R16" s="1576"/>
      <c r="S16" s="1577"/>
      <c r="T16" s="1576"/>
      <c r="U16" s="1577"/>
      <c r="V16" s="1576"/>
      <c r="W16" s="1577"/>
      <c r="X16" s="1570"/>
      <c r="Y16" s="3380"/>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80"/>
      <c r="Q17" s="1575" t="str">
        <f>B17</f>
        <v>交通便捷度</v>
      </c>
      <c r="R17" s="1576" t="s">
        <v>8</v>
      </c>
      <c r="S17" s="1577">
        <f>F17</f>
        <v>100</v>
      </c>
      <c r="T17" s="1576" t="s">
        <v>8</v>
      </c>
      <c r="U17" s="1577">
        <f>H17</f>
        <v>100</v>
      </c>
      <c r="V17" s="1576" t="s">
        <v>8</v>
      </c>
      <c r="W17" s="1577">
        <f>J17</f>
        <v>100</v>
      </c>
      <c r="X17" s="1570"/>
      <c r="Y17" s="3380"/>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80"/>
      <c r="Q18" s="1575"/>
      <c r="R18" s="1576"/>
      <c r="S18" s="1577"/>
      <c r="T18" s="1576"/>
      <c r="U18" s="1577"/>
      <c r="V18" s="1576"/>
      <c r="W18" s="1577"/>
      <c r="X18" s="1570"/>
      <c r="Y18" s="3380"/>
      <c r="Z18" s="1578"/>
      <c r="AA18" s="1579">
        <v>1</v>
      </c>
      <c r="AB18" s="1579">
        <v>1</v>
      </c>
      <c r="AC18" s="1579">
        <v>1</v>
      </c>
    </row>
    <row r="19" spans="1:29" ht="42.75">
      <c r="A19" s="534"/>
      <c r="B19" s="2631" t="s">
        <v>2550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80"/>
      <c r="Q19" s="1575" t="str">
        <f>B19</f>
        <v>公共配套设施</v>
      </c>
      <c r="R19" s="1576" t="s">
        <v>8</v>
      </c>
      <c r="S19" s="1577">
        <f>F19</f>
        <v>100</v>
      </c>
      <c r="T19" s="1576" t="s">
        <v>8</v>
      </c>
      <c r="U19" s="1577">
        <f>H19</f>
        <v>100</v>
      </c>
      <c r="V19" s="1576" t="s">
        <v>8</v>
      </c>
      <c r="W19" s="1577">
        <f>J19</f>
        <v>100</v>
      </c>
      <c r="X19" s="1570"/>
      <c r="Y19" s="3380"/>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80"/>
      <c r="Q20" s="1575"/>
      <c r="R20" s="1576"/>
      <c r="S20" s="1577"/>
      <c r="T20" s="1576"/>
      <c r="U20" s="1577"/>
      <c r="V20" s="1576"/>
      <c r="W20" s="1577"/>
      <c r="X20" s="1570"/>
      <c r="Y20" s="3380"/>
      <c r="Z20" s="1578"/>
      <c r="AA20" s="1579">
        <v>1</v>
      </c>
      <c r="AB20" s="1579">
        <v>1</v>
      </c>
      <c r="AC20" s="1579">
        <v>1</v>
      </c>
    </row>
    <row r="21" spans="1:29" ht="28.5">
      <c r="A21" s="534"/>
      <c r="B21" s="2619" t="s">
        <v>2562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80"/>
      <c r="Q21" s="2607" t="str">
        <f>B21</f>
        <v>基础设施水平</v>
      </c>
      <c r="R21" s="1576" t="s">
        <v>8</v>
      </c>
      <c r="S21" s="1577">
        <f>F21</f>
        <v>100</v>
      </c>
      <c r="T21" s="1576" t="s">
        <v>8</v>
      </c>
      <c r="U21" s="1577">
        <f>H21</f>
        <v>100</v>
      </c>
      <c r="V21" s="1576" t="s">
        <v>8</v>
      </c>
      <c r="W21" s="1577">
        <f>J21</f>
        <v>100</v>
      </c>
      <c r="X21" s="2609"/>
      <c r="Y21" s="3380"/>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80"/>
      <c r="Q22" s="2607"/>
      <c r="R22" s="1576"/>
      <c r="S22" s="1577"/>
      <c r="T22" s="1576"/>
      <c r="U22" s="1577"/>
      <c r="V22" s="1576"/>
      <c r="W22" s="1577"/>
      <c r="X22" s="2609"/>
      <c r="Y22" s="3380"/>
      <c r="Z22" s="2608"/>
      <c r="AA22" s="1579">
        <v>1</v>
      </c>
      <c r="AB22" s="1579">
        <v>1</v>
      </c>
      <c r="AC22" s="1579">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80"/>
      <c r="Q23" s="1575" t="str">
        <f>B23</f>
        <v>环境质量</v>
      </c>
      <c r="R23" s="1576" t="s">
        <v>8</v>
      </c>
      <c r="S23" s="1577">
        <f>F23</f>
        <v>100</v>
      </c>
      <c r="T23" s="1576" t="s">
        <v>8</v>
      </c>
      <c r="U23" s="1577">
        <f>H23</f>
        <v>100</v>
      </c>
      <c r="V23" s="1576" t="s">
        <v>8</v>
      </c>
      <c r="W23" s="1577">
        <f>J23</f>
        <v>100</v>
      </c>
      <c r="X23" s="1570"/>
      <c r="Y23" s="3380"/>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80"/>
      <c r="Q24" s="1575"/>
      <c r="R24" s="1576"/>
      <c r="S24" s="1577"/>
      <c r="T24" s="1576"/>
      <c r="U24" s="1577"/>
      <c r="V24" s="1576"/>
      <c r="W24" s="1577"/>
      <c r="X24" s="1570"/>
      <c r="Y24" s="3380"/>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80"/>
      <c r="Q25" s="1575">
        <f>B25</f>
        <v>111</v>
      </c>
      <c r="R25" s="1576" t="s">
        <v>8</v>
      </c>
      <c r="S25" s="1577">
        <f>F25</f>
        <v>100</v>
      </c>
      <c r="T25" s="1576" t="s">
        <v>8</v>
      </c>
      <c r="U25" s="1577">
        <f>H25</f>
        <v>100</v>
      </c>
      <c r="V25" s="1576" t="s">
        <v>8</v>
      </c>
      <c r="W25" s="1577">
        <f>J25</f>
        <v>100</v>
      </c>
      <c r="X25" s="1570"/>
      <c r="Y25" s="3380"/>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80"/>
      <c r="Q26" s="1575">
        <f t="shared" ref="Q26:Q40" si="11">B26</f>
        <v>111</v>
      </c>
      <c r="R26" s="1576" t="s">
        <v>8</v>
      </c>
      <c r="S26" s="1577">
        <f>F26</f>
        <v>100</v>
      </c>
      <c r="T26" s="1576" t="s">
        <v>8</v>
      </c>
      <c r="U26" s="1577">
        <f>H26</f>
        <v>100</v>
      </c>
      <c r="V26" s="1576" t="s">
        <v>8</v>
      </c>
      <c r="W26" s="1577">
        <f>J26</f>
        <v>100</v>
      </c>
      <c r="X26" s="1570"/>
      <c r="Y26" s="3380"/>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80"/>
      <c r="Q27" s="1153">
        <f t="shared" si="11"/>
        <v>111</v>
      </c>
      <c r="R27" s="1571" t="s">
        <v>8</v>
      </c>
      <c r="S27" s="1572">
        <f>F27</f>
        <v>100</v>
      </c>
      <c r="T27" s="1571" t="s">
        <v>8</v>
      </c>
      <c r="U27" s="1572">
        <f>H27</f>
        <v>100</v>
      </c>
      <c r="V27" s="1571" t="s">
        <v>8</v>
      </c>
      <c r="W27" s="1572">
        <f>J27</f>
        <v>100</v>
      </c>
      <c r="X27" s="1573"/>
      <c r="Y27" s="3380"/>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80"/>
      <c r="Q28" s="1575">
        <f t="shared" si="11"/>
        <v>111</v>
      </c>
      <c r="R28" s="1576" t="s">
        <v>8</v>
      </c>
      <c r="S28" s="1577">
        <f t="shared" ref="S28:S40" si="12">F28</f>
        <v>100</v>
      </c>
      <c r="T28" s="1576" t="s">
        <v>8</v>
      </c>
      <c r="U28" s="1577">
        <f t="shared" ref="U28:U40" si="13">H28</f>
        <v>100</v>
      </c>
      <c r="V28" s="1576" t="s">
        <v>8</v>
      </c>
      <c r="W28" s="1577">
        <f t="shared" ref="W28:W40" si="14">J28</f>
        <v>100</v>
      </c>
      <c r="X28" s="1570"/>
      <c r="Y28" s="3380"/>
      <c r="Z28" s="1578">
        <f t="shared" ref="Z28:Z40" si="15">Q28</f>
        <v>111</v>
      </c>
      <c r="AA28" s="1579">
        <f t="shared" si="3"/>
        <v>1</v>
      </c>
      <c r="AB28" s="1579">
        <f t="shared" si="4"/>
        <v>1</v>
      </c>
      <c r="AC28" s="1579">
        <f t="shared" si="5"/>
        <v>1</v>
      </c>
    </row>
    <row r="29" spans="1:29" ht="15">
      <c r="A29" s="2937" t="s">
        <v>2761</v>
      </c>
      <c r="B29" s="172" t="s">
        <v>781</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81" t="s">
        <v>551</v>
      </c>
      <c r="Q29" s="1575" t="str">
        <f t="shared" si="11"/>
        <v>建筑类型</v>
      </c>
      <c r="R29" s="1576" t="s">
        <v>8</v>
      </c>
      <c r="S29" s="1577">
        <f t="shared" si="12"/>
        <v>100</v>
      </c>
      <c r="T29" s="1576" t="s">
        <v>8</v>
      </c>
      <c r="U29" s="1577">
        <f t="shared" si="13"/>
        <v>100</v>
      </c>
      <c r="V29" s="1576" t="s">
        <v>8</v>
      </c>
      <c r="W29" s="1577">
        <f t="shared" si="14"/>
        <v>100</v>
      </c>
      <c r="X29" s="1570"/>
      <c r="Y29" s="3382" t="s">
        <v>551</v>
      </c>
      <c r="Z29" s="1578" t="str">
        <f t="shared" si="15"/>
        <v>建筑类型</v>
      </c>
      <c r="AA29" s="1579">
        <f t="shared" si="3"/>
        <v>1</v>
      </c>
      <c r="AB29" s="1579">
        <f t="shared" si="4"/>
        <v>1</v>
      </c>
      <c r="AC29" s="1579">
        <f t="shared" si="5"/>
        <v>1</v>
      </c>
    </row>
    <row r="30" spans="1:29" s="1341" customFormat="1" ht="15">
      <c r="A30" s="605"/>
      <c r="B30" s="529" t="s">
        <v>727</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82"/>
      <c r="Q30" s="1608" t="str">
        <f t="shared" si="11"/>
        <v>项目建筑规模</v>
      </c>
      <c r="R30" s="1580" t="s">
        <v>8</v>
      </c>
      <c r="S30" s="1581" t="e">
        <f t="shared" si="12"/>
        <v>#N/A</v>
      </c>
      <c r="T30" s="1580" t="s">
        <v>8</v>
      </c>
      <c r="U30" s="1581" t="e">
        <f t="shared" si="13"/>
        <v>#N/A</v>
      </c>
      <c r="V30" s="1580" t="s">
        <v>8</v>
      </c>
      <c r="W30" s="1581" t="e">
        <f t="shared" si="14"/>
        <v>#N/A</v>
      </c>
      <c r="X30" s="1582"/>
      <c r="Y30" s="3382"/>
      <c r="Z30" s="1583" t="str">
        <f t="shared" si="15"/>
        <v>项目建筑规模</v>
      </c>
      <c r="AA30" s="1579" t="e">
        <f t="shared" si="3"/>
        <v>#N/A</v>
      </c>
      <c r="AB30" s="1579" t="e">
        <f t="shared" si="4"/>
        <v>#N/A</v>
      </c>
      <c r="AC30" s="1579"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82"/>
      <c r="Q31" s="1575" t="str">
        <f t="shared" si="11"/>
        <v>建筑结构</v>
      </c>
      <c r="R31" s="1576" t="s">
        <v>8</v>
      </c>
      <c r="S31" s="1577">
        <f t="shared" si="12"/>
        <v>100</v>
      </c>
      <c r="T31" s="1576" t="s">
        <v>8</v>
      </c>
      <c r="U31" s="1577">
        <f t="shared" si="13"/>
        <v>100</v>
      </c>
      <c r="V31" s="1576" t="s">
        <v>8</v>
      </c>
      <c r="W31" s="1577">
        <f t="shared" si="14"/>
        <v>100</v>
      </c>
      <c r="X31" s="1570"/>
      <c r="Y31" s="3382"/>
      <c r="Z31" s="1578" t="str">
        <f t="shared" si="15"/>
        <v>建筑结构</v>
      </c>
      <c r="AA31" s="1579">
        <f t="shared" si="3"/>
        <v>1</v>
      </c>
      <c r="AB31" s="1579">
        <f t="shared" si="4"/>
        <v>1</v>
      </c>
      <c r="AC31" s="1579">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82"/>
      <c r="Q32" s="1575" t="str">
        <f t="shared" si="11"/>
        <v>公共部分装修</v>
      </c>
      <c r="R32" s="1576" t="s">
        <v>8</v>
      </c>
      <c r="S32" s="1577">
        <f t="shared" si="12"/>
        <v>100</v>
      </c>
      <c r="T32" s="1576" t="s">
        <v>8</v>
      </c>
      <c r="U32" s="1577">
        <f t="shared" si="13"/>
        <v>100</v>
      </c>
      <c r="V32" s="1576" t="s">
        <v>8</v>
      </c>
      <c r="W32" s="1577">
        <f t="shared" si="14"/>
        <v>100</v>
      </c>
      <c r="X32" s="1570"/>
      <c r="Y32" s="3382"/>
      <c r="Z32" s="1578" t="str">
        <f t="shared" si="15"/>
        <v>公共部分装修</v>
      </c>
      <c r="AA32" s="1579">
        <f t="shared" si="3"/>
        <v>1</v>
      </c>
      <c r="AB32" s="1579">
        <f t="shared" si="4"/>
        <v>1</v>
      </c>
      <c r="AC32" s="1579">
        <f t="shared" si="5"/>
        <v>1</v>
      </c>
    </row>
    <row r="33" spans="1:29" ht="15">
      <c r="A33" s="596"/>
      <c r="B33" s="529" t="s">
        <v>765</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82"/>
      <c r="Q33" s="1575" t="str">
        <f t="shared" si="11"/>
        <v>成新度</v>
      </c>
      <c r="R33" s="1576" t="s">
        <v>8</v>
      </c>
      <c r="S33" s="1577" t="e">
        <f t="shared" si="12"/>
        <v>#N/A</v>
      </c>
      <c r="T33" s="1576" t="s">
        <v>8</v>
      </c>
      <c r="U33" s="1577" t="e">
        <f t="shared" si="13"/>
        <v>#N/A</v>
      </c>
      <c r="V33" s="1576" t="s">
        <v>8</v>
      </c>
      <c r="W33" s="1577" t="e">
        <f t="shared" si="14"/>
        <v>#N/A</v>
      </c>
      <c r="X33" s="1570"/>
      <c r="Y33" s="3382"/>
      <c r="Z33" s="1578" t="str">
        <f t="shared" si="15"/>
        <v>成新度</v>
      </c>
      <c r="AA33" s="1579" t="e">
        <f t="shared" si="3"/>
        <v>#N/A</v>
      </c>
      <c r="AB33" s="1579" t="e">
        <f t="shared" si="4"/>
        <v>#N/A</v>
      </c>
      <c r="AC33" s="1579" t="e">
        <f t="shared" si="5"/>
        <v>#N/A</v>
      </c>
    </row>
    <row r="34" spans="1:29" s="1222"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82"/>
      <c r="Q34" s="1153" t="str">
        <f t="shared" si="11"/>
        <v>物业管理</v>
      </c>
      <c r="R34" s="1571" t="s">
        <v>8</v>
      </c>
      <c r="S34" s="1572">
        <f t="shared" si="12"/>
        <v>100</v>
      </c>
      <c r="T34" s="1571" t="s">
        <v>8</v>
      </c>
      <c r="U34" s="1572">
        <f t="shared" si="13"/>
        <v>100</v>
      </c>
      <c r="V34" s="1571" t="s">
        <v>8</v>
      </c>
      <c r="W34" s="1572">
        <f t="shared" si="14"/>
        <v>100</v>
      </c>
      <c r="X34" s="1573"/>
      <c r="Y34" s="3382"/>
      <c r="Z34" s="1152" t="str">
        <f t="shared" si="15"/>
        <v>物业管理</v>
      </c>
      <c r="AA34" s="1574">
        <f t="shared" si="3"/>
        <v>1</v>
      </c>
      <c r="AB34" s="1574">
        <f t="shared" si="4"/>
        <v>1</v>
      </c>
      <c r="AC34" s="1574">
        <f t="shared" si="5"/>
        <v>1</v>
      </c>
    </row>
    <row r="35" spans="1:29" ht="15">
      <c r="A35" s="596"/>
      <c r="B35" s="1899" t="s">
        <v>2569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82" t="s">
        <v>551</v>
      </c>
      <c r="Q35" s="1575" t="str">
        <f t="shared" si="11"/>
        <v>市政基础设施</v>
      </c>
      <c r="R35" s="1576" t="s">
        <v>8</v>
      </c>
      <c r="S35" s="1577">
        <f t="shared" si="12"/>
        <v>100</v>
      </c>
      <c r="T35" s="1576" t="s">
        <v>8</v>
      </c>
      <c r="U35" s="1577">
        <f t="shared" si="13"/>
        <v>100</v>
      </c>
      <c r="V35" s="1576" t="s">
        <v>8</v>
      </c>
      <c r="W35" s="1577">
        <f t="shared" si="14"/>
        <v>100</v>
      </c>
      <c r="X35" s="1570"/>
      <c r="Y35" s="3382" t="s">
        <v>551</v>
      </c>
      <c r="Z35" s="1578" t="str">
        <f t="shared" si="15"/>
        <v>市政基础设施</v>
      </c>
      <c r="AA35" s="1579">
        <f t="shared" si="3"/>
        <v>1</v>
      </c>
      <c r="AB35" s="1579">
        <f t="shared" si="4"/>
        <v>1</v>
      </c>
      <c r="AC35" s="1579">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82"/>
      <c r="Q36" s="1575" t="str">
        <f t="shared" si="11"/>
        <v>内部装修</v>
      </c>
      <c r="R36" s="1576" t="s">
        <v>8</v>
      </c>
      <c r="S36" s="1577">
        <f t="shared" si="12"/>
        <v>100</v>
      </c>
      <c r="T36" s="1576" t="s">
        <v>8</v>
      </c>
      <c r="U36" s="1577">
        <f t="shared" si="13"/>
        <v>100</v>
      </c>
      <c r="V36" s="1576" t="s">
        <v>8</v>
      </c>
      <c r="W36" s="1577">
        <f t="shared" si="14"/>
        <v>100</v>
      </c>
      <c r="X36" s="1570"/>
      <c r="Y36" s="3382"/>
      <c r="Z36" s="1578" t="str">
        <f t="shared" si="15"/>
        <v>内部装修</v>
      </c>
      <c r="AA36" s="1579">
        <f t="shared" si="3"/>
        <v>1</v>
      </c>
      <c r="AB36" s="1579">
        <f t="shared" si="4"/>
        <v>1</v>
      </c>
      <c r="AC36" s="1579">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82"/>
      <c r="Q37" s="1575" t="str">
        <f t="shared" si="11"/>
        <v>内部装修状况</v>
      </c>
      <c r="R37" s="1576" t="s">
        <v>8</v>
      </c>
      <c r="S37" s="1577">
        <f t="shared" si="12"/>
        <v>100</v>
      </c>
      <c r="T37" s="1576" t="s">
        <v>8</v>
      </c>
      <c r="U37" s="1577">
        <f t="shared" si="13"/>
        <v>100</v>
      </c>
      <c r="V37" s="1576" t="s">
        <v>8</v>
      </c>
      <c r="W37" s="1577">
        <f t="shared" si="14"/>
        <v>100</v>
      </c>
      <c r="X37" s="1570"/>
      <c r="Y37" s="3382"/>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82"/>
      <c r="Q38" s="1608">
        <f t="shared" si="11"/>
        <v>111</v>
      </c>
      <c r="R38" s="1580" t="s">
        <v>8</v>
      </c>
      <c r="S38" s="1581">
        <f t="shared" si="12"/>
        <v>100</v>
      </c>
      <c r="T38" s="1580" t="s">
        <v>8</v>
      </c>
      <c r="U38" s="1581">
        <f t="shared" si="13"/>
        <v>100</v>
      </c>
      <c r="V38" s="1580" t="s">
        <v>8</v>
      </c>
      <c r="W38" s="1581">
        <f t="shared" si="14"/>
        <v>100</v>
      </c>
      <c r="X38" s="1582"/>
      <c r="Y38" s="3382"/>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82"/>
      <c r="Q39" s="1575">
        <f t="shared" si="11"/>
        <v>111</v>
      </c>
      <c r="R39" s="1576" t="s">
        <v>8</v>
      </c>
      <c r="S39" s="1577">
        <f t="shared" si="12"/>
        <v>100</v>
      </c>
      <c r="T39" s="1576" t="s">
        <v>8</v>
      </c>
      <c r="U39" s="1577">
        <f t="shared" si="13"/>
        <v>100</v>
      </c>
      <c r="V39" s="1576" t="s">
        <v>8</v>
      </c>
      <c r="W39" s="1577">
        <f t="shared" si="14"/>
        <v>100</v>
      </c>
      <c r="X39" s="1570"/>
      <c r="Y39" s="3382"/>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62"/>
      <c r="Q40" s="1575">
        <f t="shared" si="11"/>
        <v>111</v>
      </c>
      <c r="R40" s="1576" t="s">
        <v>8</v>
      </c>
      <c r="S40" s="1577">
        <f t="shared" si="12"/>
        <v>100</v>
      </c>
      <c r="T40" s="1576" t="s">
        <v>8</v>
      </c>
      <c r="U40" s="1577">
        <f t="shared" si="13"/>
        <v>100</v>
      </c>
      <c r="V40" s="1576" t="s">
        <v>8</v>
      </c>
      <c r="W40" s="1577">
        <f t="shared" si="14"/>
        <v>100</v>
      </c>
      <c r="X40" s="1570"/>
      <c r="Y40" s="3462"/>
      <c r="Z40" s="1578">
        <f t="shared" si="15"/>
        <v>111</v>
      </c>
      <c r="AA40" s="1579">
        <f t="shared" si="3"/>
        <v>1</v>
      </c>
      <c r="AB40" s="1579">
        <f t="shared" si="4"/>
        <v>1</v>
      </c>
      <c r="AC40" s="1579">
        <f t="shared" si="5"/>
        <v>1</v>
      </c>
    </row>
    <row r="41" spans="1:29" ht="15">
      <c r="A41" s="609" t="s">
        <v>737</v>
      </c>
      <c r="B41" s="889"/>
      <c r="C41" s="2655" t="s">
        <v>1</v>
      </c>
      <c r="D41" s="2656"/>
      <c r="E41" s="2657"/>
      <c r="F41" s="2658"/>
      <c r="G41" s="2659"/>
      <c r="H41" s="2660"/>
      <c r="I41" s="2657"/>
      <c r="J41" s="2660"/>
      <c r="K41" s="1614"/>
      <c r="L41" s="2148"/>
      <c r="M41" s="2149"/>
      <c r="N41" s="2138"/>
      <c r="O41" s="2149"/>
      <c r="P41" s="3377" t="str">
        <f>A41</f>
        <v>成交单价（元/平方米）</v>
      </c>
      <c r="Q41" s="3377"/>
      <c r="R41" s="3463">
        <f>E41</f>
        <v>0</v>
      </c>
      <c r="S41" s="3463"/>
      <c r="T41" s="3463">
        <f>G41</f>
        <v>0</v>
      </c>
      <c r="U41" s="3463"/>
      <c r="V41" s="3463">
        <f>I41</f>
        <v>0</v>
      </c>
      <c r="W41" s="3463"/>
      <c r="X41" s="1562"/>
      <c r="Y41" s="1584"/>
      <c r="Z41" s="1562"/>
      <c r="AA41" s="1562"/>
      <c r="AB41" s="1562"/>
      <c r="AC41" s="1562"/>
    </row>
    <row r="42" spans="1:29" ht="15.75" thickBot="1">
      <c r="A42" s="617" t="s">
        <v>2766</v>
      </c>
      <c r="B42" s="890"/>
      <c r="C42" s="2661" t="e">
        <f>R43</f>
        <v>#DIV/0!</v>
      </c>
      <c r="D42" s="2662"/>
      <c r="E42" s="2663" t="e">
        <f>R42</f>
        <v>#DIV/0!</v>
      </c>
      <c r="F42" s="2663"/>
      <c r="G42" s="2661" t="e">
        <f>T42</f>
        <v>#DIV/0!</v>
      </c>
      <c r="H42" s="2662"/>
      <c r="I42" s="2663" t="e">
        <f>V42</f>
        <v>#DIV/0!</v>
      </c>
      <c r="J42" s="2662"/>
      <c r="K42" s="1615"/>
      <c r="L42" s="2148"/>
      <c r="M42" s="2149"/>
      <c r="N42" s="2138"/>
      <c r="O42" s="2149"/>
      <c r="P42" s="3377" t="str">
        <f>A42</f>
        <v>比较价格（元/平方米）</v>
      </c>
      <c r="Q42" s="3377"/>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562"/>
      <c r="Y42" s="1562"/>
      <c r="Z42" s="1562"/>
      <c r="AA42" s="1562"/>
      <c r="AB42" s="1562"/>
      <c r="AC42" s="1562"/>
    </row>
    <row r="43" spans="1:29" ht="15.75" thickBot="1">
      <c r="A43" s="623" t="s">
        <v>2938</v>
      </c>
      <c r="B43" s="624"/>
      <c r="C43" s="2664" t="e">
        <f>R43</f>
        <v>#DIV/0!</v>
      </c>
      <c r="D43" s="2664"/>
      <c r="E43" s="2664"/>
      <c r="F43" s="2664"/>
      <c r="G43" s="2664"/>
      <c r="H43" s="2664"/>
      <c r="I43" s="2664"/>
      <c r="J43" s="2664"/>
      <c r="K43" s="1616"/>
      <c r="L43" s="2148"/>
      <c r="M43" s="2149"/>
      <c r="N43" s="2149"/>
      <c r="O43" s="2149"/>
      <c r="P43" s="3398" t="str">
        <f>A43</f>
        <v>估价对象XX用房的比较价格（楼面单价，元/平方米）</v>
      </c>
      <c r="Q43" s="3399"/>
      <c r="R43" s="3465" t="e">
        <f>IF(F1="售价",ROUND(AVERAGE(R42:V42),0),ROUND(AVERAGE(R42:V42),1))</f>
        <v>#DIV/0!</v>
      </c>
      <c r="S43" s="3465"/>
      <c r="T43" s="3465"/>
      <c r="U43" s="3465"/>
      <c r="V43" s="3465"/>
      <c r="W43" s="3465"/>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530</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576</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532</v>
      </c>
      <c r="B55" s="650"/>
      <c r="C55" s="662" t="s">
        <v>577</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540</v>
      </c>
      <c r="B70" s="667" t="s">
        <v>586</v>
      </c>
      <c r="C70" s="705" t="s">
        <v>580</v>
      </c>
      <c r="D70" s="705" t="s">
        <v>581</v>
      </c>
      <c r="E70" s="705" t="s">
        <v>582</v>
      </c>
      <c r="F70" s="705" t="s">
        <v>583</v>
      </c>
      <c r="G70" s="705" t="s">
        <v>584</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587</v>
      </c>
      <c r="C72" s="710" t="s">
        <v>580</v>
      </c>
      <c r="D72" s="710" t="s">
        <v>581</v>
      </c>
      <c r="E72" s="710" t="s">
        <v>582</v>
      </c>
      <c r="F72" s="710" t="s">
        <v>583</v>
      </c>
      <c r="G72" s="710" t="s">
        <v>584</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2561</v>
      </c>
      <c r="C74" s="710" t="s">
        <v>580</v>
      </c>
      <c r="D74" s="710" t="s">
        <v>581</v>
      </c>
      <c r="E74" s="710" t="s">
        <v>582</v>
      </c>
      <c r="F74" s="710" t="s">
        <v>583</v>
      </c>
      <c r="G74" s="710" t="s">
        <v>584</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2562</v>
      </c>
      <c r="C76" s="2626" t="s">
        <v>2563</v>
      </c>
      <c r="D76" s="2626" t="s">
        <v>2564</v>
      </c>
      <c r="E76" s="2626" t="s">
        <v>2565</v>
      </c>
      <c r="F76" s="2626" t="s">
        <v>2566</v>
      </c>
      <c r="G76" s="2626" t="s">
        <v>2567</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785</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552</v>
      </c>
      <c r="B88" s="667" t="s">
        <v>748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750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752</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754</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2560</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756</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792</v>
      </c>
      <c r="C106" s="710" t="s">
        <v>580</v>
      </c>
      <c r="D106" s="710" t="s">
        <v>581</v>
      </c>
      <c r="E106" s="710" t="s">
        <v>582</v>
      </c>
      <c r="F106" s="710" t="s">
        <v>583</v>
      </c>
      <c r="G106" s="710" t="s">
        <v>584</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鹏瑞利美融加一（北京）置业有限公司：</v>
      </c>
    </row>
    <row r="4" spans="1:4" ht="56.25">
      <c r="A4" s="1795" t="str">
        <f>"受贵公司委托，我公司对"&amp;项目基本情况!K2&amp;项目基本情况!B9&amp;"进行了预评估。"</f>
        <v>受贵公司委托，我公司对北京市通州区运河核心区Ⅷ-14-2地块F3其他类多功能用地项目商务金融（办公、商业及地下车库）用地出让国有建设用地使用权抵押价格进行了预评估。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-14-2地块F3其他类多功能用地项目商务金融（办公、商业及地下车库）用地出让国有建设用地使用权。根据《国有土地使用证》[]，估价对象（分摊）出让国有建设用地使用权面积为9969.76平方米。根据《建设工程规划许可证》[]、《出让合同》[]，估价对象规划建筑面积为130076.72平方米。</v>
      </c>
    </row>
    <row r="7" spans="1:4" ht="93.75">
      <c r="A7" s="2903" t="s">
        <v>2754</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2072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根据《国有土地使用证》[]，估价对象（分摊）出让国有建设用地使用权面积为9969.76平方米。根据《建设工程规划许可证》[]、《出让合同》[]，估价对象规划建筑面积为130076.72平方米。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2075</v>
      </c>
    </row>
    <row r="23" spans="1:1" ht="18.75">
      <c r="A23" s="2905" t="s">
        <v>2755</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IF(B37="元/平方米",C39,ROUND(B2*10000/D3,0))</f>
        <v>#DIV/0!</v>
      </c>
      <c r="C3" s="854" t="s">
        <v>797</v>
      </c>
      <c r="D3" s="853">
        <f>SUMIF('数据-汇总表'!$C19:$C33,D1,'数据-汇总表'!$E19:$E33)</f>
        <v>0</v>
      </c>
      <c r="E3" s="1852" t="s">
        <v>2077</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83" t="s">
        <v>799</v>
      </c>
      <c r="D4" s="3384"/>
      <c r="E4" s="3383" t="s">
        <v>800</v>
      </c>
      <c r="F4" s="3384"/>
      <c r="G4" s="3383" t="s">
        <v>801</v>
      </c>
      <c r="H4" s="3384"/>
      <c r="I4" s="3383" t="s">
        <v>802</v>
      </c>
      <c r="J4" s="3384"/>
      <c r="K4" s="516" t="s">
        <v>803</v>
      </c>
      <c r="L4" s="2137"/>
      <c r="M4" s="2138"/>
      <c r="N4" s="2138"/>
      <c r="O4" s="2138"/>
      <c r="P4" s="3385" t="s">
        <v>804</v>
      </c>
      <c r="Q4" s="3386"/>
      <c r="R4" s="3371" t="s">
        <v>800</v>
      </c>
      <c r="S4" s="3372"/>
      <c r="T4" s="3371" t="s">
        <v>801</v>
      </c>
      <c r="U4" s="3372"/>
      <c r="V4" s="3391" t="s">
        <v>802</v>
      </c>
      <c r="W4" s="3391"/>
      <c r="X4" s="1570"/>
      <c r="Y4" s="3371" t="s">
        <v>804</v>
      </c>
      <c r="Z4" s="3372"/>
      <c r="AA4" s="3366" t="s">
        <v>800</v>
      </c>
      <c r="AB4" s="3367" t="s">
        <v>801</v>
      </c>
      <c r="AC4" s="3366" t="s">
        <v>802</v>
      </c>
    </row>
    <row r="5" spans="1:29" ht="15">
      <c r="A5" s="517"/>
      <c r="B5" s="518"/>
      <c r="C5" s="3394" t="s">
        <v>2932</v>
      </c>
      <c r="D5" s="3395"/>
      <c r="E5" s="3394" t="s">
        <v>2933</v>
      </c>
      <c r="F5" s="3395"/>
      <c r="G5" s="3394" t="s">
        <v>2934</v>
      </c>
      <c r="H5" s="3395"/>
      <c r="I5" s="3394" t="s">
        <v>2935</v>
      </c>
      <c r="J5" s="3395"/>
      <c r="K5" s="516"/>
      <c r="L5" s="2137"/>
      <c r="M5" s="2138"/>
      <c r="N5" s="2138"/>
      <c r="O5" s="2138"/>
      <c r="P5" s="3387"/>
      <c r="Q5" s="3388"/>
      <c r="R5" s="3373"/>
      <c r="S5" s="3374"/>
      <c r="T5" s="3373"/>
      <c r="U5" s="3374"/>
      <c r="V5" s="3391"/>
      <c r="W5" s="3391"/>
      <c r="X5" s="1570"/>
      <c r="Y5" s="3373"/>
      <c r="Z5" s="3374"/>
      <c r="AA5" s="3367"/>
      <c r="AB5" s="3367"/>
      <c r="AC5" s="3367"/>
    </row>
    <row r="6" spans="1:29" ht="15.75" thickBot="1">
      <c r="A6" s="519"/>
      <c r="B6" s="520"/>
      <c r="C6" s="3392" t="s">
        <v>2936</v>
      </c>
      <c r="D6" s="3393"/>
      <c r="E6" s="3396" t="s">
        <v>2936</v>
      </c>
      <c r="F6" s="3397"/>
      <c r="G6" s="3392" t="s">
        <v>2936</v>
      </c>
      <c r="H6" s="3393"/>
      <c r="I6" s="3392" t="s">
        <v>2936</v>
      </c>
      <c r="J6" s="3393"/>
      <c r="K6" s="516" t="s">
        <v>529</v>
      </c>
      <c r="L6" s="2137"/>
      <c r="M6" s="2138"/>
      <c r="N6" s="2138"/>
      <c r="O6" s="2138"/>
      <c r="P6" s="3389"/>
      <c r="Q6" s="3390"/>
      <c r="R6" s="3373"/>
      <c r="S6" s="3374"/>
      <c r="T6" s="3375"/>
      <c r="U6" s="3376"/>
      <c r="V6" s="3391"/>
      <c r="W6" s="3391"/>
      <c r="X6" s="1570"/>
      <c r="Y6" s="3375"/>
      <c r="Z6" s="3376"/>
      <c r="AA6" s="3368"/>
      <c r="AB6" s="3368"/>
      <c r="AC6" s="3368"/>
    </row>
    <row r="7" spans="1:29" s="1222" customFormat="1" ht="15.75" thickBot="1">
      <c r="A7" s="2942"/>
      <c r="B7" s="2949" t="s">
        <v>530</v>
      </c>
      <c r="C7" s="521">
        <f>'数据-取费表'!B2</f>
        <v>43035</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69" t="s">
        <v>531</v>
      </c>
      <c r="Q7" s="3378"/>
      <c r="R7" s="1571" t="s">
        <v>8</v>
      </c>
      <c r="S7" s="1572">
        <f t="shared" ref="S7:S14" si="0">F7</f>
        <v>0</v>
      </c>
      <c r="T7" s="1571" t="s">
        <v>8</v>
      </c>
      <c r="U7" s="1572">
        <f t="shared" ref="U7:U14" si="1">H7</f>
        <v>0</v>
      </c>
      <c r="V7" s="1571" t="s">
        <v>8</v>
      </c>
      <c r="W7" s="1572">
        <f t="shared" ref="W7:W14" si="2">J7</f>
        <v>0</v>
      </c>
      <c r="X7" s="1573"/>
      <c r="Y7" s="3369" t="s">
        <v>531</v>
      </c>
      <c r="Z7" s="3370"/>
      <c r="AA7" s="1574" t="e">
        <f>D7/F7</f>
        <v>#DIV/0!</v>
      </c>
      <c r="AB7" s="1574" t="e">
        <f>D7/H7</f>
        <v>#DIV/0!</v>
      </c>
      <c r="AC7" s="1574" t="e">
        <f>D7/J7</f>
        <v>#DIV/0!</v>
      </c>
    </row>
    <row r="8" spans="1:29" s="1222" customFormat="1" ht="15.75" thickBot="1">
      <c r="A8" s="2943"/>
      <c r="B8" s="2950" t="s">
        <v>532</v>
      </c>
      <c r="C8" s="527" t="s">
        <v>577</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69" t="s">
        <v>534</v>
      </c>
      <c r="Q8" s="3370"/>
      <c r="R8" s="1571" t="s">
        <v>8</v>
      </c>
      <c r="S8" s="1572">
        <f t="shared" si="0"/>
        <v>0</v>
      </c>
      <c r="T8" s="1571" t="s">
        <v>8</v>
      </c>
      <c r="U8" s="1572">
        <f t="shared" si="1"/>
        <v>0</v>
      </c>
      <c r="V8" s="1571" t="s">
        <v>8</v>
      </c>
      <c r="W8" s="1572">
        <f t="shared" si="2"/>
        <v>0</v>
      </c>
      <c r="X8" s="1573"/>
      <c r="Y8" s="3369" t="s">
        <v>534</v>
      </c>
      <c r="Z8" s="3370"/>
      <c r="AA8" s="1574" t="e">
        <f t="shared" ref="AA8:AA36" si="3">D8/F8</f>
        <v>#DIV/0!</v>
      </c>
      <c r="AB8" s="1574" t="e">
        <f t="shared" ref="AB8:AB36" si="4">D8/H8</f>
        <v>#DIV/0!</v>
      </c>
      <c r="AC8" s="1574" t="e">
        <f t="shared" ref="AC8:AC36" si="5">D8/J8</f>
        <v>#DIV/0!</v>
      </c>
    </row>
    <row r="9" spans="1:29" s="1222" customFormat="1" ht="15">
      <c r="A9" s="2944"/>
      <c r="B9" s="2951" t="s">
        <v>2762</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77" t="s">
        <v>536</v>
      </c>
      <c r="Q9" s="1153" t="str">
        <f t="shared" ref="Q9:Q14" si="6">B9</f>
        <v>用途</v>
      </c>
      <c r="R9" s="1571" t="s">
        <v>8</v>
      </c>
      <c r="S9" s="1572">
        <f t="shared" si="0"/>
        <v>100</v>
      </c>
      <c r="T9" s="1571" t="s">
        <v>8</v>
      </c>
      <c r="U9" s="1572">
        <f t="shared" si="1"/>
        <v>100</v>
      </c>
      <c r="V9" s="1571" t="s">
        <v>8</v>
      </c>
      <c r="W9" s="1572">
        <f t="shared" si="2"/>
        <v>100</v>
      </c>
      <c r="X9" s="1573"/>
      <c r="Y9" s="3334"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77"/>
      <c r="Q10" s="1153" t="str">
        <f t="shared" si="6"/>
        <v>土地使用年限（年）</v>
      </c>
      <c r="R10" s="1571" t="s">
        <v>8</v>
      </c>
      <c r="S10" s="1572">
        <f t="shared" si="0"/>
        <v>100</v>
      </c>
      <c r="T10" s="1571" t="s">
        <v>8</v>
      </c>
      <c r="U10" s="1572">
        <f t="shared" si="1"/>
        <v>100</v>
      </c>
      <c r="V10" s="1571" t="s">
        <v>8</v>
      </c>
      <c r="W10" s="1572">
        <f t="shared" si="2"/>
        <v>100</v>
      </c>
      <c r="X10" s="1573"/>
      <c r="Y10" s="3334"/>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77"/>
      <c r="Q11" s="1153">
        <f t="shared" si="6"/>
        <v>111</v>
      </c>
      <c r="R11" s="1571" t="s">
        <v>8</v>
      </c>
      <c r="S11" s="1572">
        <f t="shared" si="0"/>
        <v>100</v>
      </c>
      <c r="T11" s="1571" t="s">
        <v>8</v>
      </c>
      <c r="U11" s="1572">
        <f t="shared" si="1"/>
        <v>100</v>
      </c>
      <c r="V11" s="1571" t="s">
        <v>8</v>
      </c>
      <c r="W11" s="1572">
        <f t="shared" si="2"/>
        <v>100</v>
      </c>
      <c r="X11" s="1573"/>
      <c r="Y11" s="3334"/>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77"/>
      <c r="Q12" s="1153">
        <f t="shared" si="6"/>
        <v>111</v>
      </c>
      <c r="R12" s="1571" t="s">
        <v>8</v>
      </c>
      <c r="S12" s="1572">
        <f t="shared" si="0"/>
        <v>100</v>
      </c>
      <c r="T12" s="1571" t="s">
        <v>8</v>
      </c>
      <c r="U12" s="1572">
        <f t="shared" si="1"/>
        <v>100</v>
      </c>
      <c r="V12" s="1571" t="s">
        <v>8</v>
      </c>
      <c r="W12" s="1572">
        <f t="shared" si="2"/>
        <v>100</v>
      </c>
      <c r="X12" s="1573"/>
      <c r="Y12" s="3334"/>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77"/>
      <c r="Q13" s="1153">
        <f t="shared" si="6"/>
        <v>111</v>
      </c>
      <c r="R13" s="1571" t="s">
        <v>8</v>
      </c>
      <c r="S13" s="1572">
        <f t="shared" si="0"/>
        <v>100</v>
      </c>
      <c r="T13" s="1571" t="s">
        <v>8</v>
      </c>
      <c r="U13" s="1572">
        <f t="shared" si="1"/>
        <v>100</v>
      </c>
      <c r="V13" s="1571" t="s">
        <v>8</v>
      </c>
      <c r="W13" s="1572">
        <f t="shared" si="2"/>
        <v>100</v>
      </c>
      <c r="X13" s="1573"/>
      <c r="Y13" s="3334"/>
      <c r="Z13" s="1152">
        <f t="shared" si="7"/>
        <v>111</v>
      </c>
      <c r="AA13" s="1574">
        <f t="shared" si="3"/>
        <v>1</v>
      </c>
      <c r="AB13" s="1574">
        <f t="shared" si="4"/>
        <v>1</v>
      </c>
      <c r="AC13" s="1574">
        <f t="shared" si="5"/>
        <v>1</v>
      </c>
    </row>
    <row r="14" spans="1:29" ht="85.5">
      <c r="A14" s="2940" t="s">
        <v>2760</v>
      </c>
      <c r="B14" s="549" t="s">
        <v>544</v>
      </c>
      <c r="C14" s="923" t="str">
        <f>IF(B1="工业",估价对象房地状况!G4,估价对象房地状况!C6)</f>
        <v>周边路网较为密集。周边有322路、342路、589路、626路等公交线路，紧邻地铁6号线，公交便捷度较好。整体交通便捷度较好。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79" t="s">
        <v>541</v>
      </c>
      <c r="Q14" s="1575" t="str">
        <f t="shared" si="6"/>
        <v>交通便捷度</v>
      </c>
      <c r="R14" s="1576" t="s">
        <v>8</v>
      </c>
      <c r="S14" s="1577">
        <f t="shared" si="0"/>
        <v>100</v>
      </c>
      <c r="T14" s="1576" t="s">
        <v>8</v>
      </c>
      <c r="U14" s="1577">
        <f t="shared" si="1"/>
        <v>100</v>
      </c>
      <c r="V14" s="1576" t="s">
        <v>8</v>
      </c>
      <c r="W14" s="1577">
        <f t="shared" si="2"/>
        <v>100</v>
      </c>
      <c r="X14" s="1570"/>
      <c r="Y14" s="3379" t="s">
        <v>541</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80"/>
      <c r="Q15" s="1575"/>
      <c r="R15" s="1576"/>
      <c r="S15" s="1577"/>
      <c r="T15" s="1576"/>
      <c r="U15" s="1577"/>
      <c r="V15" s="1576"/>
      <c r="W15" s="1577"/>
      <c r="X15" s="1570"/>
      <c r="Y15" s="3380"/>
      <c r="Z15" s="1578"/>
      <c r="AA15" s="1579">
        <v>1</v>
      </c>
      <c r="AB15" s="1579">
        <v>1</v>
      </c>
      <c r="AC15" s="1579">
        <v>1</v>
      </c>
    </row>
    <row r="16" spans="1:29" ht="42.75">
      <c r="A16" s="517"/>
      <c r="B16" s="2631" t="s">
        <v>2550</v>
      </c>
      <c r="C16" s="874" t="str">
        <f>IF(B1="工业",估价对象房地状况!G5,估价对象房地状况!C7)</f>
        <v>周边分布银行、购物场所、餐饮等配套设施较多，公共设施状况较好。</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80"/>
      <c r="Q16" s="1575" t="str">
        <f>B16</f>
        <v>公共配套设施</v>
      </c>
      <c r="R16" s="1576" t="s">
        <v>8</v>
      </c>
      <c r="S16" s="1577">
        <f>F16</f>
        <v>100</v>
      </c>
      <c r="T16" s="1576" t="s">
        <v>8</v>
      </c>
      <c r="U16" s="1577">
        <f>H16</f>
        <v>100</v>
      </c>
      <c r="V16" s="1576" t="s">
        <v>8</v>
      </c>
      <c r="W16" s="1577">
        <f>J16</f>
        <v>100</v>
      </c>
      <c r="X16" s="1570"/>
      <c r="Y16" s="3380"/>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80"/>
      <c r="Q17" s="1575"/>
      <c r="R17" s="1576"/>
      <c r="S17" s="1577"/>
      <c r="T17" s="1576"/>
      <c r="U17" s="1577"/>
      <c r="V17" s="1576"/>
      <c r="W17" s="1577"/>
      <c r="X17" s="1570"/>
      <c r="Y17" s="3380"/>
      <c r="Z17" s="1578"/>
      <c r="AA17" s="1579">
        <v>1</v>
      </c>
      <c r="AB17" s="1579">
        <v>1</v>
      </c>
      <c r="AC17" s="1579">
        <v>1</v>
      </c>
    </row>
    <row r="18" spans="1:29" ht="28.5">
      <c r="A18" s="517"/>
      <c r="B18" s="2619" t="s">
        <v>2562</v>
      </c>
      <c r="C18" s="874" t="str">
        <f>IF(B1="工业",估价对象房地状况!G6,估价对象房地状况!C8)</f>
        <v>七通</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80"/>
      <c r="Q18" s="2607" t="str">
        <f>B18</f>
        <v>基础设施水平</v>
      </c>
      <c r="R18" s="1576" t="s">
        <v>8</v>
      </c>
      <c r="S18" s="1577">
        <f>F18</f>
        <v>100</v>
      </c>
      <c r="T18" s="1576" t="s">
        <v>8</v>
      </c>
      <c r="U18" s="1577">
        <f>H18</f>
        <v>100</v>
      </c>
      <c r="V18" s="1576" t="s">
        <v>8</v>
      </c>
      <c r="W18" s="1577">
        <f>J18</f>
        <v>100</v>
      </c>
      <c r="X18" s="2609"/>
      <c r="Y18" s="3380"/>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80"/>
      <c r="Q19" s="2607"/>
      <c r="R19" s="1576"/>
      <c r="S19" s="1577"/>
      <c r="T19" s="1576"/>
      <c r="U19" s="1577"/>
      <c r="V19" s="1576"/>
      <c r="W19" s="1577"/>
      <c r="X19" s="2609"/>
      <c r="Y19" s="3380"/>
      <c r="Z19" s="2608"/>
      <c r="AA19" s="1579">
        <v>1</v>
      </c>
      <c r="AB19" s="1579">
        <v>1</v>
      </c>
      <c r="AC19" s="1579">
        <v>1</v>
      </c>
    </row>
    <row r="20" spans="1:29" ht="57">
      <c r="A20" s="517"/>
      <c r="B20" s="562" t="s">
        <v>805</v>
      </c>
      <c r="C20" s="874" t="str">
        <f>IF(B1="工业",估价对象房地状况!G7,估价对象房地状况!C9)</f>
        <v>周边约1公里范围内人文设施较少；周边约1公里范围内有运河奥体公园等，紧邻运河，自然环境较好。综合评价，综合考虑自然及人文环境较好。</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80"/>
      <c r="Q20" s="1575" t="str">
        <f>B20</f>
        <v>自然及人文环境</v>
      </c>
      <c r="R20" s="1576" t="s">
        <v>8</v>
      </c>
      <c r="S20" s="1577">
        <f>F20</f>
        <v>100</v>
      </c>
      <c r="T20" s="1576" t="s">
        <v>8</v>
      </c>
      <c r="U20" s="1577">
        <f>H20</f>
        <v>100</v>
      </c>
      <c r="V20" s="1576" t="s">
        <v>8</v>
      </c>
      <c r="W20" s="1577">
        <f>J20</f>
        <v>100</v>
      </c>
      <c r="X20" s="1570"/>
      <c r="Y20" s="3380"/>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80"/>
      <c r="Q21" s="1575"/>
      <c r="R21" s="1576"/>
      <c r="S21" s="1577"/>
      <c r="T21" s="1576"/>
      <c r="U21" s="1577"/>
      <c r="V21" s="1576"/>
      <c r="W21" s="1577"/>
      <c r="X21" s="1570"/>
      <c r="Y21" s="3380"/>
      <c r="Z21" s="1578"/>
      <c r="AA21" s="1579">
        <v>1</v>
      </c>
      <c r="AB21" s="1579">
        <v>1</v>
      </c>
      <c r="AC21" s="1579">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80"/>
      <c r="Q22" s="1575" t="str">
        <f>B22</f>
        <v>楼层</v>
      </c>
      <c r="R22" s="1576" t="s">
        <v>8</v>
      </c>
      <c r="S22" s="1577">
        <f>F22</f>
        <v>100</v>
      </c>
      <c r="T22" s="1576" t="s">
        <v>8</v>
      </c>
      <c r="U22" s="1577">
        <f>H22</f>
        <v>100</v>
      </c>
      <c r="V22" s="1576" t="s">
        <v>8</v>
      </c>
      <c r="W22" s="1577">
        <f>J22</f>
        <v>100</v>
      </c>
      <c r="X22" s="1570"/>
      <c r="Y22" s="3380"/>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80"/>
      <c r="Q23" s="1575">
        <f>B23</f>
        <v>111</v>
      </c>
      <c r="R23" s="1576" t="s">
        <v>8</v>
      </c>
      <c r="S23" s="1577">
        <f>F23</f>
        <v>100</v>
      </c>
      <c r="T23" s="1576" t="s">
        <v>8</v>
      </c>
      <c r="U23" s="1577">
        <f>H23</f>
        <v>100</v>
      </c>
      <c r="V23" s="1576" t="s">
        <v>8</v>
      </c>
      <c r="W23" s="1577">
        <f>J23</f>
        <v>100</v>
      </c>
      <c r="X23" s="1570"/>
      <c r="Y23" s="3380"/>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80"/>
      <c r="Q24" s="1575">
        <f t="shared" ref="Q24:Q36" si="11">B24</f>
        <v>111</v>
      </c>
      <c r="R24" s="1576" t="s">
        <v>8</v>
      </c>
      <c r="S24" s="1577">
        <f>F24</f>
        <v>100</v>
      </c>
      <c r="T24" s="1576" t="s">
        <v>8</v>
      </c>
      <c r="U24" s="1577">
        <f>H24</f>
        <v>100</v>
      </c>
      <c r="V24" s="1576" t="s">
        <v>8</v>
      </c>
      <c r="W24" s="1577">
        <f>J24</f>
        <v>100</v>
      </c>
      <c r="X24" s="1570"/>
      <c r="Y24" s="3380"/>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80"/>
      <c r="Q25" s="1153">
        <f t="shared" si="11"/>
        <v>111</v>
      </c>
      <c r="R25" s="1571" t="s">
        <v>8</v>
      </c>
      <c r="S25" s="1572">
        <f>F25</f>
        <v>100</v>
      </c>
      <c r="T25" s="1571" t="s">
        <v>8</v>
      </c>
      <c r="U25" s="1572">
        <f>H25</f>
        <v>100</v>
      </c>
      <c r="V25" s="1571" t="s">
        <v>8</v>
      </c>
      <c r="W25" s="1572">
        <f>J25</f>
        <v>100</v>
      </c>
      <c r="X25" s="1573"/>
      <c r="Y25" s="3380"/>
      <c r="Z25" s="1152">
        <f>Q25</f>
        <v>111</v>
      </c>
      <c r="AA25" s="1579">
        <f>D25/F25</f>
        <v>1</v>
      </c>
      <c r="AB25" s="1579">
        <f>D25/H25</f>
        <v>1</v>
      </c>
      <c r="AC25" s="1579">
        <f>D25/J25</f>
        <v>1</v>
      </c>
    </row>
    <row r="26" spans="1:29" ht="15">
      <c r="A26" s="2937" t="s">
        <v>2761</v>
      </c>
      <c r="B26" s="170" t="s">
        <v>807</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81"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82" t="s">
        <v>551</v>
      </c>
      <c r="Z26" s="1578" t="str">
        <f t="shared" ref="Z26:Z36" si="15">Q26</f>
        <v>配套类型</v>
      </c>
      <c r="AA26" s="1579">
        <f t="shared" si="3"/>
        <v>1</v>
      </c>
      <c r="AB26" s="1579">
        <f t="shared" si="4"/>
        <v>1</v>
      </c>
      <c r="AC26" s="1579">
        <f t="shared" si="5"/>
        <v>1</v>
      </c>
    </row>
    <row r="27" spans="1:29" s="1341" customFormat="1" ht="15">
      <c r="A27" s="931"/>
      <c r="B27" s="584" t="s">
        <v>808</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82"/>
      <c r="Q27" s="1608" t="str">
        <f t="shared" si="11"/>
        <v>项目停车位配比</v>
      </c>
      <c r="R27" s="1580" t="s">
        <v>8</v>
      </c>
      <c r="S27" s="1581">
        <f t="shared" si="12"/>
        <v>100</v>
      </c>
      <c r="T27" s="1580" t="s">
        <v>8</v>
      </c>
      <c r="U27" s="1581">
        <f t="shared" si="13"/>
        <v>100</v>
      </c>
      <c r="V27" s="1580" t="s">
        <v>8</v>
      </c>
      <c r="W27" s="1581">
        <f t="shared" si="14"/>
        <v>100</v>
      </c>
      <c r="X27" s="1582"/>
      <c r="Y27" s="3382"/>
      <c r="Z27" s="1583" t="str">
        <f t="shared" si="15"/>
        <v>项目停车位配比</v>
      </c>
      <c r="AA27" s="1579">
        <f t="shared" si="3"/>
        <v>1</v>
      </c>
      <c r="AB27" s="1579">
        <f t="shared" si="4"/>
        <v>1</v>
      </c>
      <c r="AC27" s="1579">
        <f t="shared" si="5"/>
        <v>1</v>
      </c>
    </row>
    <row r="28" spans="1:29" ht="15">
      <c r="A28" s="933"/>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82"/>
      <c r="Q28" s="1575" t="str">
        <f t="shared" si="11"/>
        <v>公共部分装修</v>
      </c>
      <c r="R28" s="1576" t="s">
        <v>8</v>
      </c>
      <c r="S28" s="1577">
        <f t="shared" si="12"/>
        <v>100</v>
      </c>
      <c r="T28" s="1576" t="s">
        <v>8</v>
      </c>
      <c r="U28" s="1577">
        <f t="shared" si="13"/>
        <v>100</v>
      </c>
      <c r="V28" s="1576" t="s">
        <v>8</v>
      </c>
      <c r="W28" s="1577">
        <f t="shared" si="14"/>
        <v>100</v>
      </c>
      <c r="X28" s="1570"/>
      <c r="Y28" s="3382"/>
      <c r="Z28" s="1578" t="str">
        <f t="shared" si="15"/>
        <v>公共部分装修</v>
      </c>
      <c r="AA28" s="1579">
        <f t="shared" si="3"/>
        <v>1</v>
      </c>
      <c r="AB28" s="1579">
        <f t="shared" si="4"/>
        <v>1</v>
      </c>
      <c r="AC28" s="1579">
        <f t="shared" si="5"/>
        <v>1</v>
      </c>
    </row>
    <row r="29" spans="1:29" ht="15">
      <c r="A29" s="933"/>
      <c r="B29" s="584" t="s">
        <v>810</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82"/>
      <c r="Q29" s="1575" t="str">
        <f t="shared" si="11"/>
        <v>成新率</v>
      </c>
      <c r="R29" s="1576" t="s">
        <v>8</v>
      </c>
      <c r="S29" s="1577" t="e">
        <f t="shared" si="12"/>
        <v>#N/A</v>
      </c>
      <c r="T29" s="1576" t="s">
        <v>8</v>
      </c>
      <c r="U29" s="1577" t="e">
        <f t="shared" si="13"/>
        <v>#N/A</v>
      </c>
      <c r="V29" s="1576" t="s">
        <v>8</v>
      </c>
      <c r="W29" s="1577" t="e">
        <f t="shared" si="14"/>
        <v>#N/A</v>
      </c>
      <c r="X29" s="1570"/>
      <c r="Y29" s="3382"/>
      <c r="Z29" s="1578" t="str">
        <f t="shared" si="15"/>
        <v>成新率</v>
      </c>
      <c r="AA29" s="1579" t="e">
        <f t="shared" si="3"/>
        <v>#N/A</v>
      </c>
      <c r="AB29" s="1579" t="e">
        <f t="shared" si="4"/>
        <v>#N/A</v>
      </c>
      <c r="AC29" s="1579" t="e">
        <f t="shared" si="5"/>
        <v>#N/A</v>
      </c>
    </row>
    <row r="30" spans="1:29" ht="15">
      <c r="A30" s="933"/>
      <c r="B30" s="584" t="s">
        <v>811</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82"/>
      <c r="Q30" s="1575" t="str">
        <f t="shared" si="11"/>
        <v>物业等级</v>
      </c>
      <c r="R30" s="1576" t="s">
        <v>8</v>
      </c>
      <c r="S30" s="1577">
        <f t="shared" si="12"/>
        <v>100</v>
      </c>
      <c r="T30" s="1576" t="s">
        <v>8</v>
      </c>
      <c r="U30" s="1577">
        <f t="shared" si="13"/>
        <v>100</v>
      </c>
      <c r="V30" s="1576" t="s">
        <v>8</v>
      </c>
      <c r="W30" s="1577">
        <f t="shared" si="14"/>
        <v>100</v>
      </c>
      <c r="X30" s="1570"/>
      <c r="Y30" s="3382"/>
      <c r="Z30" s="1578" t="str">
        <f t="shared" si="15"/>
        <v>物业等级</v>
      </c>
      <c r="AA30" s="1579">
        <f t="shared" si="3"/>
        <v>1</v>
      </c>
      <c r="AB30" s="1579">
        <f t="shared" si="4"/>
        <v>1</v>
      </c>
      <c r="AC30" s="1579">
        <f t="shared" si="5"/>
        <v>1</v>
      </c>
    </row>
    <row r="31" spans="1:29" s="1222" customFormat="1" ht="15">
      <c r="A31" s="935"/>
      <c r="B31" s="584" t="s">
        <v>812</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82"/>
      <c r="Q31" s="1153" t="str">
        <f t="shared" si="11"/>
        <v>停车位面积</v>
      </c>
      <c r="R31" s="1571" t="s">
        <v>8</v>
      </c>
      <c r="S31" s="1572" t="e">
        <f t="shared" si="12"/>
        <v>#N/A</v>
      </c>
      <c r="T31" s="1571" t="s">
        <v>8</v>
      </c>
      <c r="U31" s="1572" t="e">
        <f t="shared" si="13"/>
        <v>#N/A</v>
      </c>
      <c r="V31" s="1571" t="s">
        <v>8</v>
      </c>
      <c r="W31" s="1572" t="e">
        <f t="shared" si="14"/>
        <v>#N/A</v>
      </c>
      <c r="X31" s="1573"/>
      <c r="Y31" s="3382"/>
      <c r="Z31" s="1152" t="str">
        <f t="shared" si="15"/>
        <v>停车位面积</v>
      </c>
      <c r="AA31" s="1574" t="e">
        <f t="shared" si="3"/>
        <v>#N/A</v>
      </c>
      <c r="AB31" s="1574" t="e">
        <f t="shared" si="4"/>
        <v>#N/A</v>
      </c>
      <c r="AC31" s="1574" t="e">
        <f t="shared" si="5"/>
        <v>#N/A</v>
      </c>
    </row>
    <row r="32" spans="1:29" ht="15">
      <c r="A32" s="933"/>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82" t="s">
        <v>551</v>
      </c>
      <c r="Q32" s="1575" t="str">
        <f t="shared" si="11"/>
        <v>车位类型</v>
      </c>
      <c r="R32" s="1576" t="s">
        <v>8</v>
      </c>
      <c r="S32" s="1577">
        <f t="shared" si="12"/>
        <v>100</v>
      </c>
      <c r="T32" s="1576" t="s">
        <v>8</v>
      </c>
      <c r="U32" s="1577">
        <f t="shared" si="13"/>
        <v>100</v>
      </c>
      <c r="V32" s="1576" t="s">
        <v>8</v>
      </c>
      <c r="W32" s="1577">
        <f t="shared" si="14"/>
        <v>100</v>
      </c>
      <c r="X32" s="1570"/>
      <c r="Y32" s="3382" t="s">
        <v>551</v>
      </c>
      <c r="Z32" s="1578" t="str">
        <f t="shared" si="15"/>
        <v>车位类型</v>
      </c>
      <c r="AA32" s="1579">
        <f t="shared" si="3"/>
        <v>1</v>
      </c>
      <c r="AB32" s="1579">
        <f t="shared" si="4"/>
        <v>1</v>
      </c>
      <c r="AC32" s="1579">
        <f t="shared" si="5"/>
        <v>1</v>
      </c>
    </row>
    <row r="33" spans="1:29" ht="15">
      <c r="A33" s="933"/>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82"/>
      <c r="Q33" s="1575" t="str">
        <f t="shared" si="11"/>
        <v>是否直接入户</v>
      </c>
      <c r="R33" s="1576" t="s">
        <v>8</v>
      </c>
      <c r="S33" s="1577">
        <f t="shared" si="12"/>
        <v>100</v>
      </c>
      <c r="T33" s="1576" t="s">
        <v>8</v>
      </c>
      <c r="U33" s="1577">
        <f t="shared" si="13"/>
        <v>100</v>
      </c>
      <c r="V33" s="1576" t="s">
        <v>8</v>
      </c>
      <c r="W33" s="1577">
        <f t="shared" si="14"/>
        <v>100</v>
      </c>
      <c r="X33" s="1570"/>
      <c r="Y33" s="3382"/>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82"/>
      <c r="Q34" s="1575">
        <f t="shared" si="11"/>
        <v>111</v>
      </c>
      <c r="R34" s="1576" t="s">
        <v>8</v>
      </c>
      <c r="S34" s="1577">
        <f t="shared" si="12"/>
        <v>100</v>
      </c>
      <c r="T34" s="1576" t="s">
        <v>8</v>
      </c>
      <c r="U34" s="1577">
        <f t="shared" si="13"/>
        <v>100</v>
      </c>
      <c r="V34" s="1576" t="s">
        <v>8</v>
      </c>
      <c r="W34" s="1577">
        <f t="shared" si="14"/>
        <v>100</v>
      </c>
      <c r="X34" s="1570"/>
      <c r="Y34" s="3382"/>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82"/>
      <c r="Q35" s="1608">
        <f t="shared" si="11"/>
        <v>111</v>
      </c>
      <c r="R35" s="1580" t="s">
        <v>8</v>
      </c>
      <c r="S35" s="1581">
        <f t="shared" si="12"/>
        <v>100</v>
      </c>
      <c r="T35" s="1580" t="s">
        <v>8</v>
      </c>
      <c r="U35" s="1581">
        <f t="shared" si="13"/>
        <v>100</v>
      </c>
      <c r="V35" s="1580" t="s">
        <v>8</v>
      </c>
      <c r="W35" s="1581">
        <f t="shared" si="14"/>
        <v>100</v>
      </c>
      <c r="X35" s="1582"/>
      <c r="Y35" s="3382"/>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82"/>
      <c r="Q36" s="1575">
        <f t="shared" si="11"/>
        <v>111</v>
      </c>
      <c r="R36" s="1576" t="s">
        <v>8</v>
      </c>
      <c r="S36" s="1577">
        <f t="shared" si="12"/>
        <v>100</v>
      </c>
      <c r="T36" s="1576" t="s">
        <v>8</v>
      </c>
      <c r="U36" s="1577">
        <f t="shared" si="13"/>
        <v>100</v>
      </c>
      <c r="V36" s="1576" t="s">
        <v>8</v>
      </c>
      <c r="W36" s="1577">
        <f t="shared" si="14"/>
        <v>100</v>
      </c>
      <c r="X36" s="1570"/>
      <c r="Y36" s="3382"/>
      <c r="Z36" s="1578">
        <f t="shared" si="15"/>
        <v>111</v>
      </c>
      <c r="AA36" s="1579">
        <f t="shared" si="3"/>
        <v>1</v>
      </c>
      <c r="AB36" s="1579">
        <f t="shared" si="4"/>
        <v>1</v>
      </c>
      <c r="AC36" s="1579">
        <f t="shared" si="5"/>
        <v>1</v>
      </c>
    </row>
    <row r="37" spans="1:29" ht="15">
      <c r="A37" s="1850" t="s">
        <v>2078</v>
      </c>
      <c r="B37" s="1851" t="s">
        <v>2079</v>
      </c>
      <c r="C37" s="2655" t="s">
        <v>1</v>
      </c>
      <c r="D37" s="2656"/>
      <c r="E37" s="2657"/>
      <c r="F37" s="2658"/>
      <c r="G37" s="2659"/>
      <c r="H37" s="2660"/>
      <c r="I37" s="2657"/>
      <c r="J37" s="2660"/>
      <c r="K37" s="1614"/>
      <c r="L37" s="2148"/>
      <c r="M37" s="2149"/>
      <c r="N37" s="2138"/>
      <c r="O37" s="2149"/>
      <c r="P37" s="3377" t="str">
        <f>A37</f>
        <v>成交单价</v>
      </c>
      <c r="Q37" s="3377"/>
      <c r="R37" s="3463">
        <f>E37</f>
        <v>0</v>
      </c>
      <c r="S37" s="3463"/>
      <c r="T37" s="3463">
        <f>G37</f>
        <v>0</v>
      </c>
      <c r="U37" s="3463"/>
      <c r="V37" s="3463">
        <f>I37</f>
        <v>0</v>
      </c>
      <c r="W37" s="3463"/>
      <c r="X37" s="1562"/>
      <c r="Y37" s="1584"/>
      <c r="Z37" s="1562"/>
      <c r="AA37" s="1562"/>
      <c r="AB37" s="1562"/>
      <c r="AC37" s="1562"/>
    </row>
    <row r="38" spans="1:29" ht="15.75" thickBot="1">
      <c r="A38" s="617" t="s">
        <v>2766</v>
      </c>
      <c r="B38" s="890"/>
      <c r="C38" s="2661" t="e">
        <f>R39</f>
        <v>#DIV/0!</v>
      </c>
      <c r="D38" s="2662"/>
      <c r="E38" s="2663" t="e">
        <f>R38</f>
        <v>#DIV/0!</v>
      </c>
      <c r="F38" s="2663"/>
      <c r="G38" s="2661" t="e">
        <f>T38</f>
        <v>#DIV/0!</v>
      </c>
      <c r="H38" s="2662"/>
      <c r="I38" s="2663" t="e">
        <f>V38</f>
        <v>#DIV/0!</v>
      </c>
      <c r="J38" s="2662"/>
      <c r="K38" s="1615"/>
      <c r="L38" s="2148"/>
      <c r="M38" s="2149"/>
      <c r="N38" s="2149"/>
      <c r="O38" s="2149"/>
      <c r="P38" s="3377" t="str">
        <f>A38</f>
        <v>比较价格（元/平方米）</v>
      </c>
      <c r="Q38" s="3377"/>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562"/>
      <c r="Y38" s="1562"/>
      <c r="Z38" s="1562"/>
      <c r="AA38" s="1562"/>
      <c r="AB38" s="1562"/>
      <c r="AC38" s="1562"/>
    </row>
    <row r="39" spans="1:29" ht="15.75" thickBot="1">
      <c r="A39" s="623" t="s">
        <v>2938</v>
      </c>
      <c r="B39" s="624"/>
      <c r="C39" s="2664" t="e">
        <f>R39</f>
        <v>#DIV/0!</v>
      </c>
      <c r="D39" s="2664"/>
      <c r="E39" s="2664"/>
      <c r="F39" s="2664"/>
      <c r="G39" s="2664"/>
      <c r="H39" s="2664"/>
      <c r="I39" s="2664"/>
      <c r="J39" s="2664"/>
      <c r="K39" s="1616"/>
      <c r="L39" s="2148"/>
      <c r="M39" s="2149"/>
      <c r="N39" s="2149"/>
      <c r="O39" s="2149"/>
      <c r="P39" s="3398" t="str">
        <f>A39</f>
        <v>估价对象XX用房的比较价格（楼面单价，元/平方米）</v>
      </c>
      <c r="Q39" s="3399"/>
      <c r="R39" s="3465" t="e">
        <f>IF(F1="售价",ROUND(AVERAGE(R38:V38),0),ROUND(AVERAGE(R38:V38),1))</f>
        <v>#DIV/0!</v>
      </c>
      <c r="S39" s="3465"/>
      <c r="T39" s="3465"/>
      <c r="U39" s="3465"/>
      <c r="V39" s="3465"/>
      <c r="W39" s="3465"/>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530</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576</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532</v>
      </c>
      <c r="B51" s="650"/>
      <c r="C51" s="662" t="s">
        <v>577</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2561</v>
      </c>
      <c r="C65" s="710" t="s">
        <v>580</v>
      </c>
      <c r="D65" s="710" t="s">
        <v>581</v>
      </c>
      <c r="E65" s="710" t="s">
        <v>582</v>
      </c>
      <c r="F65" s="710" t="s">
        <v>583</v>
      </c>
      <c r="G65" s="710" t="s">
        <v>584</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2562</v>
      </c>
      <c r="C67" s="2626" t="s">
        <v>2563</v>
      </c>
      <c r="D67" s="2626" t="s">
        <v>2564</v>
      </c>
      <c r="E67" s="2626" t="s">
        <v>2565</v>
      </c>
      <c r="F67" s="2626" t="s">
        <v>2566</v>
      </c>
      <c r="G67" s="2626" t="s">
        <v>2567</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710" t="s">
        <v>580</v>
      </c>
      <c r="D69" s="710" t="s">
        <v>581</v>
      </c>
      <c r="E69" s="710" t="s">
        <v>582</v>
      </c>
      <c r="F69" s="710" t="s">
        <v>583</v>
      </c>
      <c r="G69" s="710" t="s">
        <v>584</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746</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552</v>
      </c>
      <c r="B79" s="667" t="s">
        <v>815</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816</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752</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820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821</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C37</f>
        <v>#DIV/0!</v>
      </c>
      <c r="C3" s="854" t="s">
        <v>797</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83" t="s">
        <v>799</v>
      </c>
      <c r="D4" s="3384"/>
      <c r="E4" s="3407" t="s">
        <v>800</v>
      </c>
      <c r="F4" s="3408"/>
      <c r="G4" s="3383" t="s">
        <v>801</v>
      </c>
      <c r="H4" s="3384"/>
      <c r="I4" s="3383" t="s">
        <v>802</v>
      </c>
      <c r="J4" s="3384"/>
      <c r="K4" s="516" t="s">
        <v>803</v>
      </c>
      <c r="L4" s="2137"/>
      <c r="M4" s="2138"/>
      <c r="N4" s="2138"/>
      <c r="O4" s="2138"/>
      <c r="P4" s="3385" t="s">
        <v>804</v>
      </c>
      <c r="Q4" s="3386"/>
      <c r="R4" s="3371" t="s">
        <v>800</v>
      </c>
      <c r="S4" s="3372"/>
      <c r="T4" s="3371" t="s">
        <v>801</v>
      </c>
      <c r="U4" s="3372"/>
      <c r="V4" s="3391" t="s">
        <v>802</v>
      </c>
      <c r="W4" s="3391"/>
      <c r="X4" s="1570"/>
      <c r="Y4" s="3371" t="s">
        <v>804</v>
      </c>
      <c r="Z4" s="3372"/>
      <c r="AA4" s="3366" t="s">
        <v>800</v>
      </c>
      <c r="AB4" s="3367" t="s">
        <v>801</v>
      </c>
      <c r="AC4" s="3366" t="s">
        <v>802</v>
      </c>
    </row>
    <row r="5" spans="1:29" ht="15">
      <c r="A5" s="517"/>
      <c r="B5" s="518"/>
      <c r="C5" s="3394" t="s">
        <v>2932</v>
      </c>
      <c r="D5" s="3395"/>
      <c r="E5" s="3409" t="s">
        <v>2933</v>
      </c>
      <c r="F5" s="3410"/>
      <c r="G5" s="3394" t="s">
        <v>2934</v>
      </c>
      <c r="H5" s="3395"/>
      <c r="I5" s="3394" t="s">
        <v>2935</v>
      </c>
      <c r="J5" s="3395"/>
      <c r="K5" s="516"/>
      <c r="L5" s="2137"/>
      <c r="M5" s="2138"/>
      <c r="N5" s="2138"/>
      <c r="O5" s="2138"/>
      <c r="P5" s="3387"/>
      <c r="Q5" s="3388"/>
      <c r="R5" s="3373"/>
      <c r="S5" s="3374"/>
      <c r="T5" s="3373"/>
      <c r="U5" s="3374"/>
      <c r="V5" s="3391"/>
      <c r="W5" s="3391"/>
      <c r="X5" s="1570"/>
      <c r="Y5" s="3373"/>
      <c r="Z5" s="3374"/>
      <c r="AA5" s="3367"/>
      <c r="AB5" s="3367"/>
      <c r="AC5" s="3367"/>
    </row>
    <row r="6" spans="1:29" ht="15.75" thickBot="1">
      <c r="A6" s="519"/>
      <c r="B6" s="520"/>
      <c r="C6" s="3392" t="s">
        <v>2936</v>
      </c>
      <c r="D6" s="3393"/>
      <c r="E6" s="3411" t="s">
        <v>2936</v>
      </c>
      <c r="F6" s="3412"/>
      <c r="G6" s="3392" t="s">
        <v>2936</v>
      </c>
      <c r="H6" s="3393"/>
      <c r="I6" s="3392" t="s">
        <v>2936</v>
      </c>
      <c r="J6" s="3393"/>
      <c r="K6" s="516" t="s">
        <v>529</v>
      </c>
      <c r="L6" s="2137"/>
      <c r="M6" s="2138"/>
      <c r="N6" s="2138"/>
      <c r="O6" s="2138"/>
      <c r="P6" s="3389"/>
      <c r="Q6" s="3390"/>
      <c r="R6" s="3373"/>
      <c r="S6" s="3374"/>
      <c r="T6" s="3375"/>
      <c r="U6" s="3376"/>
      <c r="V6" s="3391"/>
      <c r="W6" s="3391"/>
      <c r="X6" s="1570"/>
      <c r="Y6" s="3375"/>
      <c r="Z6" s="3376"/>
      <c r="AA6" s="3368"/>
      <c r="AB6" s="3368"/>
      <c r="AC6" s="3368"/>
    </row>
    <row r="7" spans="1:29" s="1222" customFormat="1" ht="15.75" thickBot="1">
      <c r="A7" s="2942"/>
      <c r="B7" s="2949" t="s">
        <v>530</v>
      </c>
      <c r="C7" s="521">
        <f>'数据-取费表'!B2</f>
        <v>43035</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69" t="s">
        <v>531</v>
      </c>
      <c r="Q7" s="3378"/>
      <c r="R7" s="1571" t="s">
        <v>8</v>
      </c>
      <c r="S7" s="1572">
        <f t="shared" ref="S7:S14" si="0">F7</f>
        <v>0</v>
      </c>
      <c r="T7" s="1571" t="s">
        <v>8</v>
      </c>
      <c r="U7" s="1572">
        <f t="shared" ref="U7:U14" si="1">H7</f>
        <v>0</v>
      </c>
      <c r="V7" s="1571" t="s">
        <v>8</v>
      </c>
      <c r="W7" s="1572">
        <f t="shared" ref="W7:W14" si="2">J7</f>
        <v>0</v>
      </c>
      <c r="X7" s="1573"/>
      <c r="Y7" s="3369" t="s">
        <v>531</v>
      </c>
      <c r="Z7" s="3370"/>
      <c r="AA7" s="1574" t="e">
        <f>D7/F7</f>
        <v>#DIV/0!</v>
      </c>
      <c r="AB7" s="1574" t="e">
        <f>D7/H7</f>
        <v>#DIV/0!</v>
      </c>
      <c r="AC7" s="1574" t="e">
        <f>D7/J7</f>
        <v>#DIV/0!</v>
      </c>
    </row>
    <row r="8" spans="1:29" s="1222" customFormat="1" ht="15.75" thickBot="1">
      <c r="A8" s="2943"/>
      <c r="B8" s="2950" t="s">
        <v>532</v>
      </c>
      <c r="C8" s="527" t="s">
        <v>577</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69" t="s">
        <v>534</v>
      </c>
      <c r="Q8" s="3370"/>
      <c r="R8" s="1571" t="s">
        <v>8</v>
      </c>
      <c r="S8" s="1572">
        <f t="shared" si="0"/>
        <v>0</v>
      </c>
      <c r="T8" s="1571" t="s">
        <v>8</v>
      </c>
      <c r="U8" s="1572">
        <f t="shared" si="1"/>
        <v>0</v>
      </c>
      <c r="V8" s="1571" t="s">
        <v>8</v>
      </c>
      <c r="W8" s="1572">
        <f t="shared" si="2"/>
        <v>0</v>
      </c>
      <c r="X8" s="1573"/>
      <c r="Y8" s="3369" t="s">
        <v>534</v>
      </c>
      <c r="Z8" s="3370"/>
      <c r="AA8" s="1574" t="e">
        <f t="shared" ref="AA8:AA34" si="3">D8/F8</f>
        <v>#DIV/0!</v>
      </c>
      <c r="AB8" s="1574" t="e">
        <f t="shared" ref="AB8:AB34" si="4">D8/H8</f>
        <v>#DIV/0!</v>
      </c>
      <c r="AC8" s="1574" t="e">
        <f t="shared" ref="AC8:AC34" si="5">D8/J8</f>
        <v>#DIV/0!</v>
      </c>
    </row>
    <row r="9" spans="1:29" s="1222" customFormat="1" ht="15">
      <c r="A9" s="2944"/>
      <c r="B9" s="2951" t="s">
        <v>2762</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77" t="s">
        <v>536</v>
      </c>
      <c r="Q9" s="1153" t="str">
        <f t="shared" ref="Q9:Q14" si="6">B9</f>
        <v>用途</v>
      </c>
      <c r="R9" s="1571" t="s">
        <v>8</v>
      </c>
      <c r="S9" s="1572">
        <f t="shared" si="0"/>
        <v>100</v>
      </c>
      <c r="T9" s="1571" t="s">
        <v>8</v>
      </c>
      <c r="U9" s="1572">
        <f t="shared" si="1"/>
        <v>100</v>
      </c>
      <c r="V9" s="1571" t="s">
        <v>8</v>
      </c>
      <c r="W9" s="1572">
        <f t="shared" si="2"/>
        <v>100</v>
      </c>
      <c r="X9" s="1573"/>
      <c r="Y9" s="3334"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77"/>
      <c r="Q10" s="1153" t="str">
        <f t="shared" si="6"/>
        <v>土地使用年限（年）</v>
      </c>
      <c r="R10" s="1571" t="s">
        <v>8</v>
      </c>
      <c r="S10" s="1572">
        <f t="shared" si="0"/>
        <v>100</v>
      </c>
      <c r="T10" s="1571" t="s">
        <v>8</v>
      </c>
      <c r="U10" s="1572">
        <f t="shared" si="1"/>
        <v>100</v>
      </c>
      <c r="V10" s="1571" t="s">
        <v>8</v>
      </c>
      <c r="W10" s="1572">
        <f t="shared" si="2"/>
        <v>100</v>
      </c>
      <c r="X10" s="1573"/>
      <c r="Y10" s="3334"/>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77"/>
      <c r="Q11" s="1153">
        <f t="shared" si="6"/>
        <v>111</v>
      </c>
      <c r="R11" s="1571" t="s">
        <v>8</v>
      </c>
      <c r="S11" s="1572">
        <f t="shared" si="0"/>
        <v>100</v>
      </c>
      <c r="T11" s="1571" t="s">
        <v>8</v>
      </c>
      <c r="U11" s="1572">
        <f t="shared" si="1"/>
        <v>100</v>
      </c>
      <c r="V11" s="1571" t="s">
        <v>8</v>
      </c>
      <c r="W11" s="1572">
        <f t="shared" si="2"/>
        <v>100</v>
      </c>
      <c r="X11" s="1573"/>
      <c r="Y11" s="3334"/>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77"/>
      <c r="Q12" s="1153">
        <f t="shared" si="6"/>
        <v>111</v>
      </c>
      <c r="R12" s="1571" t="s">
        <v>8</v>
      </c>
      <c r="S12" s="1572">
        <f t="shared" si="0"/>
        <v>100</v>
      </c>
      <c r="T12" s="1571" t="s">
        <v>8</v>
      </c>
      <c r="U12" s="1572">
        <f t="shared" si="1"/>
        <v>100</v>
      </c>
      <c r="V12" s="1571" t="s">
        <v>8</v>
      </c>
      <c r="W12" s="1572">
        <f t="shared" si="2"/>
        <v>100</v>
      </c>
      <c r="X12" s="1573"/>
      <c r="Y12" s="3334"/>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77"/>
      <c r="Q13" s="1153">
        <f t="shared" si="6"/>
        <v>111</v>
      </c>
      <c r="R13" s="1571" t="s">
        <v>8</v>
      </c>
      <c r="S13" s="1572">
        <f t="shared" si="0"/>
        <v>100</v>
      </c>
      <c r="T13" s="1571" t="s">
        <v>8</v>
      </c>
      <c r="U13" s="1572">
        <f t="shared" si="1"/>
        <v>100</v>
      </c>
      <c r="V13" s="1571" t="s">
        <v>8</v>
      </c>
      <c r="W13" s="1572">
        <f t="shared" si="2"/>
        <v>100</v>
      </c>
      <c r="X13" s="1573"/>
      <c r="Y13" s="3334"/>
      <c r="Z13" s="1152">
        <f t="shared" si="7"/>
        <v>111</v>
      </c>
      <c r="AA13" s="1574">
        <f t="shared" si="3"/>
        <v>1</v>
      </c>
      <c r="AB13" s="1574">
        <f t="shared" si="4"/>
        <v>1</v>
      </c>
      <c r="AC13" s="1574">
        <f t="shared" si="5"/>
        <v>1</v>
      </c>
    </row>
    <row r="14" spans="1:29" ht="85.5">
      <c r="A14" s="2940" t="s">
        <v>2760</v>
      </c>
      <c r="B14" s="166" t="s">
        <v>544</v>
      </c>
      <c r="C14" s="923" t="str">
        <f>IF(B1="工业",估价对象房地状况!G4,估价对象房地状况!C6)</f>
        <v>周边路网较为密集。周边有322路、342路、589路、626路等公交线路，紧邻地铁6号线，公交便捷度较好。整体交通便捷度较好。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79" t="s">
        <v>541</v>
      </c>
      <c r="Q14" s="1575" t="str">
        <f t="shared" si="6"/>
        <v>交通便捷度</v>
      </c>
      <c r="R14" s="1576" t="s">
        <v>8</v>
      </c>
      <c r="S14" s="1577">
        <f t="shared" si="0"/>
        <v>100</v>
      </c>
      <c r="T14" s="1576" t="s">
        <v>8</v>
      </c>
      <c r="U14" s="1577">
        <f t="shared" si="1"/>
        <v>100</v>
      </c>
      <c r="V14" s="1576" t="s">
        <v>8</v>
      </c>
      <c r="W14" s="1577">
        <f t="shared" si="2"/>
        <v>100</v>
      </c>
      <c r="X14" s="1570"/>
      <c r="Y14" s="3379"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80"/>
      <c r="Q15" s="1575"/>
      <c r="R15" s="1576"/>
      <c r="S15" s="1577"/>
      <c r="T15" s="1576"/>
      <c r="U15" s="1577"/>
      <c r="V15" s="1576"/>
      <c r="W15" s="1577"/>
      <c r="X15" s="1570"/>
      <c r="Y15" s="3380"/>
      <c r="Z15" s="1578"/>
      <c r="AA15" s="1579">
        <v>1</v>
      </c>
      <c r="AB15" s="1579">
        <v>1</v>
      </c>
      <c r="AC15" s="1579">
        <v>1</v>
      </c>
    </row>
    <row r="16" spans="1:29" ht="42.75">
      <c r="A16" s="534"/>
      <c r="B16" s="2631" t="s">
        <v>2550</v>
      </c>
      <c r="C16" s="874" t="str">
        <f>IF(B1="工业",估价对象房地状况!G5,估价对象房地状况!C7)</f>
        <v>周边分布银行、购物场所、餐饮等配套设施较多，公共设施状况较好。</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80"/>
      <c r="Q16" s="1575" t="str">
        <f>B16</f>
        <v>公共配套设施</v>
      </c>
      <c r="R16" s="1576" t="s">
        <v>8</v>
      </c>
      <c r="S16" s="1577">
        <f>F16</f>
        <v>100</v>
      </c>
      <c r="T16" s="1576" t="s">
        <v>8</v>
      </c>
      <c r="U16" s="1577">
        <f>H16</f>
        <v>100</v>
      </c>
      <c r="V16" s="1576" t="s">
        <v>8</v>
      </c>
      <c r="W16" s="1577">
        <f>J16</f>
        <v>100</v>
      </c>
      <c r="X16" s="1570"/>
      <c r="Y16" s="3380"/>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80"/>
      <c r="Q17" s="1575"/>
      <c r="R17" s="1576"/>
      <c r="S17" s="1577"/>
      <c r="T17" s="1576"/>
      <c r="U17" s="1577"/>
      <c r="V17" s="1576"/>
      <c r="W17" s="1577"/>
      <c r="X17" s="1570"/>
      <c r="Y17" s="3380"/>
      <c r="Z17" s="1578"/>
      <c r="AA17" s="1579">
        <v>1</v>
      </c>
      <c r="AB17" s="1579">
        <v>1</v>
      </c>
      <c r="AC17" s="1579">
        <v>1</v>
      </c>
    </row>
    <row r="18" spans="1:29" ht="28.5">
      <c r="A18" s="534"/>
      <c r="B18" s="2619" t="s">
        <v>2562</v>
      </c>
      <c r="C18" s="874" t="str">
        <f>IF(B1="工业",估价对象房地状况!G6,估价对象房地状况!C8)</f>
        <v>七通</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80"/>
      <c r="Q18" s="2607" t="str">
        <f>B18</f>
        <v>基础设施水平</v>
      </c>
      <c r="R18" s="1576" t="s">
        <v>8</v>
      </c>
      <c r="S18" s="1577">
        <f>F18</f>
        <v>100</v>
      </c>
      <c r="T18" s="1576" t="s">
        <v>8</v>
      </c>
      <c r="U18" s="1577">
        <f>H18</f>
        <v>100</v>
      </c>
      <c r="V18" s="1576" t="s">
        <v>8</v>
      </c>
      <c r="W18" s="1577">
        <f>J18</f>
        <v>100</v>
      </c>
      <c r="X18" s="2609"/>
      <c r="Y18" s="3380"/>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80"/>
      <c r="Q19" s="2607"/>
      <c r="R19" s="1576"/>
      <c r="S19" s="1577"/>
      <c r="T19" s="1576"/>
      <c r="U19" s="1577"/>
      <c r="V19" s="1576"/>
      <c r="W19" s="1577"/>
      <c r="X19" s="2609"/>
      <c r="Y19" s="3380"/>
      <c r="Z19" s="2608"/>
      <c r="AA19" s="1579">
        <v>1</v>
      </c>
      <c r="AB19" s="1579">
        <v>1</v>
      </c>
      <c r="AC19" s="1579">
        <v>1</v>
      </c>
    </row>
    <row r="20" spans="1:29" ht="57">
      <c r="A20" s="534"/>
      <c r="B20" s="873" t="s">
        <v>805</v>
      </c>
      <c r="C20" s="874" t="str">
        <f>IF(B1="工业",估价对象房地状况!G7,估价对象房地状况!C9)</f>
        <v>周边约1公里范围内人文设施较少；周边约1公里范围内有运河奥体公园等，紧邻运河，自然环境较好。综合评价，综合考虑自然及人文环境较好。</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80"/>
      <c r="Q20" s="1575" t="str">
        <f>B20</f>
        <v>自然及人文环境</v>
      </c>
      <c r="R20" s="1576" t="s">
        <v>8</v>
      </c>
      <c r="S20" s="1577">
        <f>F20</f>
        <v>100</v>
      </c>
      <c r="T20" s="1576" t="s">
        <v>8</v>
      </c>
      <c r="U20" s="1577">
        <f>H20</f>
        <v>100</v>
      </c>
      <c r="V20" s="1576" t="s">
        <v>8</v>
      </c>
      <c r="W20" s="1577">
        <f>J20</f>
        <v>100</v>
      </c>
      <c r="X20" s="1570"/>
      <c r="Y20" s="3380"/>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80"/>
      <c r="Q21" s="1575"/>
      <c r="R21" s="1576"/>
      <c r="S21" s="1577"/>
      <c r="T21" s="1576"/>
      <c r="U21" s="1577"/>
      <c r="V21" s="1576"/>
      <c r="W21" s="1577"/>
      <c r="X21" s="1570"/>
      <c r="Y21" s="3380"/>
      <c r="Z21" s="1578"/>
      <c r="AA21" s="1579">
        <v>1</v>
      </c>
      <c r="AB21" s="1579">
        <v>1</v>
      </c>
      <c r="AC21" s="1579">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80"/>
      <c r="Q22" s="1575" t="str">
        <f>B22</f>
        <v>楼层</v>
      </c>
      <c r="R22" s="1576" t="s">
        <v>8</v>
      </c>
      <c r="S22" s="1577">
        <f>F22</f>
        <v>100</v>
      </c>
      <c r="T22" s="1576" t="s">
        <v>8</v>
      </c>
      <c r="U22" s="1577">
        <f>H22</f>
        <v>100</v>
      </c>
      <c r="V22" s="1576" t="s">
        <v>8</v>
      </c>
      <c r="W22" s="1577">
        <f>J22</f>
        <v>100</v>
      </c>
      <c r="X22" s="1570"/>
      <c r="Y22" s="3380"/>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80"/>
      <c r="Q23" s="1575">
        <f>B23</f>
        <v>111</v>
      </c>
      <c r="R23" s="1576" t="s">
        <v>8</v>
      </c>
      <c r="S23" s="1577">
        <f>F23</f>
        <v>100</v>
      </c>
      <c r="T23" s="1576" t="s">
        <v>8</v>
      </c>
      <c r="U23" s="1577">
        <f>H23</f>
        <v>100</v>
      </c>
      <c r="V23" s="1576" t="s">
        <v>8</v>
      </c>
      <c r="W23" s="1577">
        <f>J23</f>
        <v>100</v>
      </c>
      <c r="X23" s="1570"/>
      <c r="Y23" s="3380"/>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80"/>
      <c r="Q24" s="1575">
        <f t="shared" ref="Q24:Q34" si="11">B24</f>
        <v>111</v>
      </c>
      <c r="R24" s="1576" t="s">
        <v>8</v>
      </c>
      <c r="S24" s="1577">
        <f>F24</f>
        <v>100</v>
      </c>
      <c r="T24" s="1576" t="s">
        <v>8</v>
      </c>
      <c r="U24" s="1577">
        <f>H24</f>
        <v>100</v>
      </c>
      <c r="V24" s="1576" t="s">
        <v>8</v>
      </c>
      <c r="W24" s="1577">
        <f>J24</f>
        <v>100</v>
      </c>
      <c r="X24" s="1570"/>
      <c r="Y24" s="3380"/>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80"/>
      <c r="Q25" s="1153">
        <f t="shared" si="11"/>
        <v>111</v>
      </c>
      <c r="R25" s="1571" t="s">
        <v>8</v>
      </c>
      <c r="S25" s="1572">
        <f>F25</f>
        <v>100</v>
      </c>
      <c r="T25" s="1571" t="s">
        <v>8</v>
      </c>
      <c r="U25" s="1572">
        <f>H25</f>
        <v>100</v>
      </c>
      <c r="V25" s="1571" t="s">
        <v>8</v>
      </c>
      <c r="W25" s="1572">
        <f>J25</f>
        <v>100</v>
      </c>
      <c r="X25" s="1573"/>
      <c r="Y25" s="3380"/>
      <c r="Z25" s="1152">
        <f>Q25</f>
        <v>111</v>
      </c>
      <c r="AA25" s="1579">
        <f>D25/F25</f>
        <v>1</v>
      </c>
      <c r="AB25" s="1579">
        <f>D25/H25</f>
        <v>1</v>
      </c>
      <c r="AC25" s="1579">
        <f>D25/J25</f>
        <v>1</v>
      </c>
    </row>
    <row r="26" spans="1:29" ht="15">
      <c r="A26" s="2937" t="s">
        <v>2761</v>
      </c>
      <c r="B26" s="172" t="s">
        <v>809</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81"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82" t="s">
        <v>822</v>
      </c>
      <c r="Z26" s="1578" t="str">
        <f t="shared" ref="Z26:Z34" si="15">Q26</f>
        <v>公共部分装修</v>
      </c>
      <c r="AA26" s="1579">
        <f t="shared" si="3"/>
        <v>1</v>
      </c>
      <c r="AB26" s="1579">
        <f t="shared" si="4"/>
        <v>1</v>
      </c>
      <c r="AC26" s="1579">
        <f t="shared" si="5"/>
        <v>1</v>
      </c>
    </row>
    <row r="27" spans="1:29" s="1341" customFormat="1" ht="15">
      <c r="A27" s="605"/>
      <c r="B27" s="529" t="s">
        <v>810</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82"/>
      <c r="Q27" s="1608" t="str">
        <f t="shared" si="11"/>
        <v>成新率</v>
      </c>
      <c r="R27" s="1580" t="s">
        <v>8</v>
      </c>
      <c r="S27" s="1581" t="e">
        <f t="shared" si="12"/>
        <v>#N/A</v>
      </c>
      <c r="T27" s="1580" t="s">
        <v>8</v>
      </c>
      <c r="U27" s="1581" t="e">
        <f t="shared" si="13"/>
        <v>#N/A</v>
      </c>
      <c r="V27" s="1580" t="s">
        <v>8</v>
      </c>
      <c r="W27" s="1581" t="e">
        <f t="shared" si="14"/>
        <v>#N/A</v>
      </c>
      <c r="X27" s="1582"/>
      <c r="Y27" s="3382"/>
      <c r="Z27" s="1583" t="str">
        <f t="shared" si="15"/>
        <v>成新率</v>
      </c>
      <c r="AA27" s="1579" t="e">
        <f t="shared" si="3"/>
        <v>#N/A</v>
      </c>
      <c r="AB27" s="1579" t="e">
        <f t="shared" si="4"/>
        <v>#N/A</v>
      </c>
      <c r="AC27" s="1579"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82"/>
      <c r="Q28" s="1575" t="str">
        <f t="shared" si="11"/>
        <v>物业等级</v>
      </c>
      <c r="R28" s="1576" t="s">
        <v>8</v>
      </c>
      <c r="S28" s="1577">
        <f t="shared" si="12"/>
        <v>100</v>
      </c>
      <c r="T28" s="1576" t="s">
        <v>8</v>
      </c>
      <c r="U28" s="1577">
        <f t="shared" si="13"/>
        <v>100</v>
      </c>
      <c r="V28" s="1576" t="s">
        <v>8</v>
      </c>
      <c r="W28" s="1577">
        <f t="shared" si="14"/>
        <v>100</v>
      </c>
      <c r="X28" s="1570"/>
      <c r="Y28" s="3382"/>
      <c r="Z28" s="1578" t="str">
        <f t="shared" si="15"/>
        <v>物业等级</v>
      </c>
      <c r="AA28" s="1579">
        <f t="shared" si="3"/>
        <v>1</v>
      </c>
      <c r="AB28" s="1579">
        <f t="shared" si="4"/>
        <v>1</v>
      </c>
      <c r="AC28" s="1579">
        <f t="shared" si="5"/>
        <v>1</v>
      </c>
    </row>
    <row r="29" spans="1:29" ht="15">
      <c r="A29" s="596"/>
      <c r="B29" s="529" t="s">
        <v>823</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82"/>
      <c r="Q29" s="1575" t="str">
        <f t="shared" si="11"/>
        <v>有无电梯</v>
      </c>
      <c r="R29" s="1576" t="s">
        <v>8</v>
      </c>
      <c r="S29" s="1577">
        <f t="shared" si="12"/>
        <v>100</v>
      </c>
      <c r="T29" s="1576" t="s">
        <v>8</v>
      </c>
      <c r="U29" s="1577">
        <f t="shared" si="13"/>
        <v>100</v>
      </c>
      <c r="V29" s="1576" t="s">
        <v>8</v>
      </c>
      <c r="W29" s="1577">
        <f t="shared" si="14"/>
        <v>100</v>
      </c>
      <c r="X29" s="1570"/>
      <c r="Y29" s="3382"/>
      <c r="Z29" s="1578" t="str">
        <f t="shared" si="15"/>
        <v>有无电梯</v>
      </c>
      <c r="AA29" s="1579">
        <f t="shared" si="3"/>
        <v>1</v>
      </c>
      <c r="AB29" s="1579">
        <f t="shared" si="4"/>
        <v>1</v>
      </c>
      <c r="AC29" s="1579">
        <f t="shared" si="5"/>
        <v>1</v>
      </c>
    </row>
    <row r="30" spans="1:29" ht="15">
      <c r="A30" s="596"/>
      <c r="B30" s="529" t="s">
        <v>824</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82"/>
      <c r="Q30" s="1575" t="str">
        <f t="shared" si="11"/>
        <v>建筑面积</v>
      </c>
      <c r="R30" s="1576" t="s">
        <v>8</v>
      </c>
      <c r="S30" s="1577" t="e">
        <f t="shared" si="12"/>
        <v>#N/A</v>
      </c>
      <c r="T30" s="1576" t="s">
        <v>8</v>
      </c>
      <c r="U30" s="1577" t="e">
        <f t="shared" si="13"/>
        <v>#N/A</v>
      </c>
      <c r="V30" s="1576" t="s">
        <v>8</v>
      </c>
      <c r="W30" s="1577" t="e">
        <f t="shared" si="14"/>
        <v>#N/A</v>
      </c>
      <c r="X30" s="1570"/>
      <c r="Y30" s="3382"/>
      <c r="Z30" s="1578" t="str">
        <f t="shared" si="15"/>
        <v>建筑面积</v>
      </c>
      <c r="AA30" s="1579" t="e">
        <f t="shared" si="3"/>
        <v>#N/A</v>
      </c>
      <c r="AB30" s="1579" t="e">
        <f t="shared" si="4"/>
        <v>#N/A</v>
      </c>
      <c r="AC30" s="1579" t="e">
        <f t="shared" si="5"/>
        <v>#N/A</v>
      </c>
    </row>
    <row r="31" spans="1:29" s="1222" customFormat="1" ht="15">
      <c r="A31" s="602"/>
      <c r="B31" s="529" t="s">
        <v>825</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82"/>
      <c r="Q31" s="1153" t="str">
        <f t="shared" si="11"/>
        <v>是否封闭</v>
      </c>
      <c r="R31" s="1571" t="s">
        <v>8</v>
      </c>
      <c r="S31" s="1572">
        <f t="shared" si="12"/>
        <v>100</v>
      </c>
      <c r="T31" s="1571" t="s">
        <v>8</v>
      </c>
      <c r="U31" s="1572">
        <f t="shared" si="13"/>
        <v>100</v>
      </c>
      <c r="V31" s="1571" t="s">
        <v>8</v>
      </c>
      <c r="W31" s="1572">
        <f t="shared" si="14"/>
        <v>100</v>
      </c>
      <c r="X31" s="1573"/>
      <c r="Y31" s="3382"/>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82" t="s">
        <v>551</v>
      </c>
      <c r="Q32" s="1575">
        <f t="shared" si="11"/>
        <v>111</v>
      </c>
      <c r="R32" s="1576" t="s">
        <v>8</v>
      </c>
      <c r="S32" s="1577">
        <f t="shared" si="12"/>
        <v>100</v>
      </c>
      <c r="T32" s="1576" t="s">
        <v>8</v>
      </c>
      <c r="U32" s="1577">
        <f t="shared" si="13"/>
        <v>100</v>
      </c>
      <c r="V32" s="1576" t="s">
        <v>8</v>
      </c>
      <c r="W32" s="1577">
        <f t="shared" si="14"/>
        <v>100</v>
      </c>
      <c r="X32" s="1570"/>
      <c r="Y32" s="3382" t="s">
        <v>551</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82"/>
      <c r="Q33" s="1575">
        <f t="shared" si="11"/>
        <v>111</v>
      </c>
      <c r="R33" s="1576" t="s">
        <v>8</v>
      </c>
      <c r="S33" s="1577">
        <f t="shared" si="12"/>
        <v>100</v>
      </c>
      <c r="T33" s="1576" t="s">
        <v>8</v>
      </c>
      <c r="U33" s="1577">
        <f t="shared" si="13"/>
        <v>100</v>
      </c>
      <c r="V33" s="1576" t="s">
        <v>8</v>
      </c>
      <c r="W33" s="1577">
        <f t="shared" si="14"/>
        <v>100</v>
      </c>
      <c r="X33" s="1570"/>
      <c r="Y33" s="3382"/>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82"/>
      <c r="Q34" s="1575">
        <f t="shared" si="11"/>
        <v>111</v>
      </c>
      <c r="R34" s="1576" t="s">
        <v>8</v>
      </c>
      <c r="S34" s="1577">
        <f t="shared" si="12"/>
        <v>100</v>
      </c>
      <c r="T34" s="1576" t="s">
        <v>8</v>
      </c>
      <c r="U34" s="1577">
        <f t="shared" si="13"/>
        <v>100</v>
      </c>
      <c r="V34" s="1576" t="s">
        <v>8</v>
      </c>
      <c r="W34" s="1577">
        <f t="shared" si="14"/>
        <v>100</v>
      </c>
      <c r="X34" s="1570"/>
      <c r="Y34" s="3382"/>
      <c r="Z34" s="1578">
        <f t="shared" si="15"/>
        <v>111</v>
      </c>
      <c r="AA34" s="1579">
        <f t="shared" si="3"/>
        <v>1</v>
      </c>
      <c r="AB34" s="1579">
        <f t="shared" si="4"/>
        <v>1</v>
      </c>
      <c r="AC34" s="1579">
        <f t="shared" si="5"/>
        <v>1</v>
      </c>
    </row>
    <row r="35" spans="1:29" ht="15">
      <c r="A35" s="609" t="s">
        <v>737</v>
      </c>
      <c r="B35" s="889"/>
      <c r="C35" s="2655" t="s">
        <v>1</v>
      </c>
      <c r="D35" s="2656"/>
      <c r="E35" s="2657"/>
      <c r="F35" s="2658"/>
      <c r="G35" s="2659"/>
      <c r="H35" s="2660"/>
      <c r="I35" s="2657"/>
      <c r="J35" s="2660"/>
      <c r="K35" s="1614"/>
      <c r="L35" s="2148"/>
      <c r="M35" s="2149"/>
      <c r="N35" s="2138"/>
      <c r="O35" s="2149"/>
      <c r="P35" s="3377" t="str">
        <f>A35</f>
        <v>成交单价（元/平方米）</v>
      </c>
      <c r="Q35" s="3377"/>
      <c r="R35" s="3463">
        <f>E35</f>
        <v>0</v>
      </c>
      <c r="S35" s="3463"/>
      <c r="T35" s="3463">
        <f>G35</f>
        <v>0</v>
      </c>
      <c r="U35" s="3463"/>
      <c r="V35" s="3463">
        <f>I35</f>
        <v>0</v>
      </c>
      <c r="W35" s="3463"/>
      <c r="X35" s="1562"/>
      <c r="Y35" s="1584"/>
      <c r="Z35" s="1562"/>
      <c r="AA35" s="1562"/>
      <c r="AB35" s="1562"/>
      <c r="AC35" s="1562"/>
    </row>
    <row r="36" spans="1:29" ht="15.75" thickBot="1">
      <c r="A36" s="617" t="s">
        <v>2766</v>
      </c>
      <c r="B36" s="890"/>
      <c r="C36" s="2661" t="e">
        <f>R37</f>
        <v>#DIV/0!</v>
      </c>
      <c r="D36" s="2662"/>
      <c r="E36" s="2663" t="e">
        <f>R36</f>
        <v>#DIV/0!</v>
      </c>
      <c r="F36" s="2663"/>
      <c r="G36" s="2661" t="e">
        <f>T36</f>
        <v>#DIV/0!</v>
      </c>
      <c r="H36" s="2662"/>
      <c r="I36" s="2663" t="e">
        <f>V36</f>
        <v>#DIV/0!</v>
      </c>
      <c r="J36" s="2662"/>
      <c r="K36" s="1615"/>
      <c r="L36" s="2148"/>
      <c r="M36" s="2149"/>
      <c r="N36" s="2138"/>
      <c r="O36" s="2149"/>
      <c r="P36" s="3377" t="str">
        <f>A36</f>
        <v>比较价格（元/平方米）</v>
      </c>
      <c r="Q36" s="3377"/>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562"/>
      <c r="Y36" s="1562"/>
      <c r="Z36" s="1562"/>
      <c r="AA36" s="1562"/>
      <c r="AB36" s="1562"/>
      <c r="AC36" s="1562"/>
    </row>
    <row r="37" spans="1:29" ht="15.75" thickBot="1">
      <c r="A37" s="623" t="s">
        <v>2938</v>
      </c>
      <c r="B37" s="624"/>
      <c r="C37" s="2664" t="e">
        <f>R37</f>
        <v>#DIV/0!</v>
      </c>
      <c r="D37" s="2664"/>
      <c r="E37" s="2664"/>
      <c r="F37" s="2664"/>
      <c r="G37" s="2664"/>
      <c r="H37" s="2664"/>
      <c r="I37" s="2664"/>
      <c r="J37" s="2664"/>
      <c r="K37" s="1616"/>
      <c r="L37" s="2148"/>
      <c r="M37" s="2149"/>
      <c r="N37" s="2149"/>
      <c r="O37" s="2149"/>
      <c r="P37" s="3398" t="str">
        <f>A37</f>
        <v>估价对象XX用房的比较价格（楼面单价，元/平方米）</v>
      </c>
      <c r="Q37" s="3399"/>
      <c r="R37" s="3465" t="e">
        <f>IF(F1="售价",ROUND(AVERAGE(R36:V36),0),ROUND(AVERAGE(R36:V36),1))</f>
        <v>#DIV/0!</v>
      </c>
      <c r="S37" s="3465"/>
      <c r="T37" s="3465"/>
      <c r="U37" s="3465"/>
      <c r="V37" s="3465"/>
      <c r="W37" s="3465"/>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530</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576</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532</v>
      </c>
      <c r="B49" s="650"/>
      <c r="C49" s="662" t="s">
        <v>577</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2561</v>
      </c>
      <c r="C63" s="710" t="s">
        <v>580</v>
      </c>
      <c r="D63" s="710" t="s">
        <v>581</v>
      </c>
      <c r="E63" s="710" t="s">
        <v>582</v>
      </c>
      <c r="F63" s="710" t="s">
        <v>583</v>
      </c>
      <c r="G63" s="710" t="s">
        <v>584</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2562</v>
      </c>
      <c r="C65" s="2626" t="s">
        <v>2563</v>
      </c>
      <c r="D65" s="2626" t="s">
        <v>2564</v>
      </c>
      <c r="E65" s="2626" t="s">
        <v>2565</v>
      </c>
      <c r="F65" s="2626" t="s">
        <v>2566</v>
      </c>
      <c r="G65" s="2626" t="s">
        <v>2567</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745</v>
      </c>
      <c r="C67" s="710" t="s">
        <v>580</v>
      </c>
      <c r="D67" s="710" t="s">
        <v>581</v>
      </c>
      <c r="E67" s="710" t="s">
        <v>582</v>
      </c>
      <c r="F67" s="710" t="s">
        <v>583</v>
      </c>
      <c r="G67" s="710" t="s">
        <v>584</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746</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552</v>
      </c>
      <c r="B77" s="667" t="s">
        <v>752</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818</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826</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828</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2304</v>
      </c>
      <c r="C1" s="3490" t="s">
        <v>2305</v>
      </c>
      <c r="D1" s="3491"/>
      <c r="E1" s="3491"/>
      <c r="F1" s="3491"/>
      <c r="G1" s="3491"/>
      <c r="H1" s="3491"/>
      <c r="I1" s="3491"/>
      <c r="J1" s="3491"/>
      <c r="K1" s="3491"/>
      <c r="L1" s="3491"/>
      <c r="M1" s="3491"/>
      <c r="N1" s="3491"/>
      <c r="O1" s="3491"/>
      <c r="P1" s="3491"/>
      <c r="Q1" s="3491"/>
      <c r="R1" s="3491"/>
      <c r="S1" s="3492"/>
      <c r="T1" s="2238" t="s">
        <v>2306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2307</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8" t="s">
        <v>2931</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0" t="s">
        <v>2930</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0" t="s">
        <v>2929</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19"/>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8" t="s">
        <v>2944</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8" t="s">
        <v>2928</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8" t="s">
        <v>2927</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2308</v>
      </c>
      <c r="B17" s="2282" t="s">
        <v>2309</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829</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830</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831</v>
      </c>
      <c r="B22" s="53">
        <f>SUM(B24:B10000)</f>
        <v>0</v>
      </c>
      <c r="C22" s="3487" t="s">
        <v>20</v>
      </c>
      <c r="D22" s="3488"/>
      <c r="E22" s="3488"/>
      <c r="F22" s="3488"/>
      <c r="G22" s="3488"/>
      <c r="H22" s="3488"/>
      <c r="I22" s="3488"/>
      <c r="J22" s="3488"/>
      <c r="K22" s="3488"/>
      <c r="L22" s="3488"/>
      <c r="M22" s="3488"/>
      <c r="N22" s="3488"/>
      <c r="O22" s="3488"/>
      <c r="P22" s="3488"/>
      <c r="Q22" s="3489"/>
      <c r="R22" s="492"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2794</v>
      </c>
      <c r="C1" s="3034">
        <f>项目基本情况!D3</f>
        <v>43035</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2825</v>
      </c>
      <c r="C2" s="3035">
        <f>'数据-取费表'!B22</f>
        <v>2</v>
      </c>
      <c r="D2" s="3030" t="s">
        <v>2795</v>
      </c>
      <c r="E2" s="3033">
        <f ca="1">INDIRECT("I"&amp;$I$1)/100</f>
        <v>4.7500000000000001E-2</v>
      </c>
      <c r="G2" s="2970"/>
      <c r="H2" s="2970"/>
      <c r="I2" s="2970" t="s">
        <v>2796</v>
      </c>
      <c r="K2" s="2970"/>
      <c r="L2" s="2970"/>
      <c r="M2" s="2970"/>
      <c r="N2" s="2970" t="s">
        <v>2797</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2827</v>
      </c>
      <c r="C3" s="3032">
        <f>'数据-取费表'!B19</f>
        <v>0</v>
      </c>
      <c r="D3" s="3030" t="s">
        <v>2795</v>
      </c>
      <c r="E3" s="3033">
        <f ca="1">INDIRECT("J"&amp;$J$1)/100</f>
        <v>0</v>
      </c>
      <c r="G3" s="2972" t="s">
        <v>2798</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2826</v>
      </c>
      <c r="C4" s="3033">
        <f ca="1">N4/100</f>
        <v>1.4999999999999999E-2</v>
      </c>
      <c r="G4" s="2978" t="s">
        <v>2799</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2800</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2801</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2802</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2803</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2804</v>
      </c>
      <c r="C10" s="2997"/>
      <c r="D10" s="2997"/>
      <c r="E10" s="2997"/>
      <c r="F10" s="2997"/>
      <c r="G10" s="2997"/>
      <c r="H10" s="2997"/>
      <c r="I10" s="2971"/>
      <c r="J10" s="2971"/>
      <c r="K10" s="2997"/>
      <c r="L10" s="2998" t="s">
        <v>2805</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2806</v>
      </c>
      <c r="C11" s="3002" t="s">
        <v>2807</v>
      </c>
      <c r="D11" s="3003" t="s">
        <v>2808</v>
      </c>
      <c r="E11" s="3004"/>
      <c r="F11" s="3003" t="s">
        <v>2809</v>
      </c>
      <c r="G11" s="3005"/>
      <c r="H11" s="3004"/>
      <c r="I11" s="3003" t="s">
        <v>2810</v>
      </c>
      <c r="J11" s="3004"/>
      <c r="K11" s="3000"/>
      <c r="L11" s="3001" t="s">
        <v>2806</v>
      </c>
      <c r="M11" s="3002" t="s">
        <v>2807</v>
      </c>
      <c r="N11" s="3001" t="s">
        <v>2811</v>
      </c>
      <c r="O11" s="3003" t="s">
        <v>2812</v>
      </c>
      <c r="P11" s="3005"/>
      <c r="Q11" s="3005"/>
      <c r="R11" s="3005"/>
      <c r="S11" s="3005"/>
      <c r="T11" s="3004"/>
      <c r="U11" s="3003" t="s">
        <v>2813</v>
      </c>
      <c r="V11" s="3005"/>
      <c r="W11" s="3004"/>
      <c r="X11" s="3001" t="s">
        <v>2814</v>
      </c>
      <c r="Y11" s="3001" t="s">
        <v>2815</v>
      </c>
      <c r="Z11" s="3001" t="s">
        <v>2816</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2817</v>
      </c>
      <c r="E12" s="3010" t="s">
        <v>2818</v>
      </c>
      <c r="F12" s="3010" t="s">
        <v>2819</v>
      </c>
      <c r="G12" s="3010" t="s">
        <v>2820</v>
      </c>
      <c r="H12" s="3010" t="s">
        <v>2802</v>
      </c>
      <c r="I12" s="3011" t="s">
        <v>2821</v>
      </c>
      <c r="J12" s="3011" t="s">
        <v>2821</v>
      </c>
      <c r="K12" s="3007"/>
      <c r="L12" s="3008"/>
      <c r="M12" s="3009"/>
      <c r="N12" s="3008"/>
      <c r="O12" s="3011" t="s">
        <v>2822</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2823</v>
      </c>
      <c r="C13" s="3015">
        <v>42301</v>
      </c>
      <c r="D13" s="3016">
        <v>4.3499999999999996</v>
      </c>
      <c r="E13" s="3016">
        <v>4.3499999999999996</v>
      </c>
      <c r="F13" s="3016">
        <v>4.75</v>
      </c>
      <c r="G13" s="3016">
        <v>4.75</v>
      </c>
      <c r="H13" s="3016">
        <v>4.9000000000000004</v>
      </c>
      <c r="I13" s="3016">
        <v>2.75</v>
      </c>
      <c r="J13" s="3016">
        <v>3.25</v>
      </c>
      <c r="K13" s="3013"/>
      <c r="L13" s="3014" t="s">
        <v>2823</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2824</v>
      </c>
      <c r="Y42" s="3020" t="s">
        <v>2824</v>
      </c>
      <c r="Z42" s="3020" t="s">
        <v>2824</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2824</v>
      </c>
      <c r="Y43" s="3020" t="s">
        <v>2824</v>
      </c>
      <c r="Z43" s="3020" t="s">
        <v>2824</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2824</v>
      </c>
      <c r="Y44" s="3020" t="s">
        <v>2824</v>
      </c>
      <c r="Z44" s="3020" t="s">
        <v>2824</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2824</v>
      </c>
      <c r="Y45" s="3020" t="s">
        <v>2824</v>
      </c>
      <c r="Z45" s="3020" t="s">
        <v>2824</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2824</v>
      </c>
      <c r="Y46" s="3020" t="s">
        <v>2824</v>
      </c>
      <c r="Z46" s="3020" t="s">
        <v>2824</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2824</v>
      </c>
      <c r="Y47" s="3020" t="s">
        <v>2824</v>
      </c>
      <c r="Z47" s="3020" t="s">
        <v>2824</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2824</v>
      </c>
      <c r="Y48" s="3020" t="s">
        <v>2824</v>
      </c>
      <c r="Z48" s="3020" t="s">
        <v>2824</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2824</v>
      </c>
      <c r="Y49" s="3020" t="s">
        <v>2824</v>
      </c>
      <c r="Z49" s="3020" t="s">
        <v>2824</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2824</v>
      </c>
      <c r="Y50" s="3020" t="s">
        <v>2824</v>
      </c>
      <c r="Z50" s="3020" t="s">
        <v>2824</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2824</v>
      </c>
      <c r="V51" s="3020" t="s">
        <v>2824</v>
      </c>
      <c r="W51" s="3020" t="s">
        <v>2824</v>
      </c>
      <c r="X51" s="3020" t="s">
        <v>2824</v>
      </c>
      <c r="Y51" s="3020" t="s">
        <v>2824</v>
      </c>
      <c r="Z51" s="3020" t="s">
        <v>2824</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2824</v>
      </c>
      <c r="J55" s="3020" t="s">
        <v>2824</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79" customWidth="1"/>
    <col min="2" max="2" width="6.25" style="3179" customWidth="1"/>
    <col min="3" max="3" width="11.75" style="3179" customWidth="1"/>
    <col min="4" max="4" width="6.25" style="3179" customWidth="1"/>
    <col min="5" max="5" width="14.375" style="3179" customWidth="1"/>
    <col min="6" max="7" width="13.875" style="3179" customWidth="1"/>
    <col min="8" max="8" width="6.25" style="3179" customWidth="1"/>
    <col min="9" max="9" width="13.5" style="3179" customWidth="1"/>
    <col min="10" max="10" width="7.875" style="3179" customWidth="1"/>
    <col min="11" max="11" width="48.75" style="3179" customWidth="1"/>
    <col min="12" max="12" width="10.625" style="3179" customWidth="1"/>
    <col min="13" max="13" width="16" style="3179" customWidth="1"/>
    <col min="14" max="14" width="14.375" style="3179" customWidth="1"/>
    <col min="15" max="256" width="9" style="3179"/>
    <col min="257" max="257" width="40" style="3179" customWidth="1"/>
    <col min="258" max="258" width="6.25" style="3179" customWidth="1"/>
    <col min="259" max="259" width="11.75" style="3179" customWidth="1"/>
    <col min="260" max="260" width="6.25" style="3179" customWidth="1"/>
    <col min="261" max="261" width="14.375" style="3179" customWidth="1"/>
    <col min="262" max="263" width="13.875" style="3179" customWidth="1"/>
    <col min="264" max="264" width="6.25" style="3179" customWidth="1"/>
    <col min="265" max="265" width="13.5" style="3179" customWidth="1"/>
    <col min="266" max="266" width="7.875" style="3179" customWidth="1"/>
    <col min="267" max="267" width="88.25" style="3179" customWidth="1"/>
    <col min="268" max="268" width="10.625" style="3179" customWidth="1"/>
    <col min="269" max="269" width="16" style="3179" customWidth="1"/>
    <col min="270" max="270" width="14.375" style="3179" customWidth="1"/>
    <col min="271" max="512" width="9" style="3179"/>
    <col min="513" max="513" width="40" style="3179" customWidth="1"/>
    <col min="514" max="514" width="6.25" style="3179" customWidth="1"/>
    <col min="515" max="515" width="11.75" style="3179" customWidth="1"/>
    <col min="516" max="516" width="6.25" style="3179" customWidth="1"/>
    <col min="517" max="517" width="14.375" style="3179" customWidth="1"/>
    <col min="518" max="519" width="13.875" style="3179" customWidth="1"/>
    <col min="520" max="520" width="6.25" style="3179" customWidth="1"/>
    <col min="521" max="521" width="13.5" style="3179" customWidth="1"/>
    <col min="522" max="522" width="7.875" style="3179" customWidth="1"/>
    <col min="523" max="523" width="88.25" style="3179" customWidth="1"/>
    <col min="524" max="524" width="10.625" style="3179" customWidth="1"/>
    <col min="525" max="525" width="16" style="3179" customWidth="1"/>
    <col min="526" max="526" width="14.375" style="3179" customWidth="1"/>
    <col min="527" max="768" width="9" style="3179"/>
    <col min="769" max="769" width="40" style="3179" customWidth="1"/>
    <col min="770" max="770" width="6.25" style="3179" customWidth="1"/>
    <col min="771" max="771" width="11.75" style="3179" customWidth="1"/>
    <col min="772" max="772" width="6.25" style="3179" customWidth="1"/>
    <col min="773" max="773" width="14.375" style="3179" customWidth="1"/>
    <col min="774" max="775" width="13.875" style="3179" customWidth="1"/>
    <col min="776" max="776" width="6.25" style="3179" customWidth="1"/>
    <col min="777" max="777" width="13.5" style="3179" customWidth="1"/>
    <col min="778" max="778" width="7.875" style="3179" customWidth="1"/>
    <col min="779" max="779" width="88.25" style="3179" customWidth="1"/>
    <col min="780" max="780" width="10.625" style="3179" customWidth="1"/>
    <col min="781" max="781" width="16" style="3179" customWidth="1"/>
    <col min="782" max="782" width="14.375" style="3179" customWidth="1"/>
    <col min="783" max="1024" width="9" style="3179"/>
    <col min="1025" max="1025" width="40" style="3179" customWidth="1"/>
    <col min="1026" max="1026" width="6.25" style="3179" customWidth="1"/>
    <col min="1027" max="1027" width="11.75" style="3179" customWidth="1"/>
    <col min="1028" max="1028" width="6.25" style="3179" customWidth="1"/>
    <col min="1029" max="1029" width="14.375" style="3179" customWidth="1"/>
    <col min="1030" max="1031" width="13.875" style="3179" customWidth="1"/>
    <col min="1032" max="1032" width="6.25" style="3179" customWidth="1"/>
    <col min="1033" max="1033" width="13.5" style="3179" customWidth="1"/>
    <col min="1034" max="1034" width="7.875" style="3179" customWidth="1"/>
    <col min="1035" max="1035" width="88.25" style="3179" customWidth="1"/>
    <col min="1036" max="1036" width="10.625" style="3179" customWidth="1"/>
    <col min="1037" max="1037" width="16" style="3179" customWidth="1"/>
    <col min="1038" max="1038" width="14.375" style="3179" customWidth="1"/>
    <col min="1039" max="1280" width="9" style="3179"/>
    <col min="1281" max="1281" width="40" style="3179" customWidth="1"/>
    <col min="1282" max="1282" width="6.25" style="3179" customWidth="1"/>
    <col min="1283" max="1283" width="11.75" style="3179" customWidth="1"/>
    <col min="1284" max="1284" width="6.25" style="3179" customWidth="1"/>
    <col min="1285" max="1285" width="14.375" style="3179" customWidth="1"/>
    <col min="1286" max="1287" width="13.875" style="3179" customWidth="1"/>
    <col min="1288" max="1288" width="6.25" style="3179" customWidth="1"/>
    <col min="1289" max="1289" width="13.5" style="3179" customWidth="1"/>
    <col min="1290" max="1290" width="7.875" style="3179" customWidth="1"/>
    <col min="1291" max="1291" width="88.25" style="3179" customWidth="1"/>
    <col min="1292" max="1292" width="10.625" style="3179" customWidth="1"/>
    <col min="1293" max="1293" width="16" style="3179" customWidth="1"/>
    <col min="1294" max="1294" width="14.375" style="3179" customWidth="1"/>
    <col min="1295" max="1536" width="9" style="3179"/>
    <col min="1537" max="1537" width="40" style="3179" customWidth="1"/>
    <col min="1538" max="1538" width="6.25" style="3179" customWidth="1"/>
    <col min="1539" max="1539" width="11.75" style="3179" customWidth="1"/>
    <col min="1540" max="1540" width="6.25" style="3179" customWidth="1"/>
    <col min="1541" max="1541" width="14.375" style="3179" customWidth="1"/>
    <col min="1542" max="1543" width="13.875" style="3179" customWidth="1"/>
    <col min="1544" max="1544" width="6.25" style="3179" customWidth="1"/>
    <col min="1545" max="1545" width="13.5" style="3179" customWidth="1"/>
    <col min="1546" max="1546" width="7.875" style="3179" customWidth="1"/>
    <col min="1547" max="1547" width="88.25" style="3179" customWidth="1"/>
    <col min="1548" max="1548" width="10.625" style="3179" customWidth="1"/>
    <col min="1549" max="1549" width="16" style="3179" customWidth="1"/>
    <col min="1550" max="1550" width="14.375" style="3179" customWidth="1"/>
    <col min="1551" max="1792" width="9" style="3179"/>
    <col min="1793" max="1793" width="40" style="3179" customWidth="1"/>
    <col min="1794" max="1794" width="6.25" style="3179" customWidth="1"/>
    <col min="1795" max="1795" width="11.75" style="3179" customWidth="1"/>
    <col min="1796" max="1796" width="6.25" style="3179" customWidth="1"/>
    <col min="1797" max="1797" width="14.375" style="3179" customWidth="1"/>
    <col min="1798" max="1799" width="13.875" style="3179" customWidth="1"/>
    <col min="1800" max="1800" width="6.25" style="3179" customWidth="1"/>
    <col min="1801" max="1801" width="13.5" style="3179" customWidth="1"/>
    <col min="1802" max="1802" width="7.875" style="3179" customWidth="1"/>
    <col min="1803" max="1803" width="88.25" style="3179" customWidth="1"/>
    <col min="1804" max="1804" width="10.625" style="3179" customWidth="1"/>
    <col min="1805" max="1805" width="16" style="3179" customWidth="1"/>
    <col min="1806" max="1806" width="14.375" style="3179" customWidth="1"/>
    <col min="1807" max="2048" width="9" style="3179"/>
    <col min="2049" max="2049" width="40" style="3179" customWidth="1"/>
    <col min="2050" max="2050" width="6.25" style="3179" customWidth="1"/>
    <col min="2051" max="2051" width="11.75" style="3179" customWidth="1"/>
    <col min="2052" max="2052" width="6.25" style="3179" customWidth="1"/>
    <col min="2053" max="2053" width="14.375" style="3179" customWidth="1"/>
    <col min="2054" max="2055" width="13.875" style="3179" customWidth="1"/>
    <col min="2056" max="2056" width="6.25" style="3179" customWidth="1"/>
    <col min="2057" max="2057" width="13.5" style="3179" customWidth="1"/>
    <col min="2058" max="2058" width="7.875" style="3179" customWidth="1"/>
    <col min="2059" max="2059" width="88.25" style="3179" customWidth="1"/>
    <col min="2060" max="2060" width="10.625" style="3179" customWidth="1"/>
    <col min="2061" max="2061" width="16" style="3179" customWidth="1"/>
    <col min="2062" max="2062" width="14.375" style="3179" customWidth="1"/>
    <col min="2063" max="2304" width="9" style="3179"/>
    <col min="2305" max="2305" width="40" style="3179" customWidth="1"/>
    <col min="2306" max="2306" width="6.25" style="3179" customWidth="1"/>
    <col min="2307" max="2307" width="11.75" style="3179" customWidth="1"/>
    <col min="2308" max="2308" width="6.25" style="3179" customWidth="1"/>
    <col min="2309" max="2309" width="14.375" style="3179" customWidth="1"/>
    <col min="2310" max="2311" width="13.875" style="3179" customWidth="1"/>
    <col min="2312" max="2312" width="6.25" style="3179" customWidth="1"/>
    <col min="2313" max="2313" width="13.5" style="3179" customWidth="1"/>
    <col min="2314" max="2314" width="7.875" style="3179" customWidth="1"/>
    <col min="2315" max="2315" width="88.25" style="3179" customWidth="1"/>
    <col min="2316" max="2316" width="10.625" style="3179" customWidth="1"/>
    <col min="2317" max="2317" width="16" style="3179" customWidth="1"/>
    <col min="2318" max="2318" width="14.375" style="3179" customWidth="1"/>
    <col min="2319" max="2560" width="9" style="3179"/>
    <col min="2561" max="2561" width="40" style="3179" customWidth="1"/>
    <col min="2562" max="2562" width="6.25" style="3179" customWidth="1"/>
    <col min="2563" max="2563" width="11.75" style="3179" customWidth="1"/>
    <col min="2564" max="2564" width="6.25" style="3179" customWidth="1"/>
    <col min="2565" max="2565" width="14.375" style="3179" customWidth="1"/>
    <col min="2566" max="2567" width="13.875" style="3179" customWidth="1"/>
    <col min="2568" max="2568" width="6.25" style="3179" customWidth="1"/>
    <col min="2569" max="2569" width="13.5" style="3179" customWidth="1"/>
    <col min="2570" max="2570" width="7.875" style="3179" customWidth="1"/>
    <col min="2571" max="2571" width="88.25" style="3179" customWidth="1"/>
    <col min="2572" max="2572" width="10.625" style="3179" customWidth="1"/>
    <col min="2573" max="2573" width="16" style="3179" customWidth="1"/>
    <col min="2574" max="2574" width="14.375" style="3179" customWidth="1"/>
    <col min="2575" max="2816" width="9" style="3179"/>
    <col min="2817" max="2817" width="40" style="3179" customWidth="1"/>
    <col min="2818" max="2818" width="6.25" style="3179" customWidth="1"/>
    <col min="2819" max="2819" width="11.75" style="3179" customWidth="1"/>
    <col min="2820" max="2820" width="6.25" style="3179" customWidth="1"/>
    <col min="2821" max="2821" width="14.375" style="3179" customWidth="1"/>
    <col min="2822" max="2823" width="13.875" style="3179" customWidth="1"/>
    <col min="2824" max="2824" width="6.25" style="3179" customWidth="1"/>
    <col min="2825" max="2825" width="13.5" style="3179" customWidth="1"/>
    <col min="2826" max="2826" width="7.875" style="3179" customWidth="1"/>
    <col min="2827" max="2827" width="88.25" style="3179" customWidth="1"/>
    <col min="2828" max="2828" width="10.625" style="3179" customWidth="1"/>
    <col min="2829" max="2829" width="16" style="3179" customWidth="1"/>
    <col min="2830" max="2830" width="14.375" style="3179" customWidth="1"/>
    <col min="2831" max="3072" width="9" style="3179"/>
    <col min="3073" max="3073" width="40" style="3179" customWidth="1"/>
    <col min="3074" max="3074" width="6.25" style="3179" customWidth="1"/>
    <col min="3075" max="3075" width="11.75" style="3179" customWidth="1"/>
    <col min="3076" max="3076" width="6.25" style="3179" customWidth="1"/>
    <col min="3077" max="3077" width="14.375" style="3179" customWidth="1"/>
    <col min="3078" max="3079" width="13.875" style="3179" customWidth="1"/>
    <col min="3080" max="3080" width="6.25" style="3179" customWidth="1"/>
    <col min="3081" max="3081" width="13.5" style="3179" customWidth="1"/>
    <col min="3082" max="3082" width="7.875" style="3179" customWidth="1"/>
    <col min="3083" max="3083" width="88.25" style="3179" customWidth="1"/>
    <col min="3084" max="3084" width="10.625" style="3179" customWidth="1"/>
    <col min="3085" max="3085" width="16" style="3179" customWidth="1"/>
    <col min="3086" max="3086" width="14.375" style="3179" customWidth="1"/>
    <col min="3087" max="3328" width="9" style="3179"/>
    <col min="3329" max="3329" width="40" style="3179" customWidth="1"/>
    <col min="3330" max="3330" width="6.25" style="3179" customWidth="1"/>
    <col min="3331" max="3331" width="11.75" style="3179" customWidth="1"/>
    <col min="3332" max="3332" width="6.25" style="3179" customWidth="1"/>
    <col min="3333" max="3333" width="14.375" style="3179" customWidth="1"/>
    <col min="3334" max="3335" width="13.875" style="3179" customWidth="1"/>
    <col min="3336" max="3336" width="6.25" style="3179" customWidth="1"/>
    <col min="3337" max="3337" width="13.5" style="3179" customWidth="1"/>
    <col min="3338" max="3338" width="7.875" style="3179" customWidth="1"/>
    <col min="3339" max="3339" width="88.25" style="3179" customWidth="1"/>
    <col min="3340" max="3340" width="10.625" style="3179" customWidth="1"/>
    <col min="3341" max="3341" width="16" style="3179" customWidth="1"/>
    <col min="3342" max="3342" width="14.375" style="3179" customWidth="1"/>
    <col min="3343" max="3584" width="9" style="3179"/>
    <col min="3585" max="3585" width="40" style="3179" customWidth="1"/>
    <col min="3586" max="3586" width="6.25" style="3179" customWidth="1"/>
    <col min="3587" max="3587" width="11.75" style="3179" customWidth="1"/>
    <col min="3588" max="3588" width="6.25" style="3179" customWidth="1"/>
    <col min="3589" max="3589" width="14.375" style="3179" customWidth="1"/>
    <col min="3590" max="3591" width="13.875" style="3179" customWidth="1"/>
    <col min="3592" max="3592" width="6.25" style="3179" customWidth="1"/>
    <col min="3593" max="3593" width="13.5" style="3179" customWidth="1"/>
    <col min="3594" max="3594" width="7.875" style="3179" customWidth="1"/>
    <col min="3595" max="3595" width="88.25" style="3179" customWidth="1"/>
    <col min="3596" max="3596" width="10.625" style="3179" customWidth="1"/>
    <col min="3597" max="3597" width="16" style="3179" customWidth="1"/>
    <col min="3598" max="3598" width="14.375" style="3179" customWidth="1"/>
    <col min="3599" max="3840" width="9" style="3179"/>
    <col min="3841" max="3841" width="40" style="3179" customWidth="1"/>
    <col min="3842" max="3842" width="6.25" style="3179" customWidth="1"/>
    <col min="3843" max="3843" width="11.75" style="3179" customWidth="1"/>
    <col min="3844" max="3844" width="6.25" style="3179" customWidth="1"/>
    <col min="3845" max="3845" width="14.375" style="3179" customWidth="1"/>
    <col min="3846" max="3847" width="13.875" style="3179" customWidth="1"/>
    <col min="3848" max="3848" width="6.25" style="3179" customWidth="1"/>
    <col min="3849" max="3849" width="13.5" style="3179" customWidth="1"/>
    <col min="3850" max="3850" width="7.875" style="3179" customWidth="1"/>
    <col min="3851" max="3851" width="88.25" style="3179" customWidth="1"/>
    <col min="3852" max="3852" width="10.625" style="3179" customWidth="1"/>
    <col min="3853" max="3853" width="16" style="3179" customWidth="1"/>
    <col min="3854" max="3854" width="14.375" style="3179" customWidth="1"/>
    <col min="3855" max="4096" width="9" style="3179"/>
    <col min="4097" max="4097" width="40" style="3179" customWidth="1"/>
    <col min="4098" max="4098" width="6.25" style="3179" customWidth="1"/>
    <col min="4099" max="4099" width="11.75" style="3179" customWidth="1"/>
    <col min="4100" max="4100" width="6.25" style="3179" customWidth="1"/>
    <col min="4101" max="4101" width="14.375" style="3179" customWidth="1"/>
    <col min="4102" max="4103" width="13.875" style="3179" customWidth="1"/>
    <col min="4104" max="4104" width="6.25" style="3179" customWidth="1"/>
    <col min="4105" max="4105" width="13.5" style="3179" customWidth="1"/>
    <col min="4106" max="4106" width="7.875" style="3179" customWidth="1"/>
    <col min="4107" max="4107" width="88.25" style="3179" customWidth="1"/>
    <col min="4108" max="4108" width="10.625" style="3179" customWidth="1"/>
    <col min="4109" max="4109" width="16" style="3179" customWidth="1"/>
    <col min="4110" max="4110" width="14.375" style="3179" customWidth="1"/>
    <col min="4111" max="4352" width="9" style="3179"/>
    <col min="4353" max="4353" width="40" style="3179" customWidth="1"/>
    <col min="4354" max="4354" width="6.25" style="3179" customWidth="1"/>
    <col min="4355" max="4355" width="11.75" style="3179" customWidth="1"/>
    <col min="4356" max="4356" width="6.25" style="3179" customWidth="1"/>
    <col min="4357" max="4357" width="14.375" style="3179" customWidth="1"/>
    <col min="4358" max="4359" width="13.875" style="3179" customWidth="1"/>
    <col min="4360" max="4360" width="6.25" style="3179" customWidth="1"/>
    <col min="4361" max="4361" width="13.5" style="3179" customWidth="1"/>
    <col min="4362" max="4362" width="7.875" style="3179" customWidth="1"/>
    <col min="4363" max="4363" width="88.25" style="3179" customWidth="1"/>
    <col min="4364" max="4364" width="10.625" style="3179" customWidth="1"/>
    <col min="4365" max="4365" width="16" style="3179" customWidth="1"/>
    <col min="4366" max="4366" width="14.375" style="3179" customWidth="1"/>
    <col min="4367" max="4608" width="9" style="3179"/>
    <col min="4609" max="4609" width="40" style="3179" customWidth="1"/>
    <col min="4610" max="4610" width="6.25" style="3179" customWidth="1"/>
    <col min="4611" max="4611" width="11.75" style="3179" customWidth="1"/>
    <col min="4612" max="4612" width="6.25" style="3179" customWidth="1"/>
    <col min="4613" max="4613" width="14.375" style="3179" customWidth="1"/>
    <col min="4614" max="4615" width="13.875" style="3179" customWidth="1"/>
    <col min="4616" max="4616" width="6.25" style="3179" customWidth="1"/>
    <col min="4617" max="4617" width="13.5" style="3179" customWidth="1"/>
    <col min="4618" max="4618" width="7.875" style="3179" customWidth="1"/>
    <col min="4619" max="4619" width="88.25" style="3179" customWidth="1"/>
    <col min="4620" max="4620" width="10.625" style="3179" customWidth="1"/>
    <col min="4621" max="4621" width="16" style="3179" customWidth="1"/>
    <col min="4622" max="4622" width="14.375" style="3179" customWidth="1"/>
    <col min="4623" max="4864" width="9" style="3179"/>
    <col min="4865" max="4865" width="40" style="3179" customWidth="1"/>
    <col min="4866" max="4866" width="6.25" style="3179" customWidth="1"/>
    <col min="4867" max="4867" width="11.75" style="3179" customWidth="1"/>
    <col min="4868" max="4868" width="6.25" style="3179" customWidth="1"/>
    <col min="4869" max="4869" width="14.375" style="3179" customWidth="1"/>
    <col min="4870" max="4871" width="13.875" style="3179" customWidth="1"/>
    <col min="4872" max="4872" width="6.25" style="3179" customWidth="1"/>
    <col min="4873" max="4873" width="13.5" style="3179" customWidth="1"/>
    <col min="4874" max="4874" width="7.875" style="3179" customWidth="1"/>
    <col min="4875" max="4875" width="88.25" style="3179" customWidth="1"/>
    <col min="4876" max="4876" width="10.625" style="3179" customWidth="1"/>
    <col min="4877" max="4877" width="16" style="3179" customWidth="1"/>
    <col min="4878" max="4878" width="14.375" style="3179" customWidth="1"/>
    <col min="4879" max="5120" width="9" style="3179"/>
    <col min="5121" max="5121" width="40" style="3179" customWidth="1"/>
    <col min="5122" max="5122" width="6.25" style="3179" customWidth="1"/>
    <col min="5123" max="5123" width="11.75" style="3179" customWidth="1"/>
    <col min="5124" max="5124" width="6.25" style="3179" customWidth="1"/>
    <col min="5125" max="5125" width="14.375" style="3179" customWidth="1"/>
    <col min="5126" max="5127" width="13.875" style="3179" customWidth="1"/>
    <col min="5128" max="5128" width="6.25" style="3179" customWidth="1"/>
    <col min="5129" max="5129" width="13.5" style="3179" customWidth="1"/>
    <col min="5130" max="5130" width="7.875" style="3179" customWidth="1"/>
    <col min="5131" max="5131" width="88.25" style="3179" customWidth="1"/>
    <col min="5132" max="5132" width="10.625" style="3179" customWidth="1"/>
    <col min="5133" max="5133" width="16" style="3179" customWidth="1"/>
    <col min="5134" max="5134" width="14.375" style="3179" customWidth="1"/>
    <col min="5135" max="5376" width="9" style="3179"/>
    <col min="5377" max="5377" width="40" style="3179" customWidth="1"/>
    <col min="5378" max="5378" width="6.25" style="3179" customWidth="1"/>
    <col min="5379" max="5379" width="11.75" style="3179" customWidth="1"/>
    <col min="5380" max="5380" width="6.25" style="3179" customWidth="1"/>
    <col min="5381" max="5381" width="14.375" style="3179" customWidth="1"/>
    <col min="5382" max="5383" width="13.875" style="3179" customWidth="1"/>
    <col min="5384" max="5384" width="6.25" style="3179" customWidth="1"/>
    <col min="5385" max="5385" width="13.5" style="3179" customWidth="1"/>
    <col min="5386" max="5386" width="7.875" style="3179" customWidth="1"/>
    <col min="5387" max="5387" width="88.25" style="3179" customWidth="1"/>
    <col min="5388" max="5388" width="10.625" style="3179" customWidth="1"/>
    <col min="5389" max="5389" width="16" style="3179" customWidth="1"/>
    <col min="5390" max="5390" width="14.375" style="3179" customWidth="1"/>
    <col min="5391" max="5632" width="9" style="3179"/>
    <col min="5633" max="5633" width="40" style="3179" customWidth="1"/>
    <col min="5634" max="5634" width="6.25" style="3179" customWidth="1"/>
    <col min="5635" max="5635" width="11.75" style="3179" customWidth="1"/>
    <col min="5636" max="5636" width="6.25" style="3179" customWidth="1"/>
    <col min="5637" max="5637" width="14.375" style="3179" customWidth="1"/>
    <col min="5638" max="5639" width="13.875" style="3179" customWidth="1"/>
    <col min="5640" max="5640" width="6.25" style="3179" customWidth="1"/>
    <col min="5641" max="5641" width="13.5" style="3179" customWidth="1"/>
    <col min="5642" max="5642" width="7.875" style="3179" customWidth="1"/>
    <col min="5643" max="5643" width="88.25" style="3179" customWidth="1"/>
    <col min="5644" max="5644" width="10.625" style="3179" customWidth="1"/>
    <col min="5645" max="5645" width="16" style="3179" customWidth="1"/>
    <col min="5646" max="5646" width="14.375" style="3179" customWidth="1"/>
    <col min="5647" max="5888" width="9" style="3179"/>
    <col min="5889" max="5889" width="40" style="3179" customWidth="1"/>
    <col min="5890" max="5890" width="6.25" style="3179" customWidth="1"/>
    <col min="5891" max="5891" width="11.75" style="3179" customWidth="1"/>
    <col min="5892" max="5892" width="6.25" style="3179" customWidth="1"/>
    <col min="5893" max="5893" width="14.375" style="3179" customWidth="1"/>
    <col min="5894" max="5895" width="13.875" style="3179" customWidth="1"/>
    <col min="5896" max="5896" width="6.25" style="3179" customWidth="1"/>
    <col min="5897" max="5897" width="13.5" style="3179" customWidth="1"/>
    <col min="5898" max="5898" width="7.875" style="3179" customWidth="1"/>
    <col min="5899" max="5899" width="88.25" style="3179" customWidth="1"/>
    <col min="5900" max="5900" width="10.625" style="3179" customWidth="1"/>
    <col min="5901" max="5901" width="16" style="3179" customWidth="1"/>
    <col min="5902" max="5902" width="14.375" style="3179" customWidth="1"/>
    <col min="5903" max="6144" width="9" style="3179"/>
    <col min="6145" max="6145" width="40" style="3179" customWidth="1"/>
    <col min="6146" max="6146" width="6.25" style="3179" customWidth="1"/>
    <col min="6147" max="6147" width="11.75" style="3179" customWidth="1"/>
    <col min="6148" max="6148" width="6.25" style="3179" customWidth="1"/>
    <col min="6149" max="6149" width="14.375" style="3179" customWidth="1"/>
    <col min="6150" max="6151" width="13.875" style="3179" customWidth="1"/>
    <col min="6152" max="6152" width="6.25" style="3179" customWidth="1"/>
    <col min="6153" max="6153" width="13.5" style="3179" customWidth="1"/>
    <col min="6154" max="6154" width="7.875" style="3179" customWidth="1"/>
    <col min="6155" max="6155" width="88.25" style="3179" customWidth="1"/>
    <col min="6156" max="6156" width="10.625" style="3179" customWidth="1"/>
    <col min="6157" max="6157" width="16" style="3179" customWidth="1"/>
    <col min="6158" max="6158" width="14.375" style="3179" customWidth="1"/>
    <col min="6159" max="6400" width="9" style="3179"/>
    <col min="6401" max="6401" width="40" style="3179" customWidth="1"/>
    <col min="6402" max="6402" width="6.25" style="3179" customWidth="1"/>
    <col min="6403" max="6403" width="11.75" style="3179" customWidth="1"/>
    <col min="6404" max="6404" width="6.25" style="3179" customWidth="1"/>
    <col min="6405" max="6405" width="14.375" style="3179" customWidth="1"/>
    <col min="6406" max="6407" width="13.875" style="3179" customWidth="1"/>
    <col min="6408" max="6408" width="6.25" style="3179" customWidth="1"/>
    <col min="6409" max="6409" width="13.5" style="3179" customWidth="1"/>
    <col min="6410" max="6410" width="7.875" style="3179" customWidth="1"/>
    <col min="6411" max="6411" width="88.25" style="3179" customWidth="1"/>
    <col min="6412" max="6412" width="10.625" style="3179" customWidth="1"/>
    <col min="6413" max="6413" width="16" style="3179" customWidth="1"/>
    <col min="6414" max="6414" width="14.375" style="3179" customWidth="1"/>
    <col min="6415" max="6656" width="9" style="3179"/>
    <col min="6657" max="6657" width="40" style="3179" customWidth="1"/>
    <col min="6658" max="6658" width="6.25" style="3179" customWidth="1"/>
    <col min="6659" max="6659" width="11.75" style="3179" customWidth="1"/>
    <col min="6660" max="6660" width="6.25" style="3179" customWidth="1"/>
    <col min="6661" max="6661" width="14.375" style="3179" customWidth="1"/>
    <col min="6662" max="6663" width="13.875" style="3179" customWidth="1"/>
    <col min="6664" max="6664" width="6.25" style="3179" customWidth="1"/>
    <col min="6665" max="6665" width="13.5" style="3179" customWidth="1"/>
    <col min="6666" max="6666" width="7.875" style="3179" customWidth="1"/>
    <col min="6667" max="6667" width="88.25" style="3179" customWidth="1"/>
    <col min="6668" max="6668" width="10.625" style="3179" customWidth="1"/>
    <col min="6669" max="6669" width="16" style="3179" customWidth="1"/>
    <col min="6670" max="6670" width="14.375" style="3179" customWidth="1"/>
    <col min="6671" max="6912" width="9" style="3179"/>
    <col min="6913" max="6913" width="40" style="3179" customWidth="1"/>
    <col min="6914" max="6914" width="6.25" style="3179" customWidth="1"/>
    <col min="6915" max="6915" width="11.75" style="3179" customWidth="1"/>
    <col min="6916" max="6916" width="6.25" style="3179" customWidth="1"/>
    <col min="6917" max="6917" width="14.375" style="3179" customWidth="1"/>
    <col min="6918" max="6919" width="13.875" style="3179" customWidth="1"/>
    <col min="6920" max="6920" width="6.25" style="3179" customWidth="1"/>
    <col min="6921" max="6921" width="13.5" style="3179" customWidth="1"/>
    <col min="6922" max="6922" width="7.875" style="3179" customWidth="1"/>
    <col min="6923" max="6923" width="88.25" style="3179" customWidth="1"/>
    <col min="6924" max="6924" width="10.625" style="3179" customWidth="1"/>
    <col min="6925" max="6925" width="16" style="3179" customWidth="1"/>
    <col min="6926" max="6926" width="14.375" style="3179" customWidth="1"/>
    <col min="6927" max="7168" width="9" style="3179"/>
    <col min="7169" max="7169" width="40" style="3179" customWidth="1"/>
    <col min="7170" max="7170" width="6.25" style="3179" customWidth="1"/>
    <col min="7171" max="7171" width="11.75" style="3179" customWidth="1"/>
    <col min="7172" max="7172" width="6.25" style="3179" customWidth="1"/>
    <col min="7173" max="7173" width="14.375" style="3179" customWidth="1"/>
    <col min="7174" max="7175" width="13.875" style="3179" customWidth="1"/>
    <col min="7176" max="7176" width="6.25" style="3179" customWidth="1"/>
    <col min="7177" max="7177" width="13.5" style="3179" customWidth="1"/>
    <col min="7178" max="7178" width="7.875" style="3179" customWidth="1"/>
    <col min="7179" max="7179" width="88.25" style="3179" customWidth="1"/>
    <col min="7180" max="7180" width="10.625" style="3179" customWidth="1"/>
    <col min="7181" max="7181" width="16" style="3179" customWidth="1"/>
    <col min="7182" max="7182" width="14.375" style="3179" customWidth="1"/>
    <col min="7183" max="7424" width="9" style="3179"/>
    <col min="7425" max="7425" width="40" style="3179" customWidth="1"/>
    <col min="7426" max="7426" width="6.25" style="3179" customWidth="1"/>
    <col min="7427" max="7427" width="11.75" style="3179" customWidth="1"/>
    <col min="7428" max="7428" width="6.25" style="3179" customWidth="1"/>
    <col min="7429" max="7429" width="14.375" style="3179" customWidth="1"/>
    <col min="7430" max="7431" width="13.875" style="3179" customWidth="1"/>
    <col min="7432" max="7432" width="6.25" style="3179" customWidth="1"/>
    <col min="7433" max="7433" width="13.5" style="3179" customWidth="1"/>
    <col min="7434" max="7434" width="7.875" style="3179" customWidth="1"/>
    <col min="7435" max="7435" width="88.25" style="3179" customWidth="1"/>
    <col min="7436" max="7436" width="10.625" style="3179" customWidth="1"/>
    <col min="7437" max="7437" width="16" style="3179" customWidth="1"/>
    <col min="7438" max="7438" width="14.375" style="3179" customWidth="1"/>
    <col min="7439" max="7680" width="9" style="3179"/>
    <col min="7681" max="7681" width="40" style="3179" customWidth="1"/>
    <col min="7682" max="7682" width="6.25" style="3179" customWidth="1"/>
    <col min="7683" max="7683" width="11.75" style="3179" customWidth="1"/>
    <col min="7684" max="7684" width="6.25" style="3179" customWidth="1"/>
    <col min="7685" max="7685" width="14.375" style="3179" customWidth="1"/>
    <col min="7686" max="7687" width="13.875" style="3179" customWidth="1"/>
    <col min="7688" max="7688" width="6.25" style="3179" customWidth="1"/>
    <col min="7689" max="7689" width="13.5" style="3179" customWidth="1"/>
    <col min="7690" max="7690" width="7.875" style="3179" customWidth="1"/>
    <col min="7691" max="7691" width="88.25" style="3179" customWidth="1"/>
    <col min="7692" max="7692" width="10.625" style="3179" customWidth="1"/>
    <col min="7693" max="7693" width="16" style="3179" customWidth="1"/>
    <col min="7694" max="7694" width="14.375" style="3179" customWidth="1"/>
    <col min="7695" max="7936" width="9" style="3179"/>
    <col min="7937" max="7937" width="40" style="3179" customWidth="1"/>
    <col min="7938" max="7938" width="6.25" style="3179" customWidth="1"/>
    <col min="7939" max="7939" width="11.75" style="3179" customWidth="1"/>
    <col min="7940" max="7940" width="6.25" style="3179" customWidth="1"/>
    <col min="7941" max="7941" width="14.375" style="3179" customWidth="1"/>
    <col min="7942" max="7943" width="13.875" style="3179" customWidth="1"/>
    <col min="7944" max="7944" width="6.25" style="3179" customWidth="1"/>
    <col min="7945" max="7945" width="13.5" style="3179" customWidth="1"/>
    <col min="7946" max="7946" width="7.875" style="3179" customWidth="1"/>
    <col min="7947" max="7947" width="88.25" style="3179" customWidth="1"/>
    <col min="7948" max="7948" width="10.625" style="3179" customWidth="1"/>
    <col min="7949" max="7949" width="16" style="3179" customWidth="1"/>
    <col min="7950" max="7950" width="14.375" style="3179" customWidth="1"/>
    <col min="7951" max="8192" width="9" style="3179"/>
    <col min="8193" max="8193" width="40" style="3179" customWidth="1"/>
    <col min="8194" max="8194" width="6.25" style="3179" customWidth="1"/>
    <col min="8195" max="8195" width="11.75" style="3179" customWidth="1"/>
    <col min="8196" max="8196" width="6.25" style="3179" customWidth="1"/>
    <col min="8197" max="8197" width="14.375" style="3179" customWidth="1"/>
    <col min="8198" max="8199" width="13.875" style="3179" customWidth="1"/>
    <col min="8200" max="8200" width="6.25" style="3179" customWidth="1"/>
    <col min="8201" max="8201" width="13.5" style="3179" customWidth="1"/>
    <col min="8202" max="8202" width="7.875" style="3179" customWidth="1"/>
    <col min="8203" max="8203" width="88.25" style="3179" customWidth="1"/>
    <col min="8204" max="8204" width="10.625" style="3179" customWidth="1"/>
    <col min="8205" max="8205" width="16" style="3179" customWidth="1"/>
    <col min="8206" max="8206" width="14.375" style="3179" customWidth="1"/>
    <col min="8207" max="8448" width="9" style="3179"/>
    <col min="8449" max="8449" width="40" style="3179" customWidth="1"/>
    <col min="8450" max="8450" width="6.25" style="3179" customWidth="1"/>
    <col min="8451" max="8451" width="11.75" style="3179" customWidth="1"/>
    <col min="8452" max="8452" width="6.25" style="3179" customWidth="1"/>
    <col min="8453" max="8453" width="14.375" style="3179" customWidth="1"/>
    <col min="8454" max="8455" width="13.875" style="3179" customWidth="1"/>
    <col min="8456" max="8456" width="6.25" style="3179" customWidth="1"/>
    <col min="8457" max="8457" width="13.5" style="3179" customWidth="1"/>
    <col min="8458" max="8458" width="7.875" style="3179" customWidth="1"/>
    <col min="8459" max="8459" width="88.25" style="3179" customWidth="1"/>
    <col min="8460" max="8460" width="10.625" style="3179" customWidth="1"/>
    <col min="8461" max="8461" width="16" style="3179" customWidth="1"/>
    <col min="8462" max="8462" width="14.375" style="3179" customWidth="1"/>
    <col min="8463" max="8704" width="9" style="3179"/>
    <col min="8705" max="8705" width="40" style="3179" customWidth="1"/>
    <col min="8706" max="8706" width="6.25" style="3179" customWidth="1"/>
    <col min="8707" max="8707" width="11.75" style="3179" customWidth="1"/>
    <col min="8708" max="8708" width="6.25" style="3179" customWidth="1"/>
    <col min="8709" max="8709" width="14.375" style="3179" customWidth="1"/>
    <col min="8710" max="8711" width="13.875" style="3179" customWidth="1"/>
    <col min="8712" max="8712" width="6.25" style="3179" customWidth="1"/>
    <col min="8713" max="8713" width="13.5" style="3179" customWidth="1"/>
    <col min="8714" max="8714" width="7.875" style="3179" customWidth="1"/>
    <col min="8715" max="8715" width="88.25" style="3179" customWidth="1"/>
    <col min="8716" max="8716" width="10.625" style="3179" customWidth="1"/>
    <col min="8717" max="8717" width="16" style="3179" customWidth="1"/>
    <col min="8718" max="8718" width="14.375" style="3179" customWidth="1"/>
    <col min="8719" max="8960" width="9" style="3179"/>
    <col min="8961" max="8961" width="40" style="3179" customWidth="1"/>
    <col min="8962" max="8962" width="6.25" style="3179" customWidth="1"/>
    <col min="8963" max="8963" width="11.75" style="3179" customWidth="1"/>
    <col min="8964" max="8964" width="6.25" style="3179" customWidth="1"/>
    <col min="8965" max="8965" width="14.375" style="3179" customWidth="1"/>
    <col min="8966" max="8967" width="13.875" style="3179" customWidth="1"/>
    <col min="8968" max="8968" width="6.25" style="3179" customWidth="1"/>
    <col min="8969" max="8969" width="13.5" style="3179" customWidth="1"/>
    <col min="8970" max="8970" width="7.875" style="3179" customWidth="1"/>
    <col min="8971" max="8971" width="88.25" style="3179" customWidth="1"/>
    <col min="8972" max="8972" width="10.625" style="3179" customWidth="1"/>
    <col min="8973" max="8973" width="16" style="3179" customWidth="1"/>
    <col min="8974" max="8974" width="14.375" style="3179" customWidth="1"/>
    <col min="8975" max="9216" width="9" style="3179"/>
    <col min="9217" max="9217" width="40" style="3179" customWidth="1"/>
    <col min="9218" max="9218" width="6.25" style="3179" customWidth="1"/>
    <col min="9219" max="9219" width="11.75" style="3179" customWidth="1"/>
    <col min="9220" max="9220" width="6.25" style="3179" customWidth="1"/>
    <col min="9221" max="9221" width="14.375" style="3179" customWidth="1"/>
    <col min="9222" max="9223" width="13.875" style="3179" customWidth="1"/>
    <col min="9224" max="9224" width="6.25" style="3179" customWidth="1"/>
    <col min="9225" max="9225" width="13.5" style="3179" customWidth="1"/>
    <col min="9226" max="9226" width="7.875" style="3179" customWidth="1"/>
    <col min="9227" max="9227" width="88.25" style="3179" customWidth="1"/>
    <col min="9228" max="9228" width="10.625" style="3179" customWidth="1"/>
    <col min="9229" max="9229" width="16" style="3179" customWidth="1"/>
    <col min="9230" max="9230" width="14.375" style="3179" customWidth="1"/>
    <col min="9231" max="9472" width="9" style="3179"/>
    <col min="9473" max="9473" width="40" style="3179" customWidth="1"/>
    <col min="9474" max="9474" width="6.25" style="3179" customWidth="1"/>
    <col min="9475" max="9475" width="11.75" style="3179" customWidth="1"/>
    <col min="9476" max="9476" width="6.25" style="3179" customWidth="1"/>
    <col min="9477" max="9477" width="14.375" style="3179" customWidth="1"/>
    <col min="9478" max="9479" width="13.875" style="3179" customWidth="1"/>
    <col min="9480" max="9480" width="6.25" style="3179" customWidth="1"/>
    <col min="9481" max="9481" width="13.5" style="3179" customWidth="1"/>
    <col min="9482" max="9482" width="7.875" style="3179" customWidth="1"/>
    <col min="9483" max="9483" width="88.25" style="3179" customWidth="1"/>
    <col min="9484" max="9484" width="10.625" style="3179" customWidth="1"/>
    <col min="9485" max="9485" width="16" style="3179" customWidth="1"/>
    <col min="9486" max="9486" width="14.375" style="3179" customWidth="1"/>
    <col min="9487" max="9728" width="9" style="3179"/>
    <col min="9729" max="9729" width="40" style="3179" customWidth="1"/>
    <col min="9730" max="9730" width="6.25" style="3179" customWidth="1"/>
    <col min="9731" max="9731" width="11.75" style="3179" customWidth="1"/>
    <col min="9732" max="9732" width="6.25" style="3179" customWidth="1"/>
    <col min="9733" max="9733" width="14.375" style="3179" customWidth="1"/>
    <col min="9734" max="9735" width="13.875" style="3179" customWidth="1"/>
    <col min="9736" max="9736" width="6.25" style="3179" customWidth="1"/>
    <col min="9737" max="9737" width="13.5" style="3179" customWidth="1"/>
    <col min="9738" max="9738" width="7.875" style="3179" customWidth="1"/>
    <col min="9739" max="9739" width="88.25" style="3179" customWidth="1"/>
    <col min="9740" max="9740" width="10.625" style="3179" customWidth="1"/>
    <col min="9741" max="9741" width="16" style="3179" customWidth="1"/>
    <col min="9742" max="9742" width="14.375" style="3179" customWidth="1"/>
    <col min="9743" max="9984" width="9" style="3179"/>
    <col min="9985" max="9985" width="40" style="3179" customWidth="1"/>
    <col min="9986" max="9986" width="6.25" style="3179" customWidth="1"/>
    <col min="9987" max="9987" width="11.75" style="3179" customWidth="1"/>
    <col min="9988" max="9988" width="6.25" style="3179" customWidth="1"/>
    <col min="9989" max="9989" width="14.375" style="3179" customWidth="1"/>
    <col min="9990" max="9991" width="13.875" style="3179" customWidth="1"/>
    <col min="9992" max="9992" width="6.25" style="3179" customWidth="1"/>
    <col min="9993" max="9993" width="13.5" style="3179" customWidth="1"/>
    <col min="9994" max="9994" width="7.875" style="3179" customWidth="1"/>
    <col min="9995" max="9995" width="88.25" style="3179" customWidth="1"/>
    <col min="9996" max="9996" width="10.625" style="3179" customWidth="1"/>
    <col min="9997" max="9997" width="16" style="3179" customWidth="1"/>
    <col min="9998" max="9998" width="14.375" style="3179" customWidth="1"/>
    <col min="9999" max="10240" width="9" style="3179"/>
    <col min="10241" max="10241" width="40" style="3179" customWidth="1"/>
    <col min="10242" max="10242" width="6.25" style="3179" customWidth="1"/>
    <col min="10243" max="10243" width="11.75" style="3179" customWidth="1"/>
    <col min="10244" max="10244" width="6.25" style="3179" customWidth="1"/>
    <col min="10245" max="10245" width="14.375" style="3179" customWidth="1"/>
    <col min="10246" max="10247" width="13.875" style="3179" customWidth="1"/>
    <col min="10248" max="10248" width="6.25" style="3179" customWidth="1"/>
    <col min="10249" max="10249" width="13.5" style="3179" customWidth="1"/>
    <col min="10250" max="10250" width="7.875" style="3179" customWidth="1"/>
    <col min="10251" max="10251" width="88.25" style="3179" customWidth="1"/>
    <col min="10252" max="10252" width="10.625" style="3179" customWidth="1"/>
    <col min="10253" max="10253" width="16" style="3179" customWidth="1"/>
    <col min="10254" max="10254" width="14.375" style="3179" customWidth="1"/>
    <col min="10255" max="10496" width="9" style="3179"/>
    <col min="10497" max="10497" width="40" style="3179" customWidth="1"/>
    <col min="10498" max="10498" width="6.25" style="3179" customWidth="1"/>
    <col min="10499" max="10499" width="11.75" style="3179" customWidth="1"/>
    <col min="10500" max="10500" width="6.25" style="3179" customWidth="1"/>
    <col min="10501" max="10501" width="14.375" style="3179" customWidth="1"/>
    <col min="10502" max="10503" width="13.875" style="3179" customWidth="1"/>
    <col min="10504" max="10504" width="6.25" style="3179" customWidth="1"/>
    <col min="10505" max="10505" width="13.5" style="3179" customWidth="1"/>
    <col min="10506" max="10506" width="7.875" style="3179" customWidth="1"/>
    <col min="10507" max="10507" width="88.25" style="3179" customWidth="1"/>
    <col min="10508" max="10508" width="10.625" style="3179" customWidth="1"/>
    <col min="10509" max="10509" width="16" style="3179" customWidth="1"/>
    <col min="10510" max="10510" width="14.375" style="3179" customWidth="1"/>
    <col min="10511" max="10752" width="9" style="3179"/>
    <col min="10753" max="10753" width="40" style="3179" customWidth="1"/>
    <col min="10754" max="10754" width="6.25" style="3179" customWidth="1"/>
    <col min="10755" max="10755" width="11.75" style="3179" customWidth="1"/>
    <col min="10756" max="10756" width="6.25" style="3179" customWidth="1"/>
    <col min="10757" max="10757" width="14.375" style="3179" customWidth="1"/>
    <col min="10758" max="10759" width="13.875" style="3179" customWidth="1"/>
    <col min="10760" max="10760" width="6.25" style="3179" customWidth="1"/>
    <col min="10761" max="10761" width="13.5" style="3179" customWidth="1"/>
    <col min="10762" max="10762" width="7.875" style="3179" customWidth="1"/>
    <col min="10763" max="10763" width="88.25" style="3179" customWidth="1"/>
    <col min="10764" max="10764" width="10.625" style="3179" customWidth="1"/>
    <col min="10765" max="10765" width="16" style="3179" customWidth="1"/>
    <col min="10766" max="10766" width="14.375" style="3179" customWidth="1"/>
    <col min="10767" max="11008" width="9" style="3179"/>
    <col min="11009" max="11009" width="40" style="3179" customWidth="1"/>
    <col min="11010" max="11010" width="6.25" style="3179" customWidth="1"/>
    <col min="11011" max="11011" width="11.75" style="3179" customWidth="1"/>
    <col min="11012" max="11012" width="6.25" style="3179" customWidth="1"/>
    <col min="11013" max="11013" width="14.375" style="3179" customWidth="1"/>
    <col min="11014" max="11015" width="13.875" style="3179" customWidth="1"/>
    <col min="11016" max="11016" width="6.25" style="3179" customWidth="1"/>
    <col min="11017" max="11017" width="13.5" style="3179" customWidth="1"/>
    <col min="11018" max="11018" width="7.875" style="3179" customWidth="1"/>
    <col min="11019" max="11019" width="88.25" style="3179" customWidth="1"/>
    <col min="11020" max="11020" width="10.625" style="3179" customWidth="1"/>
    <col min="11021" max="11021" width="16" style="3179" customWidth="1"/>
    <col min="11022" max="11022" width="14.375" style="3179" customWidth="1"/>
    <col min="11023" max="11264" width="9" style="3179"/>
    <col min="11265" max="11265" width="40" style="3179" customWidth="1"/>
    <col min="11266" max="11266" width="6.25" style="3179" customWidth="1"/>
    <col min="11267" max="11267" width="11.75" style="3179" customWidth="1"/>
    <col min="11268" max="11268" width="6.25" style="3179" customWidth="1"/>
    <col min="11269" max="11269" width="14.375" style="3179" customWidth="1"/>
    <col min="11270" max="11271" width="13.875" style="3179" customWidth="1"/>
    <col min="11272" max="11272" width="6.25" style="3179" customWidth="1"/>
    <col min="11273" max="11273" width="13.5" style="3179" customWidth="1"/>
    <col min="11274" max="11274" width="7.875" style="3179" customWidth="1"/>
    <col min="11275" max="11275" width="88.25" style="3179" customWidth="1"/>
    <col min="11276" max="11276" width="10.625" style="3179" customWidth="1"/>
    <col min="11277" max="11277" width="16" style="3179" customWidth="1"/>
    <col min="11278" max="11278" width="14.375" style="3179" customWidth="1"/>
    <col min="11279" max="11520" width="9" style="3179"/>
    <col min="11521" max="11521" width="40" style="3179" customWidth="1"/>
    <col min="11522" max="11522" width="6.25" style="3179" customWidth="1"/>
    <col min="11523" max="11523" width="11.75" style="3179" customWidth="1"/>
    <col min="11524" max="11524" width="6.25" style="3179" customWidth="1"/>
    <col min="11525" max="11525" width="14.375" style="3179" customWidth="1"/>
    <col min="11526" max="11527" width="13.875" style="3179" customWidth="1"/>
    <col min="11528" max="11528" width="6.25" style="3179" customWidth="1"/>
    <col min="11529" max="11529" width="13.5" style="3179" customWidth="1"/>
    <col min="11530" max="11530" width="7.875" style="3179" customWidth="1"/>
    <col min="11531" max="11531" width="88.25" style="3179" customWidth="1"/>
    <col min="11532" max="11532" width="10.625" style="3179" customWidth="1"/>
    <col min="11533" max="11533" width="16" style="3179" customWidth="1"/>
    <col min="11534" max="11534" width="14.375" style="3179" customWidth="1"/>
    <col min="11535" max="11776" width="9" style="3179"/>
    <col min="11777" max="11777" width="40" style="3179" customWidth="1"/>
    <col min="11778" max="11778" width="6.25" style="3179" customWidth="1"/>
    <col min="11779" max="11779" width="11.75" style="3179" customWidth="1"/>
    <col min="11780" max="11780" width="6.25" style="3179" customWidth="1"/>
    <col min="11781" max="11781" width="14.375" style="3179" customWidth="1"/>
    <col min="11782" max="11783" width="13.875" style="3179" customWidth="1"/>
    <col min="11784" max="11784" width="6.25" style="3179" customWidth="1"/>
    <col min="11785" max="11785" width="13.5" style="3179" customWidth="1"/>
    <col min="11786" max="11786" width="7.875" style="3179" customWidth="1"/>
    <col min="11787" max="11787" width="88.25" style="3179" customWidth="1"/>
    <col min="11788" max="11788" width="10.625" style="3179" customWidth="1"/>
    <col min="11789" max="11789" width="16" style="3179" customWidth="1"/>
    <col min="11790" max="11790" width="14.375" style="3179" customWidth="1"/>
    <col min="11791" max="12032" width="9" style="3179"/>
    <col min="12033" max="12033" width="40" style="3179" customWidth="1"/>
    <col min="12034" max="12034" width="6.25" style="3179" customWidth="1"/>
    <col min="12035" max="12035" width="11.75" style="3179" customWidth="1"/>
    <col min="12036" max="12036" width="6.25" style="3179" customWidth="1"/>
    <col min="12037" max="12037" width="14.375" style="3179" customWidth="1"/>
    <col min="12038" max="12039" width="13.875" style="3179" customWidth="1"/>
    <col min="12040" max="12040" width="6.25" style="3179" customWidth="1"/>
    <col min="12041" max="12041" width="13.5" style="3179" customWidth="1"/>
    <col min="12042" max="12042" width="7.875" style="3179" customWidth="1"/>
    <col min="12043" max="12043" width="88.25" style="3179" customWidth="1"/>
    <col min="12044" max="12044" width="10.625" style="3179" customWidth="1"/>
    <col min="12045" max="12045" width="16" style="3179" customWidth="1"/>
    <col min="12046" max="12046" width="14.375" style="3179" customWidth="1"/>
    <col min="12047" max="12288" width="9" style="3179"/>
    <col min="12289" max="12289" width="40" style="3179" customWidth="1"/>
    <col min="12290" max="12290" width="6.25" style="3179" customWidth="1"/>
    <col min="12291" max="12291" width="11.75" style="3179" customWidth="1"/>
    <col min="12292" max="12292" width="6.25" style="3179" customWidth="1"/>
    <col min="12293" max="12293" width="14.375" style="3179" customWidth="1"/>
    <col min="12294" max="12295" width="13.875" style="3179" customWidth="1"/>
    <col min="12296" max="12296" width="6.25" style="3179" customWidth="1"/>
    <col min="12297" max="12297" width="13.5" style="3179" customWidth="1"/>
    <col min="12298" max="12298" width="7.875" style="3179" customWidth="1"/>
    <col min="12299" max="12299" width="88.25" style="3179" customWidth="1"/>
    <col min="12300" max="12300" width="10.625" style="3179" customWidth="1"/>
    <col min="12301" max="12301" width="16" style="3179" customWidth="1"/>
    <col min="12302" max="12302" width="14.375" style="3179" customWidth="1"/>
    <col min="12303" max="12544" width="9" style="3179"/>
    <col min="12545" max="12545" width="40" style="3179" customWidth="1"/>
    <col min="12546" max="12546" width="6.25" style="3179" customWidth="1"/>
    <col min="12547" max="12547" width="11.75" style="3179" customWidth="1"/>
    <col min="12548" max="12548" width="6.25" style="3179" customWidth="1"/>
    <col min="12549" max="12549" width="14.375" style="3179" customWidth="1"/>
    <col min="12550" max="12551" width="13.875" style="3179" customWidth="1"/>
    <col min="12552" max="12552" width="6.25" style="3179" customWidth="1"/>
    <col min="12553" max="12553" width="13.5" style="3179" customWidth="1"/>
    <col min="12554" max="12554" width="7.875" style="3179" customWidth="1"/>
    <col min="12555" max="12555" width="88.25" style="3179" customWidth="1"/>
    <col min="12556" max="12556" width="10.625" style="3179" customWidth="1"/>
    <col min="12557" max="12557" width="16" style="3179" customWidth="1"/>
    <col min="12558" max="12558" width="14.375" style="3179" customWidth="1"/>
    <col min="12559" max="12800" width="9" style="3179"/>
    <col min="12801" max="12801" width="40" style="3179" customWidth="1"/>
    <col min="12802" max="12802" width="6.25" style="3179" customWidth="1"/>
    <col min="12803" max="12803" width="11.75" style="3179" customWidth="1"/>
    <col min="12804" max="12804" width="6.25" style="3179" customWidth="1"/>
    <col min="12805" max="12805" width="14.375" style="3179" customWidth="1"/>
    <col min="12806" max="12807" width="13.875" style="3179" customWidth="1"/>
    <col min="12808" max="12808" width="6.25" style="3179" customWidth="1"/>
    <col min="12809" max="12809" width="13.5" style="3179" customWidth="1"/>
    <col min="12810" max="12810" width="7.875" style="3179" customWidth="1"/>
    <col min="12811" max="12811" width="88.25" style="3179" customWidth="1"/>
    <col min="12812" max="12812" width="10.625" style="3179" customWidth="1"/>
    <col min="12813" max="12813" width="16" style="3179" customWidth="1"/>
    <col min="12814" max="12814" width="14.375" style="3179" customWidth="1"/>
    <col min="12815" max="13056" width="9" style="3179"/>
    <col min="13057" max="13057" width="40" style="3179" customWidth="1"/>
    <col min="13058" max="13058" width="6.25" style="3179" customWidth="1"/>
    <col min="13059" max="13059" width="11.75" style="3179" customWidth="1"/>
    <col min="13060" max="13060" width="6.25" style="3179" customWidth="1"/>
    <col min="13061" max="13061" width="14.375" style="3179" customWidth="1"/>
    <col min="13062" max="13063" width="13.875" style="3179" customWidth="1"/>
    <col min="13064" max="13064" width="6.25" style="3179" customWidth="1"/>
    <col min="13065" max="13065" width="13.5" style="3179" customWidth="1"/>
    <col min="13066" max="13066" width="7.875" style="3179" customWidth="1"/>
    <col min="13067" max="13067" width="88.25" style="3179" customWidth="1"/>
    <col min="13068" max="13068" width="10.625" style="3179" customWidth="1"/>
    <col min="13069" max="13069" width="16" style="3179" customWidth="1"/>
    <col min="13070" max="13070" width="14.375" style="3179" customWidth="1"/>
    <col min="13071" max="13312" width="9" style="3179"/>
    <col min="13313" max="13313" width="40" style="3179" customWidth="1"/>
    <col min="13314" max="13314" width="6.25" style="3179" customWidth="1"/>
    <col min="13315" max="13315" width="11.75" style="3179" customWidth="1"/>
    <col min="13316" max="13316" width="6.25" style="3179" customWidth="1"/>
    <col min="13317" max="13317" width="14.375" style="3179" customWidth="1"/>
    <col min="13318" max="13319" width="13.875" style="3179" customWidth="1"/>
    <col min="13320" max="13320" width="6.25" style="3179" customWidth="1"/>
    <col min="13321" max="13321" width="13.5" style="3179" customWidth="1"/>
    <col min="13322" max="13322" width="7.875" style="3179" customWidth="1"/>
    <col min="13323" max="13323" width="88.25" style="3179" customWidth="1"/>
    <col min="13324" max="13324" width="10.625" style="3179" customWidth="1"/>
    <col min="13325" max="13325" width="16" style="3179" customWidth="1"/>
    <col min="13326" max="13326" width="14.375" style="3179" customWidth="1"/>
    <col min="13327" max="13568" width="9" style="3179"/>
    <col min="13569" max="13569" width="40" style="3179" customWidth="1"/>
    <col min="13570" max="13570" width="6.25" style="3179" customWidth="1"/>
    <col min="13571" max="13571" width="11.75" style="3179" customWidth="1"/>
    <col min="13572" max="13572" width="6.25" style="3179" customWidth="1"/>
    <col min="13573" max="13573" width="14.375" style="3179" customWidth="1"/>
    <col min="13574" max="13575" width="13.875" style="3179" customWidth="1"/>
    <col min="13576" max="13576" width="6.25" style="3179" customWidth="1"/>
    <col min="13577" max="13577" width="13.5" style="3179" customWidth="1"/>
    <col min="13578" max="13578" width="7.875" style="3179" customWidth="1"/>
    <col min="13579" max="13579" width="88.25" style="3179" customWidth="1"/>
    <col min="13580" max="13580" width="10.625" style="3179" customWidth="1"/>
    <col min="13581" max="13581" width="16" style="3179" customWidth="1"/>
    <col min="13582" max="13582" width="14.375" style="3179" customWidth="1"/>
    <col min="13583" max="13824" width="9" style="3179"/>
    <col min="13825" max="13825" width="40" style="3179" customWidth="1"/>
    <col min="13826" max="13826" width="6.25" style="3179" customWidth="1"/>
    <col min="13827" max="13827" width="11.75" style="3179" customWidth="1"/>
    <col min="13828" max="13828" width="6.25" style="3179" customWidth="1"/>
    <col min="13829" max="13829" width="14.375" style="3179" customWidth="1"/>
    <col min="13830" max="13831" width="13.875" style="3179" customWidth="1"/>
    <col min="13832" max="13832" width="6.25" style="3179" customWidth="1"/>
    <col min="13833" max="13833" width="13.5" style="3179" customWidth="1"/>
    <col min="13834" max="13834" width="7.875" style="3179" customWidth="1"/>
    <col min="13835" max="13835" width="88.25" style="3179" customWidth="1"/>
    <col min="13836" max="13836" width="10.625" style="3179" customWidth="1"/>
    <col min="13837" max="13837" width="16" style="3179" customWidth="1"/>
    <col min="13838" max="13838" width="14.375" style="3179" customWidth="1"/>
    <col min="13839" max="14080" width="9" style="3179"/>
    <col min="14081" max="14081" width="40" style="3179" customWidth="1"/>
    <col min="14082" max="14082" width="6.25" style="3179" customWidth="1"/>
    <col min="14083" max="14083" width="11.75" style="3179" customWidth="1"/>
    <col min="14084" max="14084" width="6.25" style="3179" customWidth="1"/>
    <col min="14085" max="14085" width="14.375" style="3179" customWidth="1"/>
    <col min="14086" max="14087" width="13.875" style="3179" customWidth="1"/>
    <col min="14088" max="14088" width="6.25" style="3179" customWidth="1"/>
    <col min="14089" max="14089" width="13.5" style="3179" customWidth="1"/>
    <col min="14090" max="14090" width="7.875" style="3179" customWidth="1"/>
    <col min="14091" max="14091" width="88.25" style="3179" customWidth="1"/>
    <col min="14092" max="14092" width="10.625" style="3179" customWidth="1"/>
    <col min="14093" max="14093" width="16" style="3179" customWidth="1"/>
    <col min="14094" max="14094" width="14.375" style="3179" customWidth="1"/>
    <col min="14095" max="14336" width="9" style="3179"/>
    <col min="14337" max="14337" width="40" style="3179" customWidth="1"/>
    <col min="14338" max="14338" width="6.25" style="3179" customWidth="1"/>
    <col min="14339" max="14339" width="11.75" style="3179" customWidth="1"/>
    <col min="14340" max="14340" width="6.25" style="3179" customWidth="1"/>
    <col min="14341" max="14341" width="14.375" style="3179" customWidth="1"/>
    <col min="14342" max="14343" width="13.875" style="3179" customWidth="1"/>
    <col min="14344" max="14344" width="6.25" style="3179" customWidth="1"/>
    <col min="14345" max="14345" width="13.5" style="3179" customWidth="1"/>
    <col min="14346" max="14346" width="7.875" style="3179" customWidth="1"/>
    <col min="14347" max="14347" width="88.25" style="3179" customWidth="1"/>
    <col min="14348" max="14348" width="10.625" style="3179" customWidth="1"/>
    <col min="14349" max="14349" width="16" style="3179" customWidth="1"/>
    <col min="14350" max="14350" width="14.375" style="3179" customWidth="1"/>
    <col min="14351" max="14592" width="9" style="3179"/>
    <col min="14593" max="14593" width="40" style="3179" customWidth="1"/>
    <col min="14594" max="14594" width="6.25" style="3179" customWidth="1"/>
    <col min="14595" max="14595" width="11.75" style="3179" customWidth="1"/>
    <col min="14596" max="14596" width="6.25" style="3179" customWidth="1"/>
    <col min="14597" max="14597" width="14.375" style="3179" customWidth="1"/>
    <col min="14598" max="14599" width="13.875" style="3179" customWidth="1"/>
    <col min="14600" max="14600" width="6.25" style="3179" customWidth="1"/>
    <col min="14601" max="14601" width="13.5" style="3179" customWidth="1"/>
    <col min="14602" max="14602" width="7.875" style="3179" customWidth="1"/>
    <col min="14603" max="14603" width="88.25" style="3179" customWidth="1"/>
    <col min="14604" max="14604" width="10.625" style="3179" customWidth="1"/>
    <col min="14605" max="14605" width="16" style="3179" customWidth="1"/>
    <col min="14606" max="14606" width="14.375" style="3179" customWidth="1"/>
    <col min="14607" max="14848" width="9" style="3179"/>
    <col min="14849" max="14849" width="40" style="3179" customWidth="1"/>
    <col min="14850" max="14850" width="6.25" style="3179" customWidth="1"/>
    <col min="14851" max="14851" width="11.75" style="3179" customWidth="1"/>
    <col min="14852" max="14852" width="6.25" style="3179" customWidth="1"/>
    <col min="14853" max="14853" width="14.375" style="3179" customWidth="1"/>
    <col min="14854" max="14855" width="13.875" style="3179" customWidth="1"/>
    <col min="14856" max="14856" width="6.25" style="3179" customWidth="1"/>
    <col min="14857" max="14857" width="13.5" style="3179" customWidth="1"/>
    <col min="14858" max="14858" width="7.875" style="3179" customWidth="1"/>
    <col min="14859" max="14859" width="88.25" style="3179" customWidth="1"/>
    <col min="14860" max="14860" width="10.625" style="3179" customWidth="1"/>
    <col min="14861" max="14861" width="16" style="3179" customWidth="1"/>
    <col min="14862" max="14862" width="14.375" style="3179" customWidth="1"/>
    <col min="14863" max="15104" width="9" style="3179"/>
    <col min="15105" max="15105" width="40" style="3179" customWidth="1"/>
    <col min="15106" max="15106" width="6.25" style="3179" customWidth="1"/>
    <col min="15107" max="15107" width="11.75" style="3179" customWidth="1"/>
    <col min="15108" max="15108" width="6.25" style="3179" customWidth="1"/>
    <col min="15109" max="15109" width="14.375" style="3179" customWidth="1"/>
    <col min="15110" max="15111" width="13.875" style="3179" customWidth="1"/>
    <col min="15112" max="15112" width="6.25" style="3179" customWidth="1"/>
    <col min="15113" max="15113" width="13.5" style="3179" customWidth="1"/>
    <col min="15114" max="15114" width="7.875" style="3179" customWidth="1"/>
    <col min="15115" max="15115" width="88.25" style="3179" customWidth="1"/>
    <col min="15116" max="15116" width="10.625" style="3179" customWidth="1"/>
    <col min="15117" max="15117" width="16" style="3179" customWidth="1"/>
    <col min="15118" max="15118" width="14.375" style="3179" customWidth="1"/>
    <col min="15119" max="15360" width="9" style="3179"/>
    <col min="15361" max="15361" width="40" style="3179" customWidth="1"/>
    <col min="15362" max="15362" width="6.25" style="3179" customWidth="1"/>
    <col min="15363" max="15363" width="11.75" style="3179" customWidth="1"/>
    <col min="15364" max="15364" width="6.25" style="3179" customWidth="1"/>
    <col min="15365" max="15365" width="14.375" style="3179" customWidth="1"/>
    <col min="15366" max="15367" width="13.875" style="3179" customWidth="1"/>
    <col min="15368" max="15368" width="6.25" style="3179" customWidth="1"/>
    <col min="15369" max="15369" width="13.5" style="3179" customWidth="1"/>
    <col min="15370" max="15370" width="7.875" style="3179" customWidth="1"/>
    <col min="15371" max="15371" width="88.25" style="3179" customWidth="1"/>
    <col min="15372" max="15372" width="10.625" style="3179" customWidth="1"/>
    <col min="15373" max="15373" width="16" style="3179" customWidth="1"/>
    <col min="15374" max="15374" width="14.375" style="3179" customWidth="1"/>
    <col min="15375" max="15616" width="9" style="3179"/>
    <col min="15617" max="15617" width="40" style="3179" customWidth="1"/>
    <col min="15618" max="15618" width="6.25" style="3179" customWidth="1"/>
    <col min="15619" max="15619" width="11.75" style="3179" customWidth="1"/>
    <col min="15620" max="15620" width="6.25" style="3179" customWidth="1"/>
    <col min="15621" max="15621" width="14.375" style="3179" customWidth="1"/>
    <col min="15622" max="15623" width="13.875" style="3179" customWidth="1"/>
    <col min="15624" max="15624" width="6.25" style="3179" customWidth="1"/>
    <col min="15625" max="15625" width="13.5" style="3179" customWidth="1"/>
    <col min="15626" max="15626" width="7.875" style="3179" customWidth="1"/>
    <col min="15627" max="15627" width="88.25" style="3179" customWidth="1"/>
    <col min="15628" max="15628" width="10.625" style="3179" customWidth="1"/>
    <col min="15629" max="15629" width="16" style="3179" customWidth="1"/>
    <col min="15630" max="15630" width="14.375" style="3179" customWidth="1"/>
    <col min="15631" max="15872" width="9" style="3179"/>
    <col min="15873" max="15873" width="40" style="3179" customWidth="1"/>
    <col min="15874" max="15874" width="6.25" style="3179" customWidth="1"/>
    <col min="15875" max="15875" width="11.75" style="3179" customWidth="1"/>
    <col min="15876" max="15876" width="6.25" style="3179" customWidth="1"/>
    <col min="15877" max="15877" width="14.375" style="3179" customWidth="1"/>
    <col min="15878" max="15879" width="13.875" style="3179" customWidth="1"/>
    <col min="15880" max="15880" width="6.25" style="3179" customWidth="1"/>
    <col min="15881" max="15881" width="13.5" style="3179" customWidth="1"/>
    <col min="15882" max="15882" width="7.875" style="3179" customWidth="1"/>
    <col min="15883" max="15883" width="88.25" style="3179" customWidth="1"/>
    <col min="15884" max="15884" width="10.625" style="3179" customWidth="1"/>
    <col min="15885" max="15885" width="16" style="3179" customWidth="1"/>
    <col min="15886" max="15886" width="14.375" style="3179" customWidth="1"/>
    <col min="15887" max="16128" width="9" style="3179"/>
    <col min="16129" max="16129" width="40" style="3179" customWidth="1"/>
    <col min="16130" max="16130" width="6.25" style="3179" customWidth="1"/>
    <col min="16131" max="16131" width="11.75" style="3179" customWidth="1"/>
    <col min="16132" max="16132" width="6.25" style="3179" customWidth="1"/>
    <col min="16133" max="16133" width="14.375" style="3179" customWidth="1"/>
    <col min="16134" max="16135" width="13.875" style="3179" customWidth="1"/>
    <col min="16136" max="16136" width="6.25" style="3179" customWidth="1"/>
    <col min="16137" max="16137" width="13.5" style="3179" customWidth="1"/>
    <col min="16138" max="16138" width="7.875" style="3179" customWidth="1"/>
    <col min="16139" max="16139" width="88.25" style="3179" customWidth="1"/>
    <col min="16140" max="16140" width="10.625" style="3179" customWidth="1"/>
    <col min="16141" max="16141" width="16" style="3179" customWidth="1"/>
    <col min="16142" max="16142" width="14.375" style="3179" customWidth="1"/>
    <col min="16143" max="16384" width="9" style="3179"/>
  </cols>
  <sheetData>
    <row r="1" spans="1:14">
      <c r="A1" s="3179" t="s">
        <v>2999</v>
      </c>
      <c r="B1" s="3179" t="s">
        <v>3000</v>
      </c>
      <c r="C1" s="3179" t="s">
        <v>3001</v>
      </c>
      <c r="D1" s="3179" t="s">
        <v>3002</v>
      </c>
      <c r="E1" s="3179" t="s">
        <v>3003</v>
      </c>
      <c r="F1" s="3179" t="s">
        <v>3004</v>
      </c>
      <c r="G1" s="3179" t="s">
        <v>3005</v>
      </c>
      <c r="H1" s="3179" t="s">
        <v>2033</v>
      </c>
      <c r="I1" s="3179" t="s">
        <v>3006</v>
      </c>
      <c r="J1" s="3179" t="s">
        <v>3007</v>
      </c>
      <c r="K1" s="3179" t="s">
        <v>3008</v>
      </c>
      <c r="L1" s="3179" t="s">
        <v>3009</v>
      </c>
      <c r="M1" s="3179" t="s">
        <v>3010</v>
      </c>
      <c r="N1" s="3179" t="s">
        <v>3011</v>
      </c>
    </row>
    <row r="2" spans="1:14" hidden="1">
      <c r="A2" s="3179" t="s">
        <v>3012</v>
      </c>
      <c r="B2" s="3179" t="s">
        <v>1946</v>
      </c>
      <c r="C2" s="3179" t="s">
        <v>3013</v>
      </c>
      <c r="D2" s="3179" t="s">
        <v>3014</v>
      </c>
      <c r="E2" s="3179" t="s">
        <v>3015</v>
      </c>
      <c r="F2" s="3179">
        <v>2070793</v>
      </c>
      <c r="G2" s="3179">
        <v>1642730</v>
      </c>
      <c r="H2" s="3179">
        <v>0.79</v>
      </c>
      <c r="I2" s="3179" t="s">
        <v>3016</v>
      </c>
      <c r="J2" s="3179" t="s">
        <v>3017</v>
      </c>
      <c r="K2" s="3179" t="s">
        <v>3018</v>
      </c>
      <c r="L2" s="3179">
        <v>870000</v>
      </c>
      <c r="M2" s="3179">
        <v>4201.28</v>
      </c>
      <c r="N2" s="3179">
        <v>5296.06</v>
      </c>
    </row>
    <row r="3" spans="1:14" hidden="1">
      <c r="A3" s="3179" t="s">
        <v>3019</v>
      </c>
      <c r="B3" s="3179" t="s">
        <v>1946</v>
      </c>
      <c r="C3" s="3179" t="s">
        <v>3013</v>
      </c>
      <c r="D3" s="3179" t="s">
        <v>3014</v>
      </c>
      <c r="E3" s="3179" t="s">
        <v>3020</v>
      </c>
      <c r="F3" s="3179">
        <v>65873.39</v>
      </c>
      <c r="G3" s="3179">
        <v>164683</v>
      </c>
      <c r="H3" s="3179">
        <v>2.5</v>
      </c>
      <c r="I3" s="3179" t="s">
        <v>3021</v>
      </c>
      <c r="J3" s="3179" t="s">
        <v>3017</v>
      </c>
      <c r="K3" s="3179" t="s">
        <v>3022</v>
      </c>
      <c r="L3" s="3179">
        <v>108000</v>
      </c>
      <c r="M3" s="3179">
        <v>16395.080000000002</v>
      </c>
      <c r="N3" s="3179">
        <v>6558.05</v>
      </c>
    </row>
    <row r="4" spans="1:14" hidden="1">
      <c r="A4" s="3179" t="s">
        <v>3023</v>
      </c>
      <c r="B4" s="3179" t="s">
        <v>1946</v>
      </c>
      <c r="C4" s="3179" t="s">
        <v>3013</v>
      </c>
      <c r="D4" s="3179" t="s">
        <v>3014</v>
      </c>
      <c r="E4" s="3179" t="s">
        <v>3024</v>
      </c>
      <c r="F4" s="3179">
        <v>47100</v>
      </c>
      <c r="G4" s="3179">
        <v>450000</v>
      </c>
      <c r="H4" s="3179">
        <v>9.5500000000000007</v>
      </c>
      <c r="I4" s="3179" t="s">
        <v>3025</v>
      </c>
      <c r="J4" s="3179" t="s">
        <v>3017</v>
      </c>
      <c r="K4" s="3179" t="s">
        <v>3026</v>
      </c>
      <c r="L4" s="3179">
        <v>503990</v>
      </c>
      <c r="M4" s="3179">
        <v>107004.25</v>
      </c>
      <c r="N4" s="3179">
        <v>11199.78</v>
      </c>
    </row>
    <row r="5" spans="1:14" hidden="1">
      <c r="A5" s="3179" t="s">
        <v>3027</v>
      </c>
      <c r="B5" s="3179" t="s">
        <v>1946</v>
      </c>
      <c r="C5" s="3179" t="s">
        <v>3013</v>
      </c>
      <c r="D5" s="3179" t="s">
        <v>3014</v>
      </c>
      <c r="E5" s="3179" t="s">
        <v>3028</v>
      </c>
      <c r="F5" s="3179">
        <v>37656</v>
      </c>
      <c r="G5" s="3179">
        <v>131600</v>
      </c>
      <c r="H5" s="3179">
        <v>3.49</v>
      </c>
      <c r="I5" s="3179" t="s">
        <v>3029</v>
      </c>
      <c r="J5" s="3179" t="s">
        <v>3017</v>
      </c>
      <c r="K5" s="3179" t="s">
        <v>3030</v>
      </c>
      <c r="L5" s="3179">
        <v>151603.20000000001</v>
      </c>
      <c r="M5" s="3179">
        <v>40260.04</v>
      </c>
      <c r="N5" s="3179">
        <v>11520</v>
      </c>
    </row>
    <row r="6" spans="1:14" hidden="1">
      <c r="A6" s="3179" t="s">
        <v>3031</v>
      </c>
      <c r="B6" s="3179" t="s">
        <v>1946</v>
      </c>
      <c r="C6" s="3179" t="s">
        <v>3013</v>
      </c>
      <c r="D6" s="3179" t="s">
        <v>3014</v>
      </c>
      <c r="E6" s="3179" t="s">
        <v>3028</v>
      </c>
      <c r="F6" s="3179">
        <v>14124.26</v>
      </c>
      <c r="G6" s="3179">
        <v>119961</v>
      </c>
      <c r="H6" s="3179">
        <v>8.49</v>
      </c>
      <c r="I6" s="3179" t="s">
        <v>3029</v>
      </c>
      <c r="J6" s="3179" t="s">
        <v>3017</v>
      </c>
      <c r="K6" s="3179" t="s">
        <v>3032</v>
      </c>
      <c r="L6" s="3179">
        <v>135700</v>
      </c>
      <c r="M6" s="3179">
        <v>96075.83</v>
      </c>
      <c r="N6" s="3179">
        <v>11312.01</v>
      </c>
    </row>
    <row r="7" spans="1:14" hidden="1">
      <c r="A7" s="3179" t="s">
        <v>3033</v>
      </c>
      <c r="B7" s="3179" t="s">
        <v>1946</v>
      </c>
      <c r="C7" s="3179" t="s">
        <v>3013</v>
      </c>
      <c r="D7" s="3179" t="s">
        <v>3014</v>
      </c>
      <c r="E7" s="3179" t="s">
        <v>3028</v>
      </c>
      <c r="F7" s="3179">
        <v>39645</v>
      </c>
      <c r="G7" s="3179">
        <v>189500</v>
      </c>
      <c r="H7" s="3179">
        <v>4.78</v>
      </c>
      <c r="I7" s="3179" t="s">
        <v>3029</v>
      </c>
      <c r="J7" s="3179" t="s">
        <v>3017</v>
      </c>
      <c r="K7" s="3179" t="s">
        <v>3034</v>
      </c>
      <c r="L7" s="3179">
        <v>218304</v>
      </c>
      <c r="M7" s="3179">
        <v>55064.69</v>
      </c>
      <c r="N7" s="3179">
        <v>11520</v>
      </c>
    </row>
    <row r="8" spans="1:14" hidden="1">
      <c r="A8" s="3179" t="s">
        <v>3035</v>
      </c>
      <c r="B8" s="3179" t="s">
        <v>1946</v>
      </c>
      <c r="C8" s="3179" t="s">
        <v>3013</v>
      </c>
      <c r="D8" s="3179" t="s">
        <v>3014</v>
      </c>
      <c r="E8" s="3179" t="s">
        <v>3028</v>
      </c>
      <c r="F8" s="3179">
        <v>9200</v>
      </c>
      <c r="G8" s="3179">
        <v>78139</v>
      </c>
      <c r="H8" s="3179">
        <v>8.49</v>
      </c>
      <c r="I8" s="3179" t="s">
        <v>3029</v>
      </c>
      <c r="J8" s="3179" t="s">
        <v>3017</v>
      </c>
      <c r="K8" s="3179" t="s">
        <v>3032</v>
      </c>
      <c r="L8" s="3179">
        <v>88400</v>
      </c>
      <c r="M8" s="3179">
        <v>96086.94</v>
      </c>
      <c r="N8" s="3179">
        <v>11313.17</v>
      </c>
    </row>
    <row r="9" spans="1:14" hidden="1">
      <c r="A9" s="3179" t="s">
        <v>3036</v>
      </c>
      <c r="B9" s="3179" t="s">
        <v>1946</v>
      </c>
      <c r="C9" s="3179" t="s">
        <v>3013</v>
      </c>
      <c r="D9" s="3179" t="s">
        <v>3014</v>
      </c>
      <c r="E9" s="3179" t="s">
        <v>3028</v>
      </c>
      <c r="F9" s="3179">
        <v>14088</v>
      </c>
      <c r="G9" s="3179">
        <v>90600</v>
      </c>
      <c r="H9" s="3179">
        <v>6.43</v>
      </c>
      <c r="I9" s="3179" t="s">
        <v>3037</v>
      </c>
      <c r="J9" s="3179" t="s">
        <v>3017</v>
      </c>
      <c r="K9" s="3179" t="s">
        <v>3032</v>
      </c>
      <c r="L9" s="3179">
        <v>105100</v>
      </c>
      <c r="M9" s="3179">
        <v>74602.5</v>
      </c>
      <c r="N9" s="3179">
        <v>11600.44</v>
      </c>
    </row>
    <row r="10" spans="1:14" hidden="1">
      <c r="A10" s="3179" t="s">
        <v>3038</v>
      </c>
      <c r="B10" s="3179" t="s">
        <v>1946</v>
      </c>
      <c r="C10" s="3179" t="s">
        <v>3013</v>
      </c>
      <c r="D10" s="3179" t="s">
        <v>3014</v>
      </c>
      <c r="E10" s="3179" t="s">
        <v>3028</v>
      </c>
      <c r="F10" s="3179">
        <v>9293</v>
      </c>
      <c r="G10" s="3179">
        <v>55800</v>
      </c>
      <c r="H10" s="3179">
        <v>6</v>
      </c>
      <c r="I10" s="3179" t="s">
        <v>3037</v>
      </c>
      <c r="J10" s="3179" t="s">
        <v>3017</v>
      </c>
      <c r="K10" s="3179" t="s">
        <v>3032</v>
      </c>
      <c r="L10" s="3179">
        <v>64700</v>
      </c>
      <c r="M10" s="3179">
        <v>69622.3</v>
      </c>
      <c r="N10" s="3179">
        <v>11594.97</v>
      </c>
    </row>
    <row r="11" spans="1:14">
      <c r="A11" s="3179" t="s">
        <v>3039</v>
      </c>
      <c r="B11" s="3179" t="s">
        <v>1946</v>
      </c>
      <c r="C11" s="3179" t="s">
        <v>3013</v>
      </c>
      <c r="D11" s="3179" t="s">
        <v>3014</v>
      </c>
      <c r="E11" s="3179" t="s">
        <v>3028</v>
      </c>
      <c r="F11" s="3179">
        <v>17815</v>
      </c>
      <c r="G11" s="3179">
        <v>133500</v>
      </c>
      <c r="H11" s="3179">
        <v>7.49</v>
      </c>
      <c r="I11" s="3179" t="s">
        <v>3040</v>
      </c>
      <c r="J11" s="3179" t="s">
        <v>3017</v>
      </c>
      <c r="K11" s="3179" t="s">
        <v>3041</v>
      </c>
      <c r="L11" s="3179">
        <v>178500</v>
      </c>
      <c r="M11" s="3179">
        <v>100196.46</v>
      </c>
      <c r="N11" s="3179">
        <v>13370.79</v>
      </c>
    </row>
    <row r="12" spans="1:14" hidden="1">
      <c r="A12" s="3179" t="s">
        <v>3042</v>
      </c>
      <c r="B12" s="3179" t="s">
        <v>1946</v>
      </c>
      <c r="C12" s="3179" t="s">
        <v>3013</v>
      </c>
      <c r="D12" s="3179" t="s">
        <v>3014</v>
      </c>
      <c r="E12" s="3179" t="s">
        <v>3028</v>
      </c>
      <c r="F12" s="3179">
        <v>8949</v>
      </c>
      <c r="G12" s="3179">
        <v>89000</v>
      </c>
      <c r="H12" s="3179">
        <v>9.9499999999999993</v>
      </c>
      <c r="I12" s="3179" t="s">
        <v>3040</v>
      </c>
      <c r="J12" s="3179" t="s">
        <v>3017</v>
      </c>
      <c r="K12" s="3179" t="s">
        <v>3041</v>
      </c>
      <c r="L12" s="3179">
        <v>107000</v>
      </c>
      <c r="M12" s="3179">
        <v>119566.42</v>
      </c>
      <c r="N12" s="3179">
        <v>12022.46</v>
      </c>
    </row>
    <row r="13" spans="1:14" hidden="1">
      <c r="A13" s="3179" t="s">
        <v>3043</v>
      </c>
      <c r="B13" s="3179" t="s">
        <v>1946</v>
      </c>
      <c r="C13" s="3179" t="s">
        <v>3013</v>
      </c>
      <c r="D13" s="3179" t="s">
        <v>3014</v>
      </c>
      <c r="E13" s="3179" t="s">
        <v>3028</v>
      </c>
      <c r="F13" s="3179">
        <v>17771</v>
      </c>
      <c r="G13" s="3179">
        <v>124600</v>
      </c>
      <c r="H13" s="3179">
        <v>7.01</v>
      </c>
      <c r="I13" s="3179" t="s">
        <v>3044</v>
      </c>
      <c r="J13" s="3179" t="s">
        <v>3017</v>
      </c>
      <c r="K13" s="3179" t="s">
        <v>3045</v>
      </c>
      <c r="L13" s="3179">
        <v>142900</v>
      </c>
      <c r="M13" s="3179">
        <v>80411.91</v>
      </c>
      <c r="N13" s="3179">
        <v>11468.7</v>
      </c>
    </row>
    <row r="14" spans="1:14">
      <c r="A14" s="3179" t="s">
        <v>3046</v>
      </c>
      <c r="B14" s="3179" t="s">
        <v>1946</v>
      </c>
      <c r="C14" s="3179" t="s">
        <v>3013</v>
      </c>
      <c r="D14" s="3179" t="s">
        <v>3014</v>
      </c>
      <c r="E14" s="3179" t="s">
        <v>3028</v>
      </c>
      <c r="F14" s="3179">
        <v>17064</v>
      </c>
      <c r="G14" s="3179">
        <v>128300</v>
      </c>
      <c r="H14" s="3179">
        <v>7.52</v>
      </c>
      <c r="I14" s="3179" t="s">
        <v>3044</v>
      </c>
      <c r="J14" s="3179" t="s">
        <v>3017</v>
      </c>
      <c r="K14" s="3179" t="s">
        <v>3047</v>
      </c>
      <c r="L14" s="3179">
        <v>167000</v>
      </c>
      <c r="M14" s="3179">
        <v>97866.85</v>
      </c>
      <c r="N14" s="3179">
        <v>13016.37</v>
      </c>
    </row>
    <row r="15" spans="1:14" hidden="1">
      <c r="A15" s="3179" t="s">
        <v>3048</v>
      </c>
      <c r="B15" s="3179" t="s">
        <v>1946</v>
      </c>
      <c r="C15" s="3179" t="s">
        <v>3013</v>
      </c>
      <c r="D15" s="3179" t="s">
        <v>3014</v>
      </c>
      <c r="E15" s="3179" t="s">
        <v>3049</v>
      </c>
      <c r="F15" s="3179">
        <v>1209458</v>
      </c>
      <c r="G15" s="3179">
        <v>798095</v>
      </c>
      <c r="H15" s="3179">
        <v>0.66</v>
      </c>
      <c r="I15" s="3179" t="s">
        <v>3050</v>
      </c>
      <c r="J15" s="3179" t="s">
        <v>3017</v>
      </c>
      <c r="K15" s="3179" t="s">
        <v>3018</v>
      </c>
      <c r="L15" s="3179">
        <v>193000</v>
      </c>
      <c r="M15" s="3179">
        <v>1595.75</v>
      </c>
      <c r="N15" s="3179">
        <v>2418.2600000000002</v>
      </c>
    </row>
    <row r="16" spans="1:14">
      <c r="A16" s="3179" t="s">
        <v>3051</v>
      </c>
      <c r="B16" s="3179" t="s">
        <v>1946</v>
      </c>
      <c r="C16" s="3179" t="s">
        <v>3013</v>
      </c>
      <c r="D16" s="3179" t="s">
        <v>3014</v>
      </c>
      <c r="E16" s="3179" t="s">
        <v>3028</v>
      </c>
      <c r="F16" s="3179">
        <v>17086</v>
      </c>
      <c r="G16" s="3179">
        <v>128300</v>
      </c>
      <c r="H16" s="3179">
        <v>7.51</v>
      </c>
      <c r="I16" s="3179" t="s">
        <v>3052</v>
      </c>
      <c r="J16" s="3179" t="s">
        <v>3017</v>
      </c>
      <c r="K16" s="3179" t="s">
        <v>3053</v>
      </c>
      <c r="L16" s="3179">
        <v>161658</v>
      </c>
      <c r="M16" s="3179">
        <v>94614.3</v>
      </c>
      <c r="N16" s="3179">
        <v>12600</v>
      </c>
    </row>
    <row r="17" spans="1:14" hidden="1">
      <c r="A17" s="3179" t="s">
        <v>3054</v>
      </c>
      <c r="B17" s="3179" t="s">
        <v>1946</v>
      </c>
      <c r="C17" s="3179" t="s">
        <v>3013</v>
      </c>
      <c r="D17" s="3179" t="s">
        <v>3014</v>
      </c>
      <c r="E17" s="3179" t="s">
        <v>3028</v>
      </c>
      <c r="F17" s="3179">
        <v>15520</v>
      </c>
      <c r="G17" s="3179">
        <v>62000</v>
      </c>
      <c r="H17" s="3179">
        <v>3.99</v>
      </c>
      <c r="I17" s="3179" t="s">
        <v>3055</v>
      </c>
      <c r="J17" s="3179" t="s">
        <v>3017</v>
      </c>
      <c r="K17" s="3179" t="s">
        <v>3056</v>
      </c>
      <c r="L17" s="3179">
        <v>80600</v>
      </c>
      <c r="M17" s="3179">
        <v>51932.98</v>
      </c>
      <c r="N17" s="3179">
        <v>13000</v>
      </c>
    </row>
    <row r="18" spans="1:14" hidden="1">
      <c r="A18" s="3179" t="s">
        <v>3057</v>
      </c>
      <c r="B18" s="3179" t="s">
        <v>1946</v>
      </c>
      <c r="C18" s="3179" t="s">
        <v>3013</v>
      </c>
      <c r="D18" s="3179" t="s">
        <v>3014</v>
      </c>
      <c r="E18" s="3179" t="s">
        <v>3028</v>
      </c>
      <c r="F18" s="3179">
        <v>22855</v>
      </c>
      <c r="G18" s="3179">
        <v>136800</v>
      </c>
      <c r="H18" s="3179">
        <v>5.99</v>
      </c>
      <c r="I18" s="3179" t="s">
        <v>3055</v>
      </c>
      <c r="J18" s="3179" t="s">
        <v>3017</v>
      </c>
      <c r="K18" s="3179" t="s">
        <v>3058</v>
      </c>
      <c r="L18" s="3179">
        <v>173777</v>
      </c>
      <c r="M18" s="3179">
        <v>76034.55</v>
      </c>
      <c r="N18" s="3179">
        <v>12703</v>
      </c>
    </row>
    <row r="19" spans="1:14" hidden="1">
      <c r="A19" s="3179" t="s">
        <v>3059</v>
      </c>
      <c r="B19" s="3179" t="s">
        <v>1946</v>
      </c>
      <c r="C19" s="3179" t="s">
        <v>3013</v>
      </c>
      <c r="D19" s="3179" t="s">
        <v>3014</v>
      </c>
      <c r="E19" s="3179" t="s">
        <v>3028</v>
      </c>
      <c r="F19" s="3179">
        <v>26591</v>
      </c>
      <c r="G19" s="3179">
        <v>186200</v>
      </c>
      <c r="H19" s="3179">
        <v>7</v>
      </c>
      <c r="I19" s="3179" t="s">
        <v>3060</v>
      </c>
      <c r="J19" s="3179" t="s">
        <v>3017</v>
      </c>
      <c r="K19" s="3179" t="s">
        <v>3058</v>
      </c>
      <c r="L19" s="3179">
        <v>232777</v>
      </c>
      <c r="M19" s="3179">
        <v>87539.76</v>
      </c>
      <c r="N19" s="3179">
        <v>12501.45</v>
      </c>
    </row>
    <row r="20" spans="1:14" hidden="1">
      <c r="A20" s="3179" t="s">
        <v>3061</v>
      </c>
      <c r="B20" s="3179" t="s">
        <v>1946</v>
      </c>
      <c r="C20" s="3179" t="s">
        <v>3013</v>
      </c>
      <c r="D20" s="3179" t="s">
        <v>3014</v>
      </c>
      <c r="E20" s="3179" t="s">
        <v>3028</v>
      </c>
      <c r="F20" s="3179">
        <v>20350</v>
      </c>
      <c r="G20" s="3179">
        <v>142800</v>
      </c>
      <c r="H20" s="3179">
        <v>7.02</v>
      </c>
      <c r="I20" s="3179" t="s">
        <v>3060</v>
      </c>
      <c r="J20" s="3179" t="s">
        <v>3017</v>
      </c>
      <c r="K20" s="3179" t="s">
        <v>3058</v>
      </c>
      <c r="L20" s="3179">
        <v>182777</v>
      </c>
      <c r="M20" s="3179">
        <v>89816.71</v>
      </c>
      <c r="N20" s="3179">
        <v>12799.51</v>
      </c>
    </row>
    <row r="21" spans="1:14" hidden="1">
      <c r="A21" s="3179" t="s">
        <v>3062</v>
      </c>
      <c r="B21" s="3179" t="s">
        <v>1946</v>
      </c>
      <c r="C21" s="3179" t="s">
        <v>3013</v>
      </c>
      <c r="D21" s="3179" t="s">
        <v>3014</v>
      </c>
      <c r="E21" s="3179" t="s">
        <v>3028</v>
      </c>
      <c r="F21" s="3179">
        <v>14958</v>
      </c>
      <c r="G21" s="3179">
        <v>60000</v>
      </c>
      <c r="H21" s="3179">
        <v>4.01</v>
      </c>
      <c r="I21" s="3179" t="s">
        <v>3060</v>
      </c>
      <c r="J21" s="3179" t="s">
        <v>3017</v>
      </c>
      <c r="K21" s="3179" t="s">
        <v>3063</v>
      </c>
      <c r="L21" s="3179">
        <v>78200</v>
      </c>
      <c r="M21" s="3179">
        <v>52279.71</v>
      </c>
      <c r="N21" s="3179">
        <v>13033.32</v>
      </c>
    </row>
    <row r="22" spans="1:14" hidden="1">
      <c r="A22" s="3179" t="s">
        <v>3064</v>
      </c>
      <c r="B22" s="3179" t="s">
        <v>1946</v>
      </c>
      <c r="C22" s="3179" t="s">
        <v>3013</v>
      </c>
      <c r="D22" s="3179" t="s">
        <v>3014</v>
      </c>
      <c r="E22" s="3179" t="s">
        <v>3028</v>
      </c>
      <c r="F22" s="3179">
        <v>19161</v>
      </c>
      <c r="G22" s="3179">
        <v>100100</v>
      </c>
      <c r="H22" s="3179">
        <v>5.22</v>
      </c>
      <c r="I22" s="3179" t="s">
        <v>3065</v>
      </c>
      <c r="J22" s="3179" t="s">
        <v>3017</v>
      </c>
      <c r="K22" s="3179" t="s">
        <v>3066</v>
      </c>
      <c r="L22" s="3179">
        <v>107107</v>
      </c>
      <c r="M22" s="3179">
        <v>55898.44</v>
      </c>
      <c r="N22" s="3179">
        <v>10700</v>
      </c>
    </row>
    <row r="23" spans="1:14" hidden="1">
      <c r="A23" s="3179" t="s">
        <v>3067</v>
      </c>
      <c r="B23" s="3179" t="s">
        <v>1946</v>
      </c>
      <c r="C23" s="3179" t="s">
        <v>3013</v>
      </c>
      <c r="D23" s="3179" t="s">
        <v>3014</v>
      </c>
      <c r="E23" s="3179" t="s">
        <v>3028</v>
      </c>
      <c r="F23" s="3179">
        <v>21537</v>
      </c>
      <c r="G23" s="3179">
        <v>107500</v>
      </c>
      <c r="H23" s="3179">
        <v>4.99</v>
      </c>
      <c r="I23" s="3179" t="s">
        <v>3065</v>
      </c>
      <c r="J23" s="3179" t="s">
        <v>3017</v>
      </c>
      <c r="K23" s="3179" t="s">
        <v>3068</v>
      </c>
      <c r="L23" s="3179">
        <v>115025</v>
      </c>
      <c r="M23" s="3179">
        <v>53408.08</v>
      </c>
      <c r="N23" s="3179">
        <v>10700</v>
      </c>
    </row>
    <row r="24" spans="1:14" hidden="1">
      <c r="A24" s="3179" t="s">
        <v>3069</v>
      </c>
      <c r="B24" s="3179" t="s">
        <v>1946</v>
      </c>
      <c r="C24" s="3179" t="s">
        <v>3013</v>
      </c>
      <c r="D24" s="3179" t="s">
        <v>3014</v>
      </c>
      <c r="E24" s="3179" t="s">
        <v>3028</v>
      </c>
      <c r="F24" s="3179">
        <v>20394</v>
      </c>
      <c r="G24" s="3179">
        <v>71800</v>
      </c>
      <c r="H24" s="3179">
        <v>3.52</v>
      </c>
      <c r="I24" s="3179" t="s">
        <v>3070</v>
      </c>
      <c r="J24" s="3179" t="s">
        <v>3017</v>
      </c>
      <c r="K24" s="3179" t="s">
        <v>3071</v>
      </c>
      <c r="L24" s="3179">
        <v>76826</v>
      </c>
      <c r="M24" s="3179">
        <v>37670.879999999997</v>
      </c>
      <c r="N24" s="3179">
        <v>10700</v>
      </c>
    </row>
    <row r="25" spans="1:14" hidden="1">
      <c r="A25" s="3179" t="s">
        <v>3072</v>
      </c>
      <c r="B25" s="3179" t="s">
        <v>1946</v>
      </c>
      <c r="C25" s="3179" t="s">
        <v>3013</v>
      </c>
      <c r="D25" s="3179" t="s">
        <v>3014</v>
      </c>
      <c r="E25" s="3179" t="s">
        <v>3028</v>
      </c>
      <c r="F25" s="3179">
        <v>7828</v>
      </c>
      <c r="G25" s="3179">
        <v>27300</v>
      </c>
      <c r="H25" s="3179">
        <v>3.49</v>
      </c>
      <c r="I25" s="3179" t="s">
        <v>3070</v>
      </c>
      <c r="J25" s="3179" t="s">
        <v>3017</v>
      </c>
      <c r="K25" s="3179" t="s">
        <v>3073</v>
      </c>
      <c r="L25" s="3179">
        <v>29211</v>
      </c>
      <c r="M25" s="3179">
        <v>37316.04</v>
      </c>
      <c r="N25" s="3179">
        <v>10700</v>
      </c>
    </row>
    <row r="26" spans="1:14" hidden="1">
      <c r="A26" s="3179" t="s">
        <v>3074</v>
      </c>
      <c r="B26" s="3179" t="s">
        <v>1946</v>
      </c>
      <c r="C26" s="3179" t="s">
        <v>3013</v>
      </c>
      <c r="D26" s="3179" t="s">
        <v>3014</v>
      </c>
      <c r="E26" s="3179" t="s">
        <v>3028</v>
      </c>
      <c r="F26" s="3179">
        <v>17757</v>
      </c>
      <c r="G26" s="3179">
        <v>88900</v>
      </c>
      <c r="H26" s="3179">
        <v>5.01</v>
      </c>
      <c r="I26" s="3179" t="s">
        <v>3070</v>
      </c>
      <c r="J26" s="3179" t="s">
        <v>3017</v>
      </c>
      <c r="K26" s="3179" t="s">
        <v>3075</v>
      </c>
      <c r="L26" s="3179">
        <v>95123</v>
      </c>
      <c r="M26" s="3179">
        <v>53569.29</v>
      </c>
      <c r="N26" s="3179">
        <v>10700</v>
      </c>
    </row>
    <row r="27" spans="1:14" hidden="1">
      <c r="A27" s="3179" t="s">
        <v>3076</v>
      </c>
      <c r="B27" s="3179" t="s">
        <v>1946</v>
      </c>
      <c r="C27" s="3179" t="s">
        <v>3013</v>
      </c>
      <c r="D27" s="3179" t="s">
        <v>3014</v>
      </c>
      <c r="E27" s="3179" t="s">
        <v>3077</v>
      </c>
      <c r="F27" s="3179">
        <v>34657</v>
      </c>
      <c r="G27" s="3179">
        <v>103971</v>
      </c>
      <c r="H27" s="3179">
        <v>3</v>
      </c>
      <c r="I27" s="3179" t="s">
        <v>3078</v>
      </c>
      <c r="J27" s="3179" t="s">
        <v>3017</v>
      </c>
      <c r="K27" s="3179" t="s">
        <v>3079</v>
      </c>
      <c r="L27" s="3179">
        <v>102000</v>
      </c>
      <c r="M27" s="3179">
        <v>29431.279999999999</v>
      </c>
      <c r="N27" s="3179">
        <v>9810.43</v>
      </c>
    </row>
    <row r="28" spans="1:14" hidden="1">
      <c r="A28" s="3179" t="s">
        <v>3080</v>
      </c>
      <c r="B28" s="3179" t="s">
        <v>1946</v>
      </c>
      <c r="C28" s="3179" t="s">
        <v>3013</v>
      </c>
      <c r="D28" s="3179" t="s">
        <v>3014</v>
      </c>
      <c r="E28" s="3179" t="s">
        <v>3081</v>
      </c>
      <c r="F28" s="3179">
        <v>99150</v>
      </c>
      <c r="G28" s="3179">
        <v>198300</v>
      </c>
      <c r="H28" s="3179">
        <v>2</v>
      </c>
      <c r="I28" s="3179" t="s">
        <v>3082</v>
      </c>
      <c r="J28" s="3179" t="s">
        <v>3017</v>
      </c>
      <c r="K28" s="3179" t="s">
        <v>3083</v>
      </c>
      <c r="L28" s="3179">
        <v>189400</v>
      </c>
      <c r="M28" s="3179">
        <v>19102.37</v>
      </c>
      <c r="N28" s="3179">
        <v>9551.19</v>
      </c>
    </row>
    <row r="29" spans="1:14" hidden="1">
      <c r="A29" s="3179" t="s">
        <v>3084</v>
      </c>
      <c r="B29" s="3179" t="s">
        <v>1946</v>
      </c>
      <c r="C29" s="3179" t="s">
        <v>3013</v>
      </c>
      <c r="D29" s="3179" t="s">
        <v>3014</v>
      </c>
      <c r="E29" s="3179" t="s">
        <v>3028</v>
      </c>
      <c r="F29" s="3179">
        <v>8351</v>
      </c>
      <c r="G29" s="3179">
        <v>42000</v>
      </c>
      <c r="H29" s="3179">
        <v>5.03</v>
      </c>
      <c r="I29" s="3179" t="s">
        <v>3085</v>
      </c>
      <c r="J29" s="3179" t="s">
        <v>3017</v>
      </c>
      <c r="K29" s="3179" t="s">
        <v>3086</v>
      </c>
      <c r="L29" s="3179">
        <v>48000</v>
      </c>
      <c r="M29" s="3179">
        <v>57478.14</v>
      </c>
      <c r="N29" s="3179">
        <v>11428.56</v>
      </c>
    </row>
    <row r="30" spans="1:14" hidden="1">
      <c r="A30" s="3179" t="s">
        <v>3087</v>
      </c>
      <c r="B30" s="3179" t="s">
        <v>1946</v>
      </c>
      <c r="C30" s="3179" t="s">
        <v>3013</v>
      </c>
      <c r="D30" s="3179" t="s">
        <v>3014</v>
      </c>
      <c r="E30" s="3179" t="s">
        <v>3028</v>
      </c>
      <c r="F30" s="3179">
        <v>9644</v>
      </c>
      <c r="G30" s="3179">
        <v>43700</v>
      </c>
      <c r="H30" s="3179">
        <v>4.53</v>
      </c>
      <c r="I30" s="3179" t="s">
        <v>3085</v>
      </c>
      <c r="J30" s="3179" t="s">
        <v>3017</v>
      </c>
      <c r="K30" s="3179" t="s">
        <v>3088</v>
      </c>
      <c r="L30" s="3179">
        <v>49650</v>
      </c>
      <c r="M30" s="3179">
        <v>51482.79</v>
      </c>
      <c r="N30" s="3179">
        <v>11361.55</v>
      </c>
    </row>
    <row r="31" spans="1:14" hidden="1">
      <c r="A31" s="3179" t="s">
        <v>3089</v>
      </c>
      <c r="B31" s="3179" t="s">
        <v>1946</v>
      </c>
      <c r="C31" s="3179" t="s">
        <v>3013</v>
      </c>
      <c r="D31" s="3179" t="s">
        <v>3014</v>
      </c>
      <c r="E31" s="3179" t="s">
        <v>3090</v>
      </c>
      <c r="F31" s="3179">
        <v>39272</v>
      </c>
      <c r="G31" s="3179">
        <v>76464</v>
      </c>
      <c r="H31" s="3179">
        <v>1.95</v>
      </c>
      <c r="I31" s="3179" t="s">
        <v>3091</v>
      </c>
      <c r="J31" s="3179" t="s">
        <v>3017</v>
      </c>
      <c r="K31" s="3179" t="s">
        <v>3092</v>
      </c>
      <c r="L31" s="3179">
        <v>104000</v>
      </c>
      <c r="M31" s="3179">
        <v>26481.97</v>
      </c>
      <c r="N31" s="3179">
        <v>13601.17</v>
      </c>
    </row>
    <row r="32" spans="1:14" hidden="1"/>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2039</v>
      </c>
      <c r="B1" s="3200"/>
      <c r="C1" s="3200"/>
      <c r="D1" s="3200"/>
      <c r="E1" s="3200"/>
      <c r="F1" s="3200"/>
      <c r="G1" s="3200"/>
      <c r="H1" s="3200"/>
      <c r="I1" s="3200"/>
      <c r="J1" s="3200"/>
      <c r="K1" s="3200"/>
      <c r="L1" s="3200"/>
      <c r="M1" s="3200"/>
      <c r="N1" s="3200"/>
      <c r="O1" s="3200"/>
      <c r="P1" s="3200"/>
      <c r="Q1" s="3200"/>
      <c r="R1" s="3200"/>
    </row>
    <row r="2" spans="1:18">
      <c r="A2" s="1811" t="s">
        <v>2041</v>
      </c>
      <c r="B2" s="1811"/>
      <c r="C2" s="1811"/>
      <c r="D2" s="1811"/>
      <c r="E2" s="1811"/>
      <c r="F2" s="1811"/>
      <c r="G2" s="1811"/>
      <c r="H2" s="1811"/>
      <c r="I2" s="1812"/>
      <c r="J2" s="1812"/>
      <c r="K2" s="1813" t="str">
        <f>"估价期日："&amp;TEXT(项目基本情况!D3,"yyyy年m月d日;;")</f>
        <v>估价期日：2017年10月27日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1" t="s">
        <v>2030</v>
      </c>
      <c r="B3" s="3201" t="s">
        <v>2737</v>
      </c>
      <c r="C3" s="3202" t="s">
        <v>2031</v>
      </c>
      <c r="D3" s="3201" t="s">
        <v>2741</v>
      </c>
      <c r="E3" s="3204" t="s">
        <v>2032</v>
      </c>
      <c r="F3" s="3204"/>
      <c r="G3" s="3204"/>
      <c r="H3" s="3204" t="s">
        <v>2033</v>
      </c>
      <c r="I3" s="3204"/>
      <c r="J3" s="3204"/>
      <c r="K3" s="3202" t="s">
        <v>2034</v>
      </c>
      <c r="L3" s="3202" t="s">
        <v>2035</v>
      </c>
      <c r="M3" s="3201" t="s">
        <v>2738</v>
      </c>
      <c r="N3" s="3203" t="str">
        <f>"（分摊）"&amp;项目基本情况!B16&amp;"国有建设用地使用权面积/㎡"</f>
        <v>（分摊）出让国有建设用地使用权面积/㎡</v>
      </c>
      <c r="O3" s="3201" t="s">
        <v>2064</v>
      </c>
      <c r="P3" s="3202" t="s">
        <v>2044</v>
      </c>
      <c r="Q3" s="3202" t="s">
        <v>2065</v>
      </c>
      <c r="R3" s="3202" t="s">
        <v>2036</v>
      </c>
    </row>
    <row r="4" spans="1:18" ht="36.75" customHeight="1">
      <c r="A4" s="3201"/>
      <c r="B4" s="3201"/>
      <c r="C4" s="3202"/>
      <c r="D4" s="3201"/>
      <c r="E4" s="2678" t="s">
        <v>2043</v>
      </c>
      <c r="F4" s="2678" t="s">
        <v>2750</v>
      </c>
      <c r="G4" s="2678" t="s">
        <v>2037</v>
      </c>
      <c r="H4" s="2678" t="s">
        <v>2038</v>
      </c>
      <c r="I4" s="2678" t="s">
        <v>2751</v>
      </c>
      <c r="J4" s="2678" t="s">
        <v>2037</v>
      </c>
      <c r="K4" s="3202"/>
      <c r="L4" s="3202"/>
      <c r="M4" s="3201"/>
      <c r="N4" s="3203"/>
      <c r="O4" s="3201"/>
      <c r="P4" s="3202"/>
      <c r="Q4" s="3202"/>
      <c r="R4" s="3202"/>
    </row>
    <row r="5" spans="1:18" ht="135" customHeight="1">
      <c r="A5" s="1947" t="s">
        <v>2661</v>
      </c>
      <c r="B5" s="2897" t="s">
        <v>2659</v>
      </c>
      <c r="C5" s="2677">
        <v>22</v>
      </c>
      <c r="D5" s="2676" t="s">
        <v>2660</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9969.76</v>
      </c>
      <c r="O5" s="1814">
        <f>项目基本情况!C21</f>
        <v>130076.72</v>
      </c>
      <c r="P5" s="1814">
        <f ca="1">结果表!E42</f>
        <v>154845</v>
      </c>
      <c r="Q5" s="1814">
        <f ca="1">结果表!D42</f>
        <v>11868</v>
      </c>
      <c r="R5" s="1815">
        <f ca="1">结果表!C42</f>
        <v>154377</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6">
        <f ca="1">结果表!O39</f>
        <v>109577</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6"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6" t="str">
        <f>结果表!O41</f>
        <v>——</v>
      </c>
    </row>
    <row r="9" spans="1:18">
      <c r="A9" s="1817" t="s">
        <v>2042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5" t="s">
        <v>2066</v>
      </c>
      <c r="B1" s="3205"/>
      <c r="C1" s="3205"/>
      <c r="D1" s="3205"/>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8" t="s">
        <v>2067</v>
      </c>
      <c r="B5" s="3208"/>
      <c r="C5" s="3208"/>
      <c r="D5" s="3208"/>
    </row>
    <row r="6" spans="1:4">
      <c r="A6" s="3205" t="s">
        <v>2045</v>
      </c>
      <c r="B6" s="3205"/>
      <c r="C6" s="3205"/>
      <c r="D6" s="3205"/>
    </row>
    <row r="7" spans="1:4" ht="33" customHeight="1">
      <c r="A7" s="3205" t="s">
        <v>2579</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7"/>
      <c r="C11" s="3207"/>
      <c r="D11" s="3207"/>
    </row>
    <row r="12" spans="1:4" ht="168" customHeight="1">
      <c r="A12" s="3208" t="s">
        <v>2069</v>
      </c>
      <c r="B12" s="3208"/>
      <c r="C12" s="3208"/>
      <c r="D12" s="3208"/>
    </row>
    <row r="13" spans="1:4">
      <c r="A13" s="3206" t="s">
        <v>2752</v>
      </c>
      <c r="B13" s="3206"/>
      <c r="C13" s="3206"/>
      <c r="D13" s="3206"/>
    </row>
    <row r="14" spans="1:4">
      <c r="A14" s="3207" t="str">
        <f>IF(项目基本情况!B8="抵押","综上，"&amp;结果表!K47,"——")</f>
        <v>综上，本次评估估价师知悉的法定优先受偿款为人民币44800万元整。</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2708</v>
      </c>
      <c r="B17" s="3205"/>
      <c r="C17" s="3205"/>
      <c r="D17" s="3205"/>
    </row>
    <row r="18" spans="1:4">
      <c r="A18" s="3205" t="s">
        <v>2700</v>
      </c>
      <c r="B18" s="3205"/>
      <c r="C18" s="3205"/>
      <c r="D18" s="3205"/>
    </row>
    <row r="19" spans="1:4">
      <c r="A19" s="2898" t="s">
        <v>2701</v>
      </c>
      <c r="B19" s="2898" t="s">
        <v>2702</v>
      </c>
      <c r="C19" s="2898" t="s">
        <v>2703</v>
      </c>
      <c r="D19" s="2898" t="s">
        <v>2704</v>
      </c>
    </row>
    <row r="20" spans="1:4">
      <c r="A20" s="2898" t="str">
        <f>项目基本情况!B4</f>
        <v>欧红伟</v>
      </c>
      <c r="B20" s="2898">
        <f ca="1">项目基本情况!C4</f>
        <v>2000110082</v>
      </c>
      <c r="C20" s="2900"/>
      <c r="D20" s="1804" t="s">
        <v>2709</v>
      </c>
    </row>
    <row r="21" spans="1:4">
      <c r="A21" s="2898" t="str">
        <f>项目基本情况!D4</f>
        <v>梁津</v>
      </c>
      <c r="B21" s="2898">
        <f ca="1">项目基本情况!E4</f>
        <v>96010014</v>
      </c>
      <c r="C21" s="2900"/>
      <c r="D21" s="1804" t="s">
        <v>2710</v>
      </c>
    </row>
    <row r="23" spans="1:4">
      <c r="A23" s="3205" t="s">
        <v>2705</v>
      </c>
      <c r="B23" s="3205"/>
      <c r="C23" s="3205"/>
      <c r="D23" s="3205"/>
    </row>
    <row r="24" spans="1:4">
      <c r="A24" s="2898" t="s">
        <v>2701</v>
      </c>
      <c r="B24" s="2898" t="s">
        <v>2706</v>
      </c>
      <c r="C24" s="2898" t="s">
        <v>2703</v>
      </c>
      <c r="D24" s="2898" t="s">
        <v>2704</v>
      </c>
    </row>
    <row r="25" spans="1:4">
      <c r="A25" s="2901" t="s">
        <v>2707</v>
      </c>
      <c r="B25" s="2898" t="s">
        <v>953</v>
      </c>
      <c r="C25" s="2900"/>
      <c r="D25" s="1804" t="s">
        <v>2710</v>
      </c>
    </row>
    <row r="29" spans="1:4">
      <c r="D29" s="2899" t="s">
        <v>2040</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7" t="s">
        <v>53</v>
      </c>
      <c r="B15" s="3218" t="s">
        <v>847</v>
      </c>
      <c r="C15" s="3214"/>
    </row>
    <row r="16" spans="1:7" ht="14.25">
      <c r="A16" s="3217"/>
      <c r="B16" s="3215" t="s">
        <v>54</v>
      </c>
      <c r="C16" s="1174" t="s">
        <v>53</v>
      </c>
    </row>
    <row r="17" spans="1:3" ht="14.25">
      <c r="A17" s="3217"/>
      <c r="B17" s="3215"/>
      <c r="C17" s="1174" t="s">
        <v>55</v>
      </c>
    </row>
    <row r="18" spans="1:3" ht="14.25">
      <c r="A18" s="3217"/>
      <c r="B18" s="3215"/>
      <c r="C18" s="1174" t="s">
        <v>56</v>
      </c>
    </row>
    <row r="19" spans="1:3" ht="14.25">
      <c r="A19" s="3217"/>
      <c r="B19" s="3213" t="s">
        <v>57</v>
      </c>
      <c r="C19" s="3214"/>
    </row>
    <row r="20" spans="1:3" ht="14.25">
      <c r="A20" s="1175" t="s">
        <v>58</v>
      </c>
      <c r="B20" s="1176"/>
      <c r="C20" s="1177"/>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8" t="s">
        <v>838</v>
      </c>
    </row>
    <row r="25" spans="1:3" ht="14.25">
      <c r="A25" s="3216"/>
      <c r="B25" s="3220"/>
      <c r="C25" s="1178" t="s">
        <v>839</v>
      </c>
    </row>
    <row r="26" spans="1:3" ht="14.25">
      <c r="A26" s="3216"/>
      <c r="B26" s="3220"/>
      <c r="C26" s="1178" t="s">
        <v>840</v>
      </c>
    </row>
    <row r="27" spans="1:3" ht="14.25">
      <c r="A27" s="3216"/>
      <c r="B27" s="3220"/>
      <c r="C27" s="1178" t="s">
        <v>841</v>
      </c>
    </row>
    <row r="28" spans="1:3" ht="14.25">
      <c r="A28" s="3216"/>
      <c r="B28" s="3220"/>
      <c r="C28" s="1178" t="s">
        <v>842</v>
      </c>
    </row>
    <row r="29" spans="1:3" ht="14.25">
      <c r="A29" s="3216"/>
      <c r="B29" s="3220"/>
      <c r="C29" s="1178" t="s">
        <v>843</v>
      </c>
    </row>
    <row r="30" spans="1:3" ht="14.25">
      <c r="A30" s="3216"/>
      <c r="B30" s="3220"/>
      <c r="C30" s="1178" t="s">
        <v>844</v>
      </c>
    </row>
    <row r="31" spans="1:3" ht="14.25">
      <c r="A31" s="3216"/>
      <c r="B31" s="3220"/>
      <c r="C31" s="1178" t="s">
        <v>845</v>
      </c>
    </row>
    <row r="32" spans="1:3" ht="14.25">
      <c r="A32" s="3216"/>
      <c r="B32" s="3220"/>
      <c r="C32" s="1178" t="s">
        <v>1648</v>
      </c>
    </row>
    <row r="33" spans="1:3" ht="14.25">
      <c r="A33" s="3216"/>
      <c r="B33" s="3210" t="s">
        <v>1654</v>
      </c>
      <c r="C33" s="1178" t="s">
        <v>1649</v>
      </c>
    </row>
    <row r="34" spans="1:3" ht="14.25">
      <c r="A34" s="3216"/>
      <c r="B34" s="3211"/>
      <c r="C34" s="1183" t="s">
        <v>1650</v>
      </c>
    </row>
    <row r="35" spans="1:3" ht="14.25">
      <c r="A35" s="3216"/>
      <c r="B35" s="3211"/>
      <c r="C35" s="1184" t="s">
        <v>1651</v>
      </c>
    </row>
    <row r="36" spans="1:3" ht="14.25">
      <c r="A36" s="3216"/>
      <c r="B36" s="3211"/>
      <c r="C36" s="1184" t="s">
        <v>1652</v>
      </c>
    </row>
    <row r="37" spans="1:3" ht="14.25">
      <c r="A37" s="3216"/>
      <c r="B37" s="3212"/>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1906</v>
      </c>
      <c r="B2" s="1660">
        <f ca="1">TODAY()</f>
        <v>43098</v>
      </c>
      <c r="C2" s="2343" t="s">
        <v>1907</v>
      </c>
      <c r="D2" s="2344"/>
    </row>
    <row r="3" spans="1:6" ht="20.25" customHeight="1">
      <c r="A3" s="2346" t="s">
        <v>1908</v>
      </c>
      <c r="B3" s="2347" t="s">
        <v>1909</v>
      </c>
      <c r="C3" s="2347" t="s">
        <v>1910</v>
      </c>
      <c r="D3" s="2348" t="s">
        <v>1911</v>
      </c>
      <c r="E3" s="2347" t="s">
        <v>1912</v>
      </c>
      <c r="F3" s="2347" t="s">
        <v>1910</v>
      </c>
    </row>
    <row r="4" spans="1:6" ht="20.25" customHeight="1">
      <c r="A4" s="2347" t="s">
        <v>1913</v>
      </c>
      <c r="B4" s="2347">
        <f ca="1">IF(C4&lt;B2,"已过期",1119970066)</f>
        <v>1119970066</v>
      </c>
      <c r="C4" s="3036">
        <v>43849</v>
      </c>
      <c r="D4" s="2347" t="s">
        <v>1913</v>
      </c>
      <c r="E4" s="2347">
        <f ca="1">IF(F4&lt;B2,"已过期",96010014)</f>
        <v>96010014</v>
      </c>
      <c r="F4" s="3037">
        <v>47118</v>
      </c>
    </row>
    <row r="5" spans="1:6" ht="20.25" customHeight="1">
      <c r="A5" s="2347" t="s">
        <v>1914</v>
      </c>
      <c r="B5" s="2347">
        <f ca="1">IF(C5&lt;B2,"已过期",1119970074)</f>
        <v>1119970074</v>
      </c>
      <c r="C5" s="3036">
        <v>43849</v>
      </c>
      <c r="D5" s="2347" t="s">
        <v>1914</v>
      </c>
      <c r="E5" s="2347">
        <f ca="1">IF(F5&lt;B2,"已过期",2002110027)</f>
        <v>2002110027</v>
      </c>
      <c r="F5" s="3037">
        <v>46752</v>
      </c>
    </row>
    <row r="6" spans="1:6" ht="20.25" customHeight="1">
      <c r="A6" s="2347" t="s">
        <v>1915</v>
      </c>
      <c r="B6" s="2347">
        <f ca="1">IF(C6&lt;B2,"已过期",1119970111)</f>
        <v>1119970111</v>
      </c>
      <c r="C6" s="3036">
        <v>43849</v>
      </c>
      <c r="D6" s="2347" t="s">
        <v>1915</v>
      </c>
      <c r="E6" s="2347">
        <f ca="1">IF(F6&lt;B2,"已过期",94010078)</f>
        <v>94010078</v>
      </c>
      <c r="F6" s="3037">
        <v>46387</v>
      </c>
    </row>
    <row r="7" spans="1:6" ht="20.25" customHeight="1">
      <c r="A7" s="2347" t="s">
        <v>1916</v>
      </c>
      <c r="B7" s="2347">
        <f ca="1">IF(C7&lt;B2,"已过期",1120050019)</f>
        <v>1120050019</v>
      </c>
      <c r="C7" s="3036">
        <v>43359</v>
      </c>
      <c r="D7" s="2347" t="s">
        <v>1916</v>
      </c>
      <c r="E7" s="2347">
        <f ca="1">IF(F7&lt;B2,"已过期",2002110030)</f>
        <v>2002110030</v>
      </c>
      <c r="F7" s="3037">
        <v>46387</v>
      </c>
    </row>
    <row r="8" spans="1:6" ht="20.25" customHeight="1">
      <c r="A8" s="2347" t="s">
        <v>1917</v>
      </c>
      <c r="B8" s="2347">
        <f ca="1">IF(C8&lt;B2,"已过期",1120000080)</f>
        <v>1120000080</v>
      </c>
      <c r="C8" s="3036">
        <v>43849</v>
      </c>
      <c r="D8" s="2347" t="s">
        <v>1917</v>
      </c>
      <c r="E8" s="2347">
        <f ca="1">IF(F8&lt;B2,"已过期",2000110082)</f>
        <v>2000110082</v>
      </c>
      <c r="F8" s="3037">
        <v>46387</v>
      </c>
    </row>
    <row r="9" spans="1:6" ht="20.25" customHeight="1">
      <c r="A9" s="2347" t="s">
        <v>1918</v>
      </c>
      <c r="B9" s="2347">
        <f ca="1">IF(C9&lt;B2,"已过期",1419970001)</f>
        <v>1419970001</v>
      </c>
      <c r="C9" s="3036">
        <v>43867</v>
      </c>
      <c r="D9" s="2347" t="s">
        <v>1918</v>
      </c>
      <c r="E9" s="2347">
        <f ca="1">IF(F9&lt;B2,"已过期",2002110125)</f>
        <v>2002110125</v>
      </c>
      <c r="F9" s="3037">
        <v>47118</v>
      </c>
    </row>
    <row r="10" spans="1:6" ht="20.25" customHeight="1">
      <c r="A10" s="2347" t="s">
        <v>1919</v>
      </c>
      <c r="B10" s="2347">
        <f ca="1">IF(C10&lt;B2,"已过期",1120060040)</f>
        <v>1120060040</v>
      </c>
      <c r="C10" s="3036">
        <v>43483</v>
      </c>
      <c r="D10" s="2347" t="s">
        <v>1919</v>
      </c>
      <c r="E10" s="2347">
        <f ca="1">IF(F10&lt;B2,"已过期",2004110096)</f>
        <v>2004110096</v>
      </c>
      <c r="F10" s="3037">
        <v>47118</v>
      </c>
    </row>
    <row r="11" spans="1:6" ht="20.25" customHeight="1">
      <c r="A11" s="2347" t="s">
        <v>1920</v>
      </c>
      <c r="B11" s="2347">
        <f ca="1">IF(C11&lt;B2,"已过期",1120100036)</f>
        <v>1120100036</v>
      </c>
      <c r="C11" s="3036">
        <v>43622</v>
      </c>
      <c r="D11" s="2347" t="s">
        <v>1920</v>
      </c>
      <c r="E11" s="2347">
        <f ca="1">IF(F11&lt;B2,"已过期",2010110070)</f>
        <v>2010110070</v>
      </c>
      <c r="F11" s="3037">
        <v>47907</v>
      </c>
    </row>
    <row r="12" spans="1:6" ht="20.25" customHeight="1">
      <c r="A12" s="2347"/>
      <c r="B12" s="2347"/>
      <c r="C12" s="3036"/>
      <c r="D12" s="2347"/>
      <c r="E12" s="2347"/>
      <c r="F12" s="2347"/>
    </row>
    <row r="13" spans="1:6" ht="20.25" customHeight="1">
      <c r="A13" s="2347" t="s">
        <v>1921</v>
      </c>
      <c r="B13" s="2347">
        <f ca="1">IF(C13&lt;B2,"已过期",1120070131)</f>
        <v>1120070131</v>
      </c>
      <c r="C13" s="3036">
        <v>43814</v>
      </c>
      <c r="D13" s="2347" t="s">
        <v>1921</v>
      </c>
      <c r="E13" s="2347">
        <v>2014110011</v>
      </c>
      <c r="F13" s="3037">
        <v>49302</v>
      </c>
    </row>
    <row r="14" spans="1:6" ht="20.25" customHeight="1">
      <c r="A14" s="2347" t="s">
        <v>1922</v>
      </c>
      <c r="B14" s="2347">
        <f ca="1">IF(C14&lt;B2,"已过期",1120130020)</f>
        <v>1120130020</v>
      </c>
      <c r="C14" s="3036">
        <v>43622</v>
      </c>
      <c r="D14" s="2347"/>
      <c r="E14" s="2347"/>
      <c r="F14" s="2347"/>
    </row>
    <row r="15" spans="1:6" ht="20.25" customHeight="1">
      <c r="A15" s="2347" t="s">
        <v>2578</v>
      </c>
      <c r="B15" s="2347">
        <v>1120070085</v>
      </c>
      <c r="C15" s="3036">
        <v>43814</v>
      </c>
      <c r="D15" s="2347" t="s">
        <v>2578</v>
      </c>
      <c r="E15" s="2347">
        <v>2004110128</v>
      </c>
      <c r="F15" s="3037">
        <v>47118</v>
      </c>
    </row>
    <row r="16" spans="1:6" ht="20.25" customHeight="1">
      <c r="A16" s="2347" t="s">
        <v>1923</v>
      </c>
      <c r="B16" s="2347">
        <f ca="1">IF(C16&lt;B2,"已过期",1120140022)</f>
        <v>1120140022</v>
      </c>
      <c r="C16" s="3036">
        <v>44029</v>
      </c>
      <c r="D16" s="2347" t="s">
        <v>1923</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1924</v>
      </c>
      <c r="E21" s="2347">
        <f ca="1">IF(F21&lt;B2,"已过期",2011110090)</f>
        <v>2011110090</v>
      </c>
      <c r="F21" s="3037">
        <v>48302</v>
      </c>
    </row>
    <row r="22" spans="1:7" ht="20.25" customHeight="1">
      <c r="A22" s="2347" t="s">
        <v>1925</v>
      </c>
      <c r="B22" s="2347">
        <f ca="1">IF(C22&lt;B2,"已过期",1120020033)</f>
        <v>1120020033</v>
      </c>
      <c r="C22" s="3036">
        <v>43304</v>
      </c>
      <c r="D22" s="2347" t="s">
        <v>1925</v>
      </c>
      <c r="E22" s="2347">
        <f ca="1">IF(F22&lt;B2,"已过期",2000110137)</f>
        <v>2000110137</v>
      </c>
      <c r="F22" s="3037">
        <v>46387</v>
      </c>
    </row>
    <row r="23" spans="1:7" ht="20.25" customHeight="1">
      <c r="A23" s="2347" t="s">
        <v>1926</v>
      </c>
      <c r="B23" s="2347">
        <f ca="1">IF(C23&lt;B2,"已过期",1120130048)</f>
        <v>1120130048</v>
      </c>
      <c r="C23" s="3036">
        <v>43686</v>
      </c>
      <c r="D23" s="2347"/>
      <c r="E23" s="2347"/>
      <c r="F23" s="2347"/>
    </row>
    <row r="24" spans="1:7" s="2351" customFormat="1" ht="20.25" customHeight="1">
      <c r="A24" s="2349" t="s">
        <v>2054</v>
      </c>
      <c r="B24" s="2349" t="s">
        <v>2054</v>
      </c>
      <c r="C24" s="3036"/>
      <c r="D24" s="3038" t="s">
        <v>2054</v>
      </c>
      <c r="E24" s="2349" t="s">
        <v>2054</v>
      </c>
      <c r="F24" s="2350"/>
    </row>
    <row r="25" spans="1:7" ht="20.25" customHeight="1">
      <c r="A25" s="3221" t="s">
        <v>1927</v>
      </c>
      <c r="B25" s="3221"/>
      <c r="C25" s="3221"/>
      <c r="D25" s="3221"/>
      <c r="E25" s="3221"/>
      <c r="F25" s="3221"/>
      <c r="G25" s="3221"/>
    </row>
    <row r="26" spans="1:7" ht="20.25" customHeight="1">
      <c r="A26" s="3222" t="s">
        <v>1928</v>
      </c>
      <c r="B26" s="3222"/>
      <c r="C26" s="3222"/>
      <c r="D26" s="3222" t="s">
        <v>1929</v>
      </c>
      <c r="E26" s="3222"/>
      <c r="F26" s="3222"/>
    </row>
    <row r="27" spans="1:7" s="2355" customFormat="1" ht="20.25" customHeight="1">
      <c r="A27" s="2352" t="s">
        <v>1930</v>
      </c>
      <c r="B27" s="2353" t="s">
        <v>1931</v>
      </c>
      <c r="C27" s="2353" t="s">
        <v>1932</v>
      </c>
      <c r="D27" s="2354" t="s">
        <v>1930</v>
      </c>
      <c r="E27" s="2353" t="s">
        <v>1931</v>
      </c>
      <c r="F27" s="2353" t="s">
        <v>1932</v>
      </c>
    </row>
    <row r="28" spans="1:7" s="2355" customFormat="1" ht="20.25" customHeight="1">
      <c r="A28" s="2356" t="s">
        <v>1933</v>
      </c>
      <c r="B28" s="2356" t="s">
        <v>1934</v>
      </c>
      <c r="C28" s="2357">
        <v>43725</v>
      </c>
      <c r="D28" s="2356" t="s">
        <v>1935</v>
      </c>
      <c r="E28" s="2356" t="s">
        <v>1936</v>
      </c>
      <c r="F28" s="2358">
        <v>44377</v>
      </c>
    </row>
    <row r="29" spans="1:7" s="2355" customFormat="1" ht="20.25" customHeight="1">
      <c r="A29" s="2356"/>
      <c r="B29" s="2356"/>
      <c r="C29" s="2359"/>
      <c r="D29" s="2356" t="s">
        <v>1937</v>
      </c>
      <c r="E29" s="2360" t="s">
        <v>2948</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2" sqref="AA22"/>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2549</v>
      </c>
      <c r="R1" s="2610" t="s">
        <v>2543</v>
      </c>
      <c r="S1" s="6" t="s">
        <v>146</v>
      </c>
      <c r="T1" s="7" t="s">
        <v>147</v>
      </c>
      <c r="U1" s="6" t="s">
        <v>148</v>
      </c>
      <c r="V1" s="6" t="s">
        <v>149</v>
      </c>
      <c r="W1" s="1006" t="s">
        <v>875</v>
      </c>
    </row>
    <row r="2" spans="1:23">
      <c r="A2" s="8" t="s">
        <v>73</v>
      </c>
      <c r="B2" s="8" t="s">
        <v>150</v>
      </c>
      <c r="C2" s="1554" t="s">
        <v>1708</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2544</v>
      </c>
      <c r="S2" s="9" t="s">
        <v>75</v>
      </c>
      <c r="T2" s="9" t="s">
        <v>76</v>
      </c>
      <c r="U2" s="9" t="s">
        <v>75</v>
      </c>
      <c r="V2" s="9" t="s">
        <v>77</v>
      </c>
      <c r="W2" s="9" t="s">
        <v>876</v>
      </c>
    </row>
    <row r="3" spans="1:23">
      <c r="A3" s="8" t="s">
        <v>78</v>
      </c>
      <c r="B3" s="10" t="s">
        <v>151</v>
      </c>
      <c r="C3" s="1555" t="s">
        <v>1709</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2545</v>
      </c>
      <c r="S3" s="9" t="s">
        <v>84</v>
      </c>
      <c r="T3" s="9" t="s">
        <v>85</v>
      </c>
      <c r="U3" s="9" t="s">
        <v>84</v>
      </c>
      <c r="V3" s="9" t="s">
        <v>86</v>
      </c>
      <c r="W3" s="9" t="s">
        <v>877</v>
      </c>
    </row>
    <row r="4" spans="1:23">
      <c r="A4" s="8" t="s">
        <v>87</v>
      </c>
      <c r="B4" s="8" t="s">
        <v>152</v>
      </c>
      <c r="C4" s="1554" t="s">
        <v>1710</v>
      </c>
      <c r="D4" s="9" t="s">
        <v>1995</v>
      </c>
      <c r="E4" s="9" t="s">
        <v>88</v>
      </c>
      <c r="F4" s="9" t="s">
        <v>89</v>
      </c>
      <c r="G4" s="9">
        <v>70</v>
      </c>
      <c r="H4" s="9" t="s">
        <v>90</v>
      </c>
      <c r="I4" s="9" t="s">
        <v>91</v>
      </c>
      <c r="K4" s="9" t="s">
        <v>92</v>
      </c>
      <c r="L4" s="9" t="s">
        <v>92</v>
      </c>
      <c r="M4" s="9" t="s">
        <v>92</v>
      </c>
      <c r="N4" s="9" t="s">
        <v>92</v>
      </c>
      <c r="O4" s="9" t="s">
        <v>92</v>
      </c>
      <c r="P4" s="1008" t="s">
        <v>761</v>
      </c>
      <c r="Q4" s="9" t="s">
        <v>92</v>
      </c>
      <c r="R4" s="1008" t="s">
        <v>2546</v>
      </c>
      <c r="S4" s="9" t="s">
        <v>92</v>
      </c>
      <c r="T4" s="9" t="s">
        <v>93</v>
      </c>
      <c r="U4" s="9" t="s">
        <v>92</v>
      </c>
      <c r="W4" s="9" t="s">
        <v>878</v>
      </c>
    </row>
    <row r="5" spans="1:23">
      <c r="A5" s="8" t="s">
        <v>94</v>
      </c>
      <c r="B5" s="8" t="s">
        <v>153</v>
      </c>
      <c r="C5" s="1554" t="s">
        <v>1711</v>
      </c>
      <c r="F5" s="9" t="s">
        <v>95</v>
      </c>
      <c r="H5" s="9" t="s">
        <v>70</v>
      </c>
      <c r="I5" s="9" t="s">
        <v>96</v>
      </c>
      <c r="K5" s="9" t="s">
        <v>97</v>
      </c>
      <c r="L5" s="9" t="s">
        <v>97</v>
      </c>
      <c r="M5" s="9" t="s">
        <v>97</v>
      </c>
      <c r="N5" s="9" t="s">
        <v>97</v>
      </c>
      <c r="O5" s="9" t="s">
        <v>97</v>
      </c>
      <c r="P5" s="1008" t="s">
        <v>547</v>
      </c>
      <c r="Q5" s="9" t="s">
        <v>97</v>
      </c>
      <c r="R5" s="1008" t="s">
        <v>2547</v>
      </c>
      <c r="S5" s="9" t="s">
        <v>97</v>
      </c>
      <c r="T5" s="9" t="s">
        <v>98</v>
      </c>
      <c r="U5" s="9" t="s">
        <v>97</v>
      </c>
      <c r="W5" s="9" t="s">
        <v>879</v>
      </c>
    </row>
    <row r="6" spans="1:23">
      <c r="A6" s="8" t="s">
        <v>99</v>
      </c>
      <c r="B6" s="1151" t="s">
        <v>1642</v>
      </c>
      <c r="C6" s="1556" t="s">
        <v>1712</v>
      </c>
      <c r="F6" s="9" t="s">
        <v>71</v>
      </c>
      <c r="H6" s="9" t="s">
        <v>72</v>
      </c>
      <c r="I6" s="9" t="s">
        <v>100</v>
      </c>
      <c r="K6" s="9" t="s">
        <v>101</v>
      </c>
      <c r="L6" s="9" t="s">
        <v>101</v>
      </c>
      <c r="M6" s="9" t="s">
        <v>101</v>
      </c>
      <c r="N6" s="9" t="s">
        <v>101</v>
      </c>
      <c r="O6" s="9" t="s">
        <v>101</v>
      </c>
      <c r="P6" s="1008" t="s">
        <v>882</v>
      </c>
      <c r="Q6" s="9" t="s">
        <v>101</v>
      </c>
      <c r="R6" s="1008" t="s">
        <v>2548</v>
      </c>
      <c r="S6" s="9" t="s">
        <v>101</v>
      </c>
      <c r="T6" s="9"/>
      <c r="U6" s="9" t="s">
        <v>101</v>
      </c>
      <c r="W6" s="9" t="s">
        <v>880</v>
      </c>
    </row>
    <row r="7" spans="1:23">
      <c r="A7" s="8" t="s">
        <v>102</v>
      </c>
      <c r="B7" s="8" t="s">
        <v>103</v>
      </c>
      <c r="C7" s="1554" t="s">
        <v>1713</v>
      </c>
      <c r="F7" s="9" t="s">
        <v>154</v>
      </c>
      <c r="H7" s="9" t="s">
        <v>104</v>
      </c>
      <c r="I7" s="9" t="s">
        <v>105</v>
      </c>
    </row>
    <row r="8" spans="1:23">
      <c r="A8" s="8" t="s">
        <v>106</v>
      </c>
      <c r="B8" s="8" t="s">
        <v>107</v>
      </c>
      <c r="C8" s="1554" t="s">
        <v>1714</v>
      </c>
      <c r="F8" s="9" t="s">
        <v>155</v>
      </c>
      <c r="H8" s="9"/>
      <c r="I8" s="9" t="s">
        <v>108</v>
      </c>
    </row>
    <row r="9" spans="1:23">
      <c r="A9" s="8" t="s">
        <v>109</v>
      </c>
      <c r="B9" s="8" t="s">
        <v>156</v>
      </c>
      <c r="C9" s="1554" t="s">
        <v>1715</v>
      </c>
      <c r="F9" s="9" t="s">
        <v>110</v>
      </c>
      <c r="H9" s="9"/>
    </row>
    <row r="10" spans="1:23">
      <c r="A10" s="8" t="s">
        <v>111</v>
      </c>
      <c r="B10" s="8" t="s">
        <v>157</v>
      </c>
      <c r="C10" s="1554" t="s">
        <v>1716</v>
      </c>
      <c r="F10" s="9" t="s">
        <v>6</v>
      </c>
    </row>
    <row r="11" spans="1:23">
      <c r="A11" s="8" t="s">
        <v>112</v>
      </c>
      <c r="B11" s="8" t="s">
        <v>158</v>
      </c>
      <c r="C11" s="1554" t="s">
        <v>1717</v>
      </c>
    </row>
    <row r="12" spans="1:23">
      <c r="A12" s="8" t="s">
        <v>113</v>
      </c>
      <c r="B12" s="8" t="s">
        <v>159</v>
      </c>
      <c r="C12" s="1554" t="s">
        <v>1718</v>
      </c>
    </row>
    <row r="13" spans="1:23">
      <c r="A13" s="8" t="s">
        <v>114</v>
      </c>
      <c r="B13" s="8" t="s">
        <v>160</v>
      </c>
      <c r="C13" s="1554" t="s">
        <v>1719</v>
      </c>
    </row>
    <row r="14" spans="1:23">
      <c r="A14" s="8" t="s">
        <v>115</v>
      </c>
      <c r="B14" s="8" t="s">
        <v>161</v>
      </c>
      <c r="C14" s="1557" t="s">
        <v>1895</v>
      </c>
    </row>
    <row r="15" spans="1:23">
      <c r="A15" s="8" t="s">
        <v>116</v>
      </c>
      <c r="B15" s="3188" t="s">
        <v>3132</v>
      </c>
      <c r="C15" s="1557"/>
    </row>
    <row r="16" spans="1:23">
      <c r="A16" s="8" t="s">
        <v>117</v>
      </c>
      <c r="B16" s="3188" t="s">
        <v>3133</v>
      </c>
      <c r="C16" s="1557"/>
    </row>
    <row r="17" spans="1:3">
      <c r="A17" s="8" t="s">
        <v>118</v>
      </c>
      <c r="B17" s="3188" t="s">
        <v>3135</v>
      </c>
      <c r="C17" s="1557"/>
    </row>
    <row r="18" spans="1:3">
      <c r="A18" s="8" t="s">
        <v>119</v>
      </c>
      <c r="B18" s="3145" t="s">
        <v>2961</v>
      </c>
      <c r="C18" s="1557"/>
    </row>
    <row r="19" spans="1:3">
      <c r="A19" s="8" t="s">
        <v>120</v>
      </c>
      <c r="B19" s="3145" t="s">
        <v>2969</v>
      </c>
      <c r="C19" s="1557"/>
    </row>
    <row r="20" spans="1:3">
      <c r="A20" s="8" t="s">
        <v>121</v>
      </c>
      <c r="B20" s="8" t="s">
        <v>1643</v>
      </c>
      <c r="C20" s="1557"/>
    </row>
    <row r="21" spans="1:3">
      <c r="A21" s="8" t="s">
        <v>122</v>
      </c>
      <c r="B21" s="8" t="s">
        <v>1643</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1943</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-14-2地块F3其他类多功能用地项目商务金融（办公、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23"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c r="D53" s="1771"/>
      <c r="E53" s="1771"/>
    </row>
    <row r="54" spans="1:5">
      <c r="A54" s="3223"/>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3"/>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3"/>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3"/>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2050</v>
      </c>
      <c r="B58" s="1770" t="s">
        <v>2051</v>
      </c>
      <c r="C58" s="11" t="s">
        <v>2052</v>
      </c>
      <c r="D58" s="132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租金核算</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剩余法-待开发</vt:lpstr>
      <vt:lpstr>不动产比较法-办公</vt:lpstr>
      <vt:lpstr>不动产收益法（商业）</vt:lpstr>
      <vt:lpstr>不动产收益法（车库）</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2017-12-29T06:39:40Z</dcterms:modified>
</cp:coreProperties>
</file>