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232北京市朝阳区广渠路28号院404幢198号\"/>
    </mc:Choice>
  </mc:AlternateContent>
  <bookViews>
    <workbookView xWindow="0" yWindow="0" windowWidth="21570" windowHeight="55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车位" sheetId="35" r:id="rId20"/>
    <sheet name="车位案例" sheetId="81"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2" hidden="1">'比较法-仓储'!$A$1:$L$37</definedName>
    <definedName name="_xlnm._FilterDatabase" localSheetId="19"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9">'比较法-车位'!$A$1:$K$44,'比较法-车位'!$A$47:$M$102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1" i="35" l="1"/>
  <c r="G31" i="35"/>
  <c r="E31" i="35"/>
  <c r="C31" i="35"/>
  <c r="I29" i="35"/>
  <c r="N18" i="1"/>
  <c r="I37" i="35"/>
  <c r="G37" i="35"/>
  <c r="E37" i="35"/>
  <c r="I7" i="35"/>
  <c r="G7" i="35"/>
  <c r="E7" i="35"/>
  <c r="I5" i="35"/>
  <c r="G5" i="35"/>
  <c r="D5" i="9" l="1"/>
  <c r="Y6" i="1"/>
  <c r="C6" i="69" l="1"/>
  <c r="G44" i="43"/>
  <c r="G80" i="43"/>
  <c r="G79" i="43"/>
  <c r="G78" i="43"/>
  <c r="G77" i="43"/>
  <c r="G76" i="43"/>
  <c r="G75" i="43"/>
  <c r="G74" i="43"/>
  <c r="G73" i="43"/>
  <c r="G72" i="43"/>
  <c r="G19" i="6"/>
  <c r="D42" i="43"/>
  <c r="D3" i="4" l="1"/>
  <c r="I7" i="79"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U3" i="79"/>
  <c r="V12" i="79"/>
  <c r="U36" i="79"/>
  <c r="AD37" i="79"/>
  <c r="V3" i="79"/>
  <c r="Z3" i="79"/>
  <c r="R12" i="79"/>
  <c r="S13" i="79"/>
  <c r="M25" i="79"/>
  <c r="P25" i="79" s="1"/>
  <c r="S12" i="79"/>
  <c r="U14" i="79"/>
  <c r="U15" i="79"/>
  <c r="S28" i="79"/>
  <c r="T34" i="79"/>
  <c r="W34" i="79" s="1"/>
  <c r="U35" i="79"/>
  <c r="AD36" i="79"/>
  <c r="S37" i="79"/>
  <c r="S27" i="79"/>
  <c r="M3" i="79"/>
  <c r="P3" i="79" s="1"/>
  <c r="T3" i="79"/>
  <c r="W3" i="79" s="1"/>
  <c r="U27" i="79"/>
  <c r="AD33" i="79"/>
  <c r="T32" i="79"/>
  <c r="T30" i="79"/>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Q65"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s="1"/>
  <c r="D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s="1"/>
  <c r="P53" i="71"/>
  <c r="E54" i="71"/>
  <c r="O53" i="71"/>
  <c r="N53" i="71"/>
  <c r="B54" i="71" s="1"/>
  <c r="B55" i="71" s="1"/>
  <c r="B56" i="71" s="1"/>
  <c r="S56" i="71" s="1"/>
  <c r="D53" i="71"/>
  <c r="Q52" i="71"/>
  <c r="P52" i="71"/>
  <c r="O52" i="71"/>
  <c r="N52" i="71"/>
  <c r="Q51" i="71"/>
  <c r="P51" i="71"/>
  <c r="O51" i="71"/>
  <c r="N51" i="71"/>
  <c r="Q50" i="71"/>
  <c r="P50" i="71"/>
  <c r="E51" i="71" s="1"/>
  <c r="E52" i="71" s="1"/>
  <c r="U52" i="71" s="1"/>
  <c r="O50" i="71"/>
  <c r="N50" i="71"/>
  <c r="Q49" i="71"/>
  <c r="F50" i="71" s="1"/>
  <c r="F51" i="71" s="1"/>
  <c r="F52" i="71" s="1"/>
  <c r="V52" i="71" s="1"/>
  <c r="P49" i="71"/>
  <c r="E50" i="71" s="1"/>
  <c r="O49" i="71"/>
  <c r="C50" i="71"/>
  <c r="C51" i="71" s="1"/>
  <c r="N49" i="71"/>
  <c r="B50" i="71" s="1"/>
  <c r="B51" i="71" s="1"/>
  <c r="B52" i="7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C47" i="71" s="1"/>
  <c r="D47" i="71" s="1"/>
  <c r="N45" i="71"/>
  <c r="B46" i="71" s="1"/>
  <c r="D45" i="71"/>
  <c r="Q44" i="71"/>
  <c r="P44" i="71"/>
  <c r="O44" i="71"/>
  <c r="N44" i="71"/>
  <c r="Q43" i="71"/>
  <c r="P43" i="71"/>
  <c r="O43" i="71"/>
  <c r="N43" i="71"/>
  <c r="Q42" i="71"/>
  <c r="P42" i="71"/>
  <c r="O42" i="71"/>
  <c r="N42" i="71"/>
  <c r="F43" i="71"/>
  <c r="F44" i="71" s="1"/>
  <c r="V44" i="71" s="1"/>
  <c r="Q41" i="71"/>
  <c r="F42" i="71" s="1"/>
  <c r="P41" i="71"/>
  <c r="E42" i="71" s="1"/>
  <c r="E43" i="71" s="1"/>
  <c r="E44" i="71" s="1"/>
  <c r="U44" i="71" s="1"/>
  <c r="O41" i="71"/>
  <c r="C42" i="71" s="1"/>
  <c r="D42" i="71" s="1"/>
  <c r="N41" i="71"/>
  <c r="B42" i="71"/>
  <c r="B43" i="71" s="1"/>
  <c r="B44" i="71" s="1"/>
  <c r="S44" i="71" s="1"/>
  <c r="D41" i="71"/>
  <c r="Q40" i="71"/>
  <c r="P40" i="71"/>
  <c r="O40" i="71"/>
  <c r="N40" i="71"/>
  <c r="AB39" i="71"/>
  <c r="Q39" i="71"/>
  <c r="P39" i="71"/>
  <c r="AA39" i="71"/>
  <c r="O39" i="71"/>
  <c r="N39" i="71"/>
  <c r="Q38" i="71"/>
  <c r="AB38" i="71" s="1"/>
  <c r="P38" i="71"/>
  <c r="AA35" i="71" s="1"/>
  <c r="O38" i="71"/>
  <c r="N38" i="71"/>
  <c r="Q37" i="71"/>
  <c r="AB37" i="71" s="1"/>
  <c r="P37" i="71"/>
  <c r="O37" i="71"/>
  <c r="N37" i="71"/>
  <c r="X29" i="71" s="1"/>
  <c r="D37" i="71"/>
  <c r="Q36" i="71"/>
  <c r="P36" i="71"/>
  <c r="O36" i="71"/>
  <c r="Y36" i="71" s="1"/>
  <c r="Z36" i="71" s="1"/>
  <c r="N36" i="71"/>
  <c r="Q35" i="71"/>
  <c r="P35" i="71"/>
  <c r="O35" i="71"/>
  <c r="Y34" i="71" s="1"/>
  <c r="Z34" i="71" s="1"/>
  <c r="N35" i="71"/>
  <c r="Q34" i="71"/>
  <c r="AB34" i="71"/>
  <c r="P34" i="71"/>
  <c r="O34" i="71"/>
  <c r="N34" i="71"/>
  <c r="Q33" i="71"/>
  <c r="F34" i="71" s="1"/>
  <c r="F35" i="71" s="1"/>
  <c r="F36" i="71" s="1"/>
  <c r="V36" i="71" s="1"/>
  <c r="P33" i="71"/>
  <c r="O33" i="71"/>
  <c r="N33" i="71"/>
  <c r="D33" i="71"/>
  <c r="Q32" i="71"/>
  <c r="AB32" i="71" s="1"/>
  <c r="P32" i="71"/>
  <c r="O32" i="71"/>
  <c r="N32" i="71"/>
  <c r="Q31" i="71"/>
  <c r="AB31" i="71"/>
  <c r="P31" i="71"/>
  <c r="O31" i="71"/>
  <c r="N31" i="71"/>
  <c r="Q30" i="71"/>
  <c r="P30" i="71"/>
  <c r="O30" i="71"/>
  <c r="Y29" i="71" s="1"/>
  <c r="Z29" i="71" s="1"/>
  <c r="N30" i="71"/>
  <c r="Q29" i="71"/>
  <c r="AB29" i="71" s="1"/>
  <c r="P29" i="71"/>
  <c r="O29" i="71"/>
  <c r="N29" i="71"/>
  <c r="D29" i="71"/>
  <c r="O28" i="71"/>
  <c r="N28" i="71"/>
  <c r="B30" i="71"/>
  <c r="B31" i="71"/>
  <c r="B32" i="71" s="1"/>
  <c r="S32" i="71" s="1"/>
  <c r="E30" i="71"/>
  <c r="AA29" i="71"/>
  <c r="B34" i="71"/>
  <c r="B35" i="71" s="1"/>
  <c r="B36" i="71" s="1"/>
  <c r="S36" i="71" s="1"/>
  <c r="E38" i="71"/>
  <c r="AA37" i="71"/>
  <c r="N68" i="71"/>
  <c r="C30" i="71"/>
  <c r="X31" i="71"/>
  <c r="C34" i="71"/>
  <c r="AB33" i="71"/>
  <c r="C38" i="71"/>
  <c r="Y37" i="71"/>
  <c r="Z37" i="71" s="1"/>
  <c r="X38" i="71"/>
  <c r="C28" i="71"/>
  <c r="T28" i="71" s="1"/>
  <c r="B28" i="71"/>
  <c r="B27" i="71" s="1"/>
  <c r="B26" i="71" s="1"/>
  <c r="X26" i="71"/>
  <c r="D30" i="71"/>
  <c r="C39" i="71"/>
  <c r="C40" i="71" s="1"/>
  <c r="D38" i="71"/>
  <c r="C43" i="71"/>
  <c r="D50" i="71"/>
  <c r="P28" i="71"/>
  <c r="AA27" i="71" s="1"/>
  <c r="E55" i="71"/>
  <c r="E56" i="71" s="1"/>
  <c r="U56" i="71" s="1"/>
  <c r="E59" i="71"/>
  <c r="E60" i="71"/>
  <c r="U60" i="71" s="1"/>
  <c r="E63" i="71"/>
  <c r="E64" i="71" s="1"/>
  <c r="U64" i="71" s="1"/>
  <c r="U68" i="71"/>
  <c r="E67" i="71"/>
  <c r="E66" i="71" s="1"/>
  <c r="Q28" i="71"/>
  <c r="AB27" i="71" s="1"/>
  <c r="C55" i="71"/>
  <c r="D54" i="71"/>
  <c r="C59" i="71"/>
  <c r="D59" i="71" s="1"/>
  <c r="C63" i="71"/>
  <c r="D62" i="71"/>
  <c r="N67" i="71"/>
  <c r="B66" i="71"/>
  <c r="N66" i="71" s="1"/>
  <c r="Q67" i="71"/>
  <c r="T68" i="71"/>
  <c r="O68" i="71"/>
  <c r="D68" i="71"/>
  <c r="C67" i="71"/>
  <c r="Q68" i="71"/>
  <c r="C71" i="71"/>
  <c r="C70" i="71" s="1"/>
  <c r="D70" i="71" s="1"/>
  <c r="E71" i="71"/>
  <c r="E70" i="71" s="1"/>
  <c r="D72" i="71"/>
  <c r="C75" i="71"/>
  <c r="D75" i="71" s="1"/>
  <c r="E75" i="71"/>
  <c r="E74" i="71" s="1"/>
  <c r="D76" i="71"/>
  <c r="C79" i="71"/>
  <c r="D79" i="71" s="1"/>
  <c r="E79" i="71"/>
  <c r="E78" i="71" s="1"/>
  <c r="D80" i="71"/>
  <c r="C83" i="71"/>
  <c r="D83" i="71" s="1"/>
  <c r="C87" i="71"/>
  <c r="D87" i="71" s="1"/>
  <c r="S28" i="71"/>
  <c r="F28" i="71"/>
  <c r="F27" i="71" s="1"/>
  <c r="F26" i="71" s="1"/>
  <c r="AB25" i="71"/>
  <c r="E28" i="71"/>
  <c r="V28" i="71" s="1"/>
  <c r="AA25" i="71"/>
  <c r="D28" i="71"/>
  <c r="U28" i="71" s="1"/>
  <c r="C66" i="71"/>
  <c r="O67" i="71"/>
  <c r="D67" i="71"/>
  <c r="C64" i="71"/>
  <c r="T64" i="71" s="1"/>
  <c r="D63" i="71"/>
  <c r="C82" i="71"/>
  <c r="D82" i="71" s="1"/>
  <c r="N65" i="71"/>
  <c r="C86" i="71"/>
  <c r="D86" i="71" s="1"/>
  <c r="C60" i="71"/>
  <c r="D60" i="71" s="1"/>
  <c r="C56" i="71"/>
  <c r="D55" i="71"/>
  <c r="P67" i="71"/>
  <c r="C52" i="71"/>
  <c r="D51" i="71"/>
  <c r="C44" i="71"/>
  <c r="T44" i="71" s="1"/>
  <c r="D43" i="71"/>
  <c r="O66" i="71"/>
  <c r="D66" i="71"/>
  <c r="O65" i="71"/>
  <c r="D44" i="71"/>
  <c r="T52" i="71"/>
  <c r="D52" i="71"/>
  <c r="T56" i="71"/>
  <c r="D56" i="71"/>
  <c r="D6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U18" i="36" s="1"/>
  <c r="AB18" i="36"/>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G68" i="35" s="1"/>
  <c r="H18" i="35"/>
  <c r="AB18" i="35" s="1"/>
  <c r="J18" i="35"/>
  <c r="H21" i="37"/>
  <c r="F21" i="37"/>
  <c r="AA21" i="37" s="1"/>
  <c r="F84" i="34"/>
  <c r="H21" i="34"/>
  <c r="H21" i="33"/>
  <c r="U21" i="33" s="1"/>
  <c r="F21" i="33"/>
  <c r="S21" i="33" s="1"/>
  <c r="E83" i="21"/>
  <c r="H1" i="69"/>
  <c r="AC25" i="40"/>
  <c r="W25" i="40"/>
  <c r="U29" i="39"/>
  <c r="W29" i="39"/>
  <c r="W18" i="36"/>
  <c r="AB21" i="37"/>
  <c r="U21" i="37"/>
  <c r="S21" i="37"/>
  <c r="AB21" i="34"/>
  <c r="U21" i="34"/>
  <c r="AB21" i="33"/>
  <c r="AA21" i="33"/>
  <c r="AC18" i="35"/>
  <c r="W18" i="35"/>
  <c r="J21" i="37"/>
  <c r="G84" i="34"/>
  <c r="J21" i="34"/>
  <c r="W21" i="34" s="1"/>
  <c r="J21" i="33"/>
  <c r="F83" i="21"/>
  <c r="G83" i="21" s="1"/>
  <c r="H21" i="21"/>
  <c r="U21" i="21" s="1"/>
  <c r="F38" i="69"/>
  <c r="E37" i="69"/>
  <c r="F36" i="69"/>
  <c r="F35" i="69"/>
  <c r="F21" i="69"/>
  <c r="F40" i="69" s="1"/>
  <c r="F20" i="69"/>
  <c r="F39" i="69" s="1"/>
  <c r="E10" i="69"/>
  <c r="E9" i="69"/>
  <c r="C7" i="69"/>
  <c r="AC21" i="37"/>
  <c r="W21" i="37"/>
  <c r="AC21" i="34"/>
  <c r="AC21" i="33"/>
  <c r="W21" i="33"/>
  <c r="AB21" i="21"/>
  <c r="J21" i="21"/>
  <c r="C40" i="69"/>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L108" i="3" s="1"/>
  <c r="AZ108" i="3" s="1"/>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AZ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L88" i="3"/>
  <c r="BK88" i="3"/>
  <c r="BJ88" i="3"/>
  <c r="BI88" i="3"/>
  <c r="BH88" i="3"/>
  <c r="BG88" i="3"/>
  <c r="BF88" i="3"/>
  <c r="BE88" i="3"/>
  <c r="BD88" i="3"/>
  <c r="BC88" i="3"/>
  <c r="BA88" i="3" s="1"/>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A79" i="3" s="1"/>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G65" i="3" s="1"/>
  <c r="H65" i="3"/>
  <c r="BT64" i="3"/>
  <c r="BS64" i="3"/>
  <c r="BR64" i="3"/>
  <c r="BQ64" i="3"/>
  <c r="BP64" i="3"/>
  <c r="BO64" i="3"/>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L58" i="3" s="1"/>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G49" i="3" s="1"/>
  <c r="H49" i="3"/>
  <c r="BT48" i="3"/>
  <c r="BS48" i="3"/>
  <c r="BR48" i="3"/>
  <c r="BQ48" i="3"/>
  <c r="BP48" i="3"/>
  <c r="BO48" i="3"/>
  <c r="BN48" i="3"/>
  <c r="BM48" i="3"/>
  <c r="BK48" i="3"/>
  <c r="BJ48" i="3"/>
  <c r="BI48" i="3"/>
  <c r="BH48" i="3"/>
  <c r="BG48" i="3"/>
  <c r="BF48" i="3"/>
  <c r="BE48" i="3"/>
  <c r="BD48" i="3"/>
  <c r="BC48" i="3"/>
  <c r="BA48" i="3" s="1"/>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G46" i="3" s="1"/>
  <c r="H46" i="3"/>
  <c r="BT45" i="3"/>
  <c r="BS45" i="3"/>
  <c r="BR45" i="3"/>
  <c r="BQ45" i="3"/>
  <c r="BP45" i="3"/>
  <c r="BO45" i="3"/>
  <c r="BN45" i="3"/>
  <c r="BM45" i="3"/>
  <c r="BL45" i="3"/>
  <c r="BK45" i="3"/>
  <c r="BJ45" i="3"/>
  <c r="BI45" i="3"/>
  <c r="BH45" i="3"/>
  <c r="BG45" i="3"/>
  <c r="BF45" i="3"/>
  <c r="BE45" i="3"/>
  <c r="BD45" i="3"/>
  <c r="BC45" i="3"/>
  <c r="BA45" i="3" s="1"/>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L42" i="3" s="1"/>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G29" i="3" s="1"/>
  <c r="H29" i="3"/>
  <c r="BT28" i="3"/>
  <c r="BS28" i="3"/>
  <c r="BR28" i="3"/>
  <c r="BQ28" i="3"/>
  <c r="BP28" i="3"/>
  <c r="BO28" i="3"/>
  <c r="BN28" i="3"/>
  <c r="BM28" i="3"/>
  <c r="BL28" i="3"/>
  <c r="BK28" i="3"/>
  <c r="BJ28" i="3"/>
  <c r="BI28" i="3"/>
  <c r="BH28" i="3"/>
  <c r="BG28" i="3"/>
  <c r="BF28" i="3"/>
  <c r="BE28" i="3"/>
  <c r="BD28" i="3"/>
  <c r="BC28" i="3"/>
  <c r="BA28" i="3" s="1"/>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G122" i="3" s="1"/>
  <c r="H122" i="3"/>
  <c r="BT121" i="3"/>
  <c r="BS121" i="3"/>
  <c r="BR121" i="3"/>
  <c r="BQ121" i="3"/>
  <c r="BP121" i="3"/>
  <c r="BO121" i="3"/>
  <c r="BN121" i="3"/>
  <c r="BM121" i="3"/>
  <c r="BL121" i="3"/>
  <c r="BK121" i="3"/>
  <c r="BJ121" i="3"/>
  <c r="BI121" i="3"/>
  <c r="BH121" i="3"/>
  <c r="BG121" i="3"/>
  <c r="BF121" i="3"/>
  <c r="BE121" i="3"/>
  <c r="BD121" i="3"/>
  <c r="BC121" i="3"/>
  <c r="BA121" i="3" s="1"/>
  <c r="AZ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L118" i="3" s="1"/>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L113" i="3" s="1"/>
  <c r="BN113" i="3"/>
  <c r="BM113" i="3"/>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L249" i="3" s="1"/>
  <c r="BN249" i="3"/>
  <c r="BM249" i="3"/>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L239" i="3" s="1"/>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A226" i="3" s="1"/>
  <c r="AZ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A223" i="3" s="1"/>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s="1"/>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AZ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Z479" i="3"/>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BC429" i="3"/>
  <c r="BB429" i="3"/>
  <c r="AZ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AC551" i="3"/>
  <c r="AC5" i="3" s="1"/>
  <c r="BB551" i="3"/>
  <c r="BC551" i="3"/>
  <c r="BD551" i="3"/>
  <c r="BE551" i="3"/>
  <c r="BF551" i="3"/>
  <c r="BG551" i="3"/>
  <c r="BH551" i="3"/>
  <c r="BA551" i="3" s="1"/>
  <c r="BI551" i="3"/>
  <c r="BJ551" i="3"/>
  <c r="BK551" i="3"/>
  <c r="BM551" i="3"/>
  <c r="BL551" i="3" s="1"/>
  <c r="BN551" i="3"/>
  <c r="BO551" i="3"/>
  <c r="BP551" i="3"/>
  <c r="BR551" i="3"/>
  <c r="BR5" i="3" s="1"/>
  <c r="BS551" i="3"/>
  <c r="BT551" i="3"/>
  <c r="H552" i="3"/>
  <c r="AC552" i="3"/>
  <c r="G552" i="3" s="1"/>
  <c r="BB552" i="3"/>
  <c r="BC552" i="3"/>
  <c r="BD552" i="3"/>
  <c r="BD5" i="3" s="1"/>
  <c r="BE552" i="3"/>
  <c r="BF552" i="3"/>
  <c r="BG552" i="3"/>
  <c r="BH552" i="3"/>
  <c r="BI552" i="3"/>
  <c r="BJ552" i="3"/>
  <c r="BK552" i="3"/>
  <c r="BM552" i="3"/>
  <c r="BL552" i="3" s="1"/>
  <c r="BN552" i="3"/>
  <c r="BO552" i="3"/>
  <c r="BP552" i="3"/>
  <c r="BQ552" i="3"/>
  <c r="BR552" i="3"/>
  <c r="BS552" i="3"/>
  <c r="BT552" i="3"/>
  <c r="H553" i="3"/>
  <c r="G553" i="3" s="1"/>
  <c r="AC553" i="3"/>
  <c r="BB553" i="3"/>
  <c r="BC553" i="3"/>
  <c r="BD553" i="3"/>
  <c r="BA553" i="3" s="1"/>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I5" i="3" s="1"/>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L555" i="3" s="1"/>
  <c r="BO555" i="3"/>
  <c r="BP555" i="3"/>
  <c r="BR555" i="3"/>
  <c r="BS555" i="3"/>
  <c r="BS5" i="3" s="1"/>
  <c r="BT555" i="3"/>
  <c r="H556" i="3"/>
  <c r="AC556" i="3"/>
  <c r="G556" i="3"/>
  <c r="BB556" i="3"/>
  <c r="BC556" i="3"/>
  <c r="BD556" i="3"/>
  <c r="BE556" i="3"/>
  <c r="BA556" i="3" s="1"/>
  <c r="AZ556" i="3" s="1"/>
  <c r="BF556" i="3"/>
  <c r="BG556" i="3"/>
  <c r="BH556" i="3"/>
  <c r="BI556" i="3"/>
  <c r="BJ556" i="3"/>
  <c r="BK556" i="3"/>
  <c r="BM556" i="3"/>
  <c r="BN556" i="3"/>
  <c r="BO556" i="3"/>
  <c r="BP556" i="3"/>
  <c r="BQ556" i="3"/>
  <c r="BR556" i="3"/>
  <c r="BS556" i="3"/>
  <c r="BT556" i="3"/>
  <c r="H557" i="3"/>
  <c r="BB557" i="3"/>
  <c r="BB5" i="3" s="1"/>
  <c r="BC557" i="3"/>
  <c r="BD557" i="3"/>
  <c r="BE557" i="3"/>
  <c r="BF557" i="3"/>
  <c r="BF5" i="3" s="1"/>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K5" i="3" s="1"/>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L559" i="3" s="1"/>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L575" i="3" s="1"/>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A578" i="3" s="1"/>
  <c r="AZ578" i="3" s="1"/>
  <c r="BD578" i="3"/>
  <c r="BE578" i="3"/>
  <c r="BF578" i="3"/>
  <c r="BG578" i="3"/>
  <c r="BH578" i="3"/>
  <c r="BI578" i="3"/>
  <c r="BJ578" i="3"/>
  <c r="BK578" i="3"/>
  <c r="BM578" i="3"/>
  <c r="BN578" i="3"/>
  <c r="BO578" i="3"/>
  <c r="BP578" i="3"/>
  <c r="BQ578" i="3"/>
  <c r="BR578" i="3"/>
  <c r="BS578" i="3"/>
  <c r="BT578" i="3"/>
  <c r="H579" i="3"/>
  <c r="G579" i="3" s="1"/>
  <c r="AC579" i="3"/>
  <c r="BB579" i="3"/>
  <c r="BC579" i="3"/>
  <c r="BA579" i="3" s="1"/>
  <c r="AZ579" i="3" s="1"/>
  <c r="BD579" i="3"/>
  <c r="BE579" i="3"/>
  <c r="BF579" i="3"/>
  <c r="BG579" i="3"/>
  <c r="BH579" i="3"/>
  <c r="BI579" i="3"/>
  <c r="BJ579" i="3"/>
  <c r="BK579" i="3"/>
  <c r="BM579" i="3"/>
  <c r="BL579" i="3" s="1"/>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A581" i="3" s="1"/>
  <c r="AZ581" i="3" s="1"/>
  <c r="BE581" i="3"/>
  <c r="BF581" i="3"/>
  <c r="BG581" i="3"/>
  <c r="BH581" i="3"/>
  <c r="BI581" i="3"/>
  <c r="BJ581" i="3"/>
  <c r="BK581" i="3"/>
  <c r="BM581" i="3"/>
  <c r="BN581" i="3"/>
  <c r="BO581" i="3"/>
  <c r="BP581" i="3"/>
  <c r="BR581" i="3"/>
  <c r="BS581" i="3"/>
  <c r="BT581" i="3"/>
  <c r="H582" i="3"/>
  <c r="AC582" i="3"/>
  <c r="G582" i="3" s="1"/>
  <c r="BB582" i="3"/>
  <c r="BC582" i="3"/>
  <c r="BD582" i="3"/>
  <c r="BA582" i="3" s="1"/>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c r="K76" i="40"/>
  <c r="L76" i="40" s="1"/>
  <c r="M76" i="40" s="1"/>
  <c r="B120" i="40"/>
  <c r="H40" i="40" s="1"/>
  <c r="AB40" i="40" s="1"/>
  <c r="B118" i="40"/>
  <c r="J39" i="40" s="1"/>
  <c r="B116" i="40"/>
  <c r="F38" i="40"/>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F31" i="40" s="1"/>
  <c r="AA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c r="B81" i="40"/>
  <c r="J14" i="40" s="1"/>
  <c r="B79" i="40"/>
  <c r="B77" i="40"/>
  <c r="J12" i="40"/>
  <c r="W12" i="40" s="1"/>
  <c r="M74" i="40"/>
  <c r="L74" i="40"/>
  <c r="K74" i="40"/>
  <c r="J74" i="40"/>
  <c r="I74" i="40"/>
  <c r="H74" i="40"/>
  <c r="G74" i="40"/>
  <c r="F74" i="40"/>
  <c r="E74" i="40"/>
  <c r="D74" i="40"/>
  <c r="C74" i="40"/>
  <c r="P43" i="40"/>
  <c r="P42" i="40"/>
  <c r="V41" i="40"/>
  <c r="T41" i="40"/>
  <c r="R41" i="40"/>
  <c r="P41" i="40"/>
  <c r="Q40" i="40"/>
  <c r="Z40" i="40" s="1"/>
  <c r="F40" i="40"/>
  <c r="AA40" i="40" s="1"/>
  <c r="Q39" i="40"/>
  <c r="Z39" i="40" s="1"/>
  <c r="H39" i="40"/>
  <c r="U39" i="40"/>
  <c r="Q38" i="40"/>
  <c r="Z38" i="40" s="1"/>
  <c r="J38" i="40"/>
  <c r="AC38" i="40"/>
  <c r="H38" i="40"/>
  <c r="AB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J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B86" i="37"/>
  <c r="B84" i="37"/>
  <c r="H27" i="37" s="1"/>
  <c r="U27" i="37"/>
  <c r="B82" i="37"/>
  <c r="D79" i="37"/>
  <c r="E79" i="37" s="1"/>
  <c r="D75" i="37"/>
  <c r="E75" i="37"/>
  <c r="F75" i="37" s="1"/>
  <c r="G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H33" i="36"/>
  <c r="U33" i="36" s="1"/>
  <c r="B91" i="36"/>
  <c r="F32" i="36" s="1"/>
  <c r="B95" i="36"/>
  <c r="H34" i="36" s="1"/>
  <c r="D83" i="36"/>
  <c r="E83" i="36" s="1"/>
  <c r="F83" i="36"/>
  <c r="G83" i="36" s="1"/>
  <c r="H83" i="36" s="1"/>
  <c r="I83" i="36" s="1"/>
  <c r="J83" i="36" s="1"/>
  <c r="K83" i="36" s="1"/>
  <c r="L83" i="36" s="1"/>
  <c r="M83" i="36" s="1"/>
  <c r="D78" i="36"/>
  <c r="E78" i="36" s="1"/>
  <c r="F78" i="36" s="1"/>
  <c r="G78" i="36" s="1"/>
  <c r="H78" i="36" s="1"/>
  <c r="I78" i="36"/>
  <c r="J78" i="36" s="1"/>
  <c r="K78" i="36" s="1"/>
  <c r="L78" i="36"/>
  <c r="M78" i="36" s="1"/>
  <c r="B75" i="36"/>
  <c r="B73" i="36"/>
  <c r="J24" i="36"/>
  <c r="AC24" i="36" s="1"/>
  <c r="B71" i="36"/>
  <c r="H23" i="36" s="1"/>
  <c r="D70" i="36"/>
  <c r="H22" i="36"/>
  <c r="AB22" i="36" s="1"/>
  <c r="D68" i="36"/>
  <c r="E68" i="36" s="1"/>
  <c r="F68" i="36"/>
  <c r="G68" i="36" s="1"/>
  <c r="D64" i="36"/>
  <c r="E64" i="36" s="1"/>
  <c r="F64" i="36" s="1"/>
  <c r="G64" i="36"/>
  <c r="J16" i="36"/>
  <c r="W16" i="36" s="1"/>
  <c r="D62" i="36"/>
  <c r="E62" i="36" s="1"/>
  <c r="F62" i="36" s="1"/>
  <c r="G62" i="36" s="1"/>
  <c r="B59" i="36"/>
  <c r="J13" i="36" s="1"/>
  <c r="B57" i="36"/>
  <c r="J12" i="36" s="1"/>
  <c r="W12" i="36" s="1"/>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F36" i="35" s="1"/>
  <c r="B99" i="35"/>
  <c r="B97" i="35"/>
  <c r="B77" i="35"/>
  <c r="F25" i="35" s="1"/>
  <c r="S25" i="35" s="1"/>
  <c r="B75" i="35"/>
  <c r="J24" i="35" s="1"/>
  <c r="AC24" i="35" s="1"/>
  <c r="B73" i="35"/>
  <c r="H23" i="35"/>
  <c r="U23" i="35" s="1"/>
  <c r="B57" i="35"/>
  <c r="B61" i="35"/>
  <c r="B59" i="35"/>
  <c r="F12" i="35" s="1"/>
  <c r="S12" i="35" s="1"/>
  <c r="B131" i="34"/>
  <c r="B129" i="34"/>
  <c r="B127" i="34"/>
  <c r="B99" i="34"/>
  <c r="B97" i="34"/>
  <c r="B95" i="34"/>
  <c r="B93" i="34"/>
  <c r="B75" i="34"/>
  <c r="B73" i="34"/>
  <c r="B71" i="34"/>
  <c r="B130" i="33"/>
  <c r="B128" i="33"/>
  <c r="J45" i="33" s="1"/>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c r="W9" i="35" s="1"/>
  <c r="P39" i="35"/>
  <c r="P38" i="35"/>
  <c r="V37" i="35"/>
  <c r="T37" i="35"/>
  <c r="R37" i="35"/>
  <c r="P37" i="35"/>
  <c r="Q36" i="35"/>
  <c r="Z36" i="35"/>
  <c r="Q35" i="35"/>
  <c r="Z35" i="35"/>
  <c r="Q34" i="35"/>
  <c r="Z34" i="35" s="1"/>
  <c r="H34" i="35"/>
  <c r="U34" i="35" s="1"/>
  <c r="AB34" i="35"/>
  <c r="Q33" i="35"/>
  <c r="Z33" i="35"/>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c r="J8" i="35"/>
  <c r="W8" i="35" s="1"/>
  <c r="H8" i="35"/>
  <c r="AB8" i="35" s="1"/>
  <c r="F8" i="35"/>
  <c r="AA8" i="35" s="1"/>
  <c r="D120" i="34"/>
  <c r="E120" i="34"/>
  <c r="F120" i="34" s="1"/>
  <c r="G120" i="34" s="1"/>
  <c r="H120" i="34" s="1"/>
  <c r="I120" i="34"/>
  <c r="J120" i="34" s="1"/>
  <c r="K120" i="34" s="1"/>
  <c r="L120" i="34" s="1"/>
  <c r="M120" i="34" s="1"/>
  <c r="D90" i="34"/>
  <c r="E90" i="34" s="1"/>
  <c r="F90" i="34"/>
  <c r="G90" i="34" s="1"/>
  <c r="H90" i="34" s="1"/>
  <c r="I90" i="34" s="1"/>
  <c r="J90" i="34"/>
  <c r="K90" i="34" s="1"/>
  <c r="L90" i="34" s="1"/>
  <c r="M90" i="34" s="1"/>
  <c r="C15" i="34"/>
  <c r="D126" i="34"/>
  <c r="E126" i="34"/>
  <c r="F126" i="34" s="1"/>
  <c r="G126" i="34" s="1"/>
  <c r="D124" i="34"/>
  <c r="E124" i="34"/>
  <c r="F124" i="34" s="1"/>
  <c r="G124" i="34"/>
  <c r="H124" i="34" s="1"/>
  <c r="I124" i="34" s="1"/>
  <c r="J124" i="34"/>
  <c r="K124" i="34" s="1"/>
  <c r="L124" i="34" s="1"/>
  <c r="M124" i="34" s="1"/>
  <c r="H43" i="34"/>
  <c r="AB43" i="34"/>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s="1"/>
  <c r="H92" i="34" s="1"/>
  <c r="I92" i="34"/>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F86" i="34"/>
  <c r="G86" i="34" s="1"/>
  <c r="D82" i="34"/>
  <c r="E82" i="34" s="1"/>
  <c r="F82" i="34"/>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J12" i="34"/>
  <c r="W12" i="34" s="1"/>
  <c r="H12" i="34"/>
  <c r="AB12" i="34" s="1"/>
  <c r="F12" i="34"/>
  <c r="S12" i="34" s="1"/>
  <c r="Q11" i="34"/>
  <c r="Z11" i="34"/>
  <c r="Q10" i="34"/>
  <c r="Z10" i="34" s="1"/>
  <c r="F10" i="34"/>
  <c r="AA10" i="34" s="1"/>
  <c r="Q9" i="34"/>
  <c r="Z9" i="34"/>
  <c r="J9" i="34"/>
  <c r="AC9" i="34" s="1"/>
  <c r="H9" i="34"/>
  <c r="F9" i="34"/>
  <c r="AA9" i="34" s="1"/>
  <c r="J8" i="34"/>
  <c r="H8" i="34"/>
  <c r="U8" i="34" s="1"/>
  <c r="F8" i="34"/>
  <c r="D121" i="33"/>
  <c r="E121" i="33"/>
  <c r="F121" i="33" s="1"/>
  <c r="G121" i="33" s="1"/>
  <c r="F109" i="33"/>
  <c r="E109" i="33"/>
  <c r="D109" i="33"/>
  <c r="C109" i="33"/>
  <c r="D91" i="33"/>
  <c r="E91" i="33" s="1"/>
  <c r="F91" i="33" s="1"/>
  <c r="G91" i="33" s="1"/>
  <c r="H91" i="33" s="1"/>
  <c r="B88" i="33"/>
  <c r="F26" i="33" s="1"/>
  <c r="AA26" i="33" s="1"/>
  <c r="J26" i="33"/>
  <c r="C23" i="33"/>
  <c r="C19" i="33"/>
  <c r="C17" i="33"/>
  <c r="C15" i="33"/>
  <c r="C15" i="21"/>
  <c r="D125" i="33"/>
  <c r="D123" i="33"/>
  <c r="D117" i="33"/>
  <c r="E117" i="33" s="1"/>
  <c r="F117" i="33" s="1"/>
  <c r="G117" i="33"/>
  <c r="D115" i="33"/>
  <c r="E115" i="33" s="1"/>
  <c r="F115" i="33" s="1"/>
  <c r="G115" i="33" s="1"/>
  <c r="H115" i="33" s="1"/>
  <c r="I115" i="33" s="1"/>
  <c r="J115" i="33" s="1"/>
  <c r="K115" i="33" s="1"/>
  <c r="L115" i="33" s="1"/>
  <c r="M115" i="33" s="1"/>
  <c r="D108" i="33"/>
  <c r="E108" i="33"/>
  <c r="F108" i="33"/>
  <c r="G108" i="33" s="1"/>
  <c r="H108" i="33" s="1"/>
  <c r="D106" i="33"/>
  <c r="E106" i="33" s="1"/>
  <c r="F106" i="33" s="1"/>
  <c r="G106" i="33" s="1"/>
  <c r="M102" i="33"/>
  <c r="L102" i="33"/>
  <c r="K102" i="33"/>
  <c r="J102" i="33"/>
  <c r="I102" i="33"/>
  <c r="H102" i="33"/>
  <c r="G102" i="33"/>
  <c r="F102" i="33"/>
  <c r="E102" i="33"/>
  <c r="D102" i="33"/>
  <c r="C102" i="33"/>
  <c r="D101" i="33"/>
  <c r="E101" i="33"/>
  <c r="B92" i="33"/>
  <c r="B90" i="33"/>
  <c r="D87" i="33"/>
  <c r="E87" i="33"/>
  <c r="D85" i="33"/>
  <c r="E85" i="33" s="1"/>
  <c r="D81" i="33"/>
  <c r="E81" i="33"/>
  <c r="F81" i="33" s="1"/>
  <c r="G81" i="33" s="1"/>
  <c r="D79" i="33"/>
  <c r="E79" i="33" s="1"/>
  <c r="D77" i="33"/>
  <c r="E77" i="33"/>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c r="Q44" i="33"/>
  <c r="Z44" i="33" s="1"/>
  <c r="Q43" i="33"/>
  <c r="Z43" i="33"/>
  <c r="Q42" i="33"/>
  <c r="Z42" i="33" s="1"/>
  <c r="J42" i="33"/>
  <c r="AC42" i="33"/>
  <c r="AC41" i="33"/>
  <c r="Q41" i="33"/>
  <c r="Z41" i="33"/>
  <c r="Q40" i="33"/>
  <c r="Z40" i="33" s="1"/>
  <c r="J40" i="33"/>
  <c r="AC40" i="33"/>
  <c r="H40" i="33"/>
  <c r="AA40" i="33"/>
  <c r="Q39" i="33"/>
  <c r="Z39" i="33" s="1"/>
  <c r="J39" i="33"/>
  <c r="AC39" i="33" s="1"/>
  <c r="Q38" i="33"/>
  <c r="Z38" i="33" s="1"/>
  <c r="J38" i="33"/>
  <c r="AC38" i="33" s="1"/>
  <c r="H38" i="33"/>
  <c r="AB38" i="33"/>
  <c r="F38" i="33"/>
  <c r="AA38" i="33" s="1"/>
  <c r="Q37" i="33"/>
  <c r="Z37" i="33"/>
  <c r="Q36" i="33"/>
  <c r="Z36" i="33" s="1"/>
  <c r="Q35" i="33"/>
  <c r="Z35" i="33" s="1"/>
  <c r="H35" i="33"/>
  <c r="AB35" i="33" s="1"/>
  <c r="Q34" i="33"/>
  <c r="Z34" i="33" s="1"/>
  <c r="Q33" i="33"/>
  <c r="Z33" i="33" s="1"/>
  <c r="J33" i="33"/>
  <c r="H33" i="33"/>
  <c r="AB33" i="33" s="1"/>
  <c r="F33" i="33"/>
  <c r="AA33" i="33" s="1"/>
  <c r="Q32" i="33"/>
  <c r="Z32" i="33"/>
  <c r="Q31" i="33"/>
  <c r="Z31" i="33" s="1"/>
  <c r="Q30" i="33"/>
  <c r="Z30" i="33"/>
  <c r="Q29" i="33"/>
  <c r="Z29" i="33" s="1"/>
  <c r="Q28" i="33"/>
  <c r="Z28" i="33"/>
  <c r="Q27" i="33"/>
  <c r="Z27" i="33" s="1"/>
  <c r="Q26" i="33"/>
  <c r="Z26" i="33"/>
  <c r="Q25" i="33"/>
  <c r="Z25" i="33" s="1"/>
  <c r="Q23" i="33"/>
  <c r="Z23" i="33"/>
  <c r="Q19" i="33"/>
  <c r="Z19" i="33" s="1"/>
  <c r="Q17" i="33"/>
  <c r="Z17" i="33"/>
  <c r="Q15" i="33"/>
  <c r="Z15" i="33" s="1"/>
  <c r="F15" i="33"/>
  <c r="AA15" i="33"/>
  <c r="Q14" i="33"/>
  <c r="Z14" i="33" s="1"/>
  <c r="Q13" i="33"/>
  <c r="Z13" i="33"/>
  <c r="Q12" i="33"/>
  <c r="Z12" i="33" s="1"/>
  <c r="H12" i="33"/>
  <c r="U12" i="33" s="1"/>
  <c r="Q11" i="33"/>
  <c r="Z11" i="33"/>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c r="J69" i="21" s="1"/>
  <c r="K69" i="21" s="1"/>
  <c r="L69" i="21" s="1"/>
  <c r="M69" i="21" s="1"/>
  <c r="D111" i="21"/>
  <c r="E111" i="21"/>
  <c r="F111" i="21"/>
  <c r="C111" i="21"/>
  <c r="D79" i="21"/>
  <c r="E79" i="21" s="1"/>
  <c r="F79" i="21" s="1"/>
  <c r="G79" i="21"/>
  <c r="D85" i="21"/>
  <c r="E85" i="21" s="1"/>
  <c r="F19" i="21"/>
  <c r="AA19" i="21" s="1"/>
  <c r="E81" i="21"/>
  <c r="F81" i="21"/>
  <c r="G81" i="21" s="1"/>
  <c r="D77" i="21"/>
  <c r="E77" i="21"/>
  <c r="B130" i="21"/>
  <c r="J46" i="21" s="1"/>
  <c r="B128" i="21"/>
  <c r="J45" i="21" s="1"/>
  <c r="AC45" i="21" s="1"/>
  <c r="B126" i="21"/>
  <c r="B98" i="21"/>
  <c r="H31" i="21" s="1"/>
  <c r="B96" i="21"/>
  <c r="F30" i="21" s="1"/>
  <c r="AA30" i="21" s="1"/>
  <c r="B94" i="21"/>
  <c r="J29" i="21" s="1"/>
  <c r="AC29" i="21" s="1"/>
  <c r="B92" i="21"/>
  <c r="B90" i="21"/>
  <c r="B74" i="21"/>
  <c r="F14" i="21" s="1"/>
  <c r="S14" i="21" s="1"/>
  <c r="B72" i="21"/>
  <c r="B70" i="21"/>
  <c r="F12" i="2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s="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U38" i="21" s="1"/>
  <c r="H43" i="21"/>
  <c r="AB43" i="21"/>
  <c r="F38" i="21"/>
  <c r="S38" i="21" s="1"/>
  <c r="F36" i="21"/>
  <c r="S36" i="21"/>
  <c r="F39" i="21"/>
  <c r="AA39" i="21" s="1"/>
  <c r="J40" i="21"/>
  <c r="W40" i="21"/>
  <c r="H35" i="21"/>
  <c r="AB35" i="21" s="1"/>
  <c r="J8" i="21"/>
  <c r="AC8" i="21" s="1"/>
  <c r="H8" i="21"/>
  <c r="U8" i="21" s="1"/>
  <c r="H10" i="21"/>
  <c r="AB10" i="21" s="1"/>
  <c r="H39" i="21"/>
  <c r="U39" i="21"/>
  <c r="J34" i="21"/>
  <c r="W34" i="21" s="1"/>
  <c r="H36" i="21"/>
  <c r="U36" i="21"/>
  <c r="F35" i="21"/>
  <c r="AA35" i="21" s="1"/>
  <c r="J10" i="21"/>
  <c r="AC10" i="21" s="1"/>
  <c r="H26" i="21"/>
  <c r="AB26" i="21"/>
  <c r="AB19" i="21"/>
  <c r="J19" i="21"/>
  <c r="W19" i="21"/>
  <c r="J12" i="21"/>
  <c r="AC12" i="21" s="1"/>
  <c r="H12" i="21"/>
  <c r="AB12" i="21" s="1"/>
  <c r="J26" i="21"/>
  <c r="W26" i="21"/>
  <c r="F26" i="21"/>
  <c r="S26" i="21" s="1"/>
  <c r="AB41" i="21"/>
  <c r="AA41" i="21"/>
  <c r="F45" i="39"/>
  <c r="S45" i="39" s="1"/>
  <c r="J45" i="39"/>
  <c r="W45" i="39"/>
  <c r="J44" i="39"/>
  <c r="AC44" i="39" s="1"/>
  <c r="F35" i="39"/>
  <c r="AA35" i="39" s="1"/>
  <c r="U9" i="39"/>
  <c r="W40" i="39"/>
  <c r="W25" i="37"/>
  <c r="U30" i="37"/>
  <c r="W31" i="37"/>
  <c r="E103" i="37"/>
  <c r="F103" i="37"/>
  <c r="G103" i="37"/>
  <c r="H103" i="37" s="1"/>
  <c r="I103" i="37" s="1"/>
  <c r="J103" i="37" s="1"/>
  <c r="K103" i="37" s="1"/>
  <c r="L103" i="37" s="1"/>
  <c r="M103" i="37" s="1"/>
  <c r="F39" i="37"/>
  <c r="S39" i="37"/>
  <c r="F29" i="36"/>
  <c r="AA29" i="36" s="1"/>
  <c r="F16" i="36"/>
  <c r="AA16" i="36"/>
  <c r="W28" i="36"/>
  <c r="U31" i="36"/>
  <c r="J33" i="36"/>
  <c r="AC33" i="36" s="1"/>
  <c r="H22" i="35"/>
  <c r="AB22" i="35" s="1"/>
  <c r="AC27" i="35"/>
  <c r="W22" i="35"/>
  <c r="F36" i="34"/>
  <c r="AA36" i="34" s="1"/>
  <c r="J35" i="34"/>
  <c r="W9" i="34"/>
  <c r="H39" i="33"/>
  <c r="U39" i="33" s="1"/>
  <c r="U35" i="33"/>
  <c r="S40" i="33"/>
  <c r="W39" i="33"/>
  <c r="H39" i="37"/>
  <c r="AB39" i="37" s="1"/>
  <c r="F11" i="40"/>
  <c r="AA11" i="40"/>
  <c r="H11" i="40"/>
  <c r="AB11" i="40"/>
  <c r="W8" i="40"/>
  <c r="AB39" i="40"/>
  <c r="AC9" i="40"/>
  <c r="U9" i="40"/>
  <c r="S34" i="40"/>
  <c r="U38" i="40"/>
  <c r="S40"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S34" i="21"/>
  <c r="C27" i="39"/>
  <c r="C21" i="39"/>
  <c r="H11" i="39"/>
  <c r="S40" i="39"/>
  <c r="C15" i="39"/>
  <c r="H32" i="33"/>
  <c r="AB32" i="33" s="1"/>
  <c r="H11" i="21"/>
  <c r="U11" i="21" s="1"/>
  <c r="J11" i="21"/>
  <c r="W11" i="21" s="1"/>
  <c r="H37" i="40"/>
  <c r="U37" i="40" s="1"/>
  <c r="H36" i="40"/>
  <c r="AB36" i="40"/>
  <c r="F35" i="40"/>
  <c r="AA35" i="40" s="1"/>
  <c r="H23" i="40"/>
  <c r="AB23" i="40"/>
  <c r="H17" i="40"/>
  <c r="U17" i="40" s="1"/>
  <c r="J15" i="40"/>
  <c r="W15" i="40"/>
  <c r="J11" i="40"/>
  <c r="W11" i="40" s="1"/>
  <c r="AB8" i="39"/>
  <c r="AB12" i="33"/>
  <c r="AC12" i="34"/>
  <c r="AA12" i="34"/>
  <c r="AB12" i="36"/>
  <c r="W32" i="40"/>
  <c r="S44" i="39"/>
  <c r="F37" i="39"/>
  <c r="AA37" i="39"/>
  <c r="J34" i="36"/>
  <c r="W34" i="36" s="1"/>
  <c r="U30" i="36"/>
  <c r="J30" i="35"/>
  <c r="W30" i="35" s="1"/>
  <c r="H30" i="35"/>
  <c r="AB30" i="35" s="1"/>
  <c r="F22" i="35"/>
  <c r="AA22" i="35" s="1"/>
  <c r="H10" i="35"/>
  <c r="U10" i="35" s="1"/>
  <c r="AC16" i="36"/>
  <c r="F33" i="36"/>
  <c r="AA33" i="36" s="1"/>
  <c r="W30" i="36"/>
  <c r="H16" i="36"/>
  <c r="AB16" i="36" s="1"/>
  <c r="G85" i="36"/>
  <c r="H85" i="36"/>
  <c r="I85" i="36" s="1"/>
  <c r="J85" i="36" s="1"/>
  <c r="K85" i="36"/>
  <c r="L85" i="36" s="1"/>
  <c r="M85" i="36" s="1"/>
  <c r="J29" i="36"/>
  <c r="AC29" i="36" s="1"/>
  <c r="F12" i="36"/>
  <c r="AA12" i="36" s="1"/>
  <c r="F24" i="36"/>
  <c r="AA24" i="36" s="1"/>
  <c r="F34" i="36"/>
  <c r="S34" i="36"/>
  <c r="F14" i="35"/>
  <c r="AA14" i="35" s="1"/>
  <c r="J32" i="35"/>
  <c r="AC32" i="35" s="1"/>
  <c r="J16" i="35"/>
  <c r="AC16" i="35"/>
  <c r="H16" i="35"/>
  <c r="U16" i="35" s="1"/>
  <c r="F16" i="35"/>
  <c r="S16" i="35"/>
  <c r="H14" i="35"/>
  <c r="AB14" i="35" s="1"/>
  <c r="H33" i="35"/>
  <c r="U33" i="35" s="1"/>
  <c r="J20" i="35"/>
  <c r="W20" i="35" s="1"/>
  <c r="F35" i="37"/>
  <c r="S35" i="37"/>
  <c r="E101" i="37"/>
  <c r="F101" i="37" s="1"/>
  <c r="G101" i="37" s="1"/>
  <c r="H101" i="37" s="1"/>
  <c r="I101" i="37" s="1"/>
  <c r="J101" i="37" s="1"/>
  <c r="K101" i="37" s="1"/>
  <c r="L101" i="37" s="1"/>
  <c r="M101" i="37" s="1"/>
  <c r="J34" i="37"/>
  <c r="W34" i="37"/>
  <c r="AA39" i="37"/>
  <c r="AB34" i="37"/>
  <c r="J33" i="37"/>
  <c r="AC33" i="37" s="1"/>
  <c r="U42" i="34"/>
  <c r="H40" i="34"/>
  <c r="AB40" i="34" s="1"/>
  <c r="U40" i="34"/>
  <c r="E114" i="34"/>
  <c r="H36" i="34"/>
  <c r="U36" i="34"/>
  <c r="F37" i="34"/>
  <c r="AA37" i="34" s="1"/>
  <c r="AA28" i="34"/>
  <c r="F27" i="34"/>
  <c r="AA27" i="34" s="1"/>
  <c r="F25" i="34"/>
  <c r="S25" i="34"/>
  <c r="H23" i="34"/>
  <c r="U23" i="34" s="1"/>
  <c r="J23" i="34"/>
  <c r="F19" i="34"/>
  <c r="S19" i="34" s="1"/>
  <c r="H17" i="34"/>
  <c r="U17" i="34" s="1"/>
  <c r="F15" i="34"/>
  <c r="J15" i="34"/>
  <c r="H15" i="34"/>
  <c r="AB15" i="34" s="1"/>
  <c r="J28" i="34"/>
  <c r="W28" i="34" s="1"/>
  <c r="F41" i="33"/>
  <c r="AA41" i="33"/>
  <c r="S38" i="33"/>
  <c r="E113" i="33"/>
  <c r="F32" i="33"/>
  <c r="AA32" i="33"/>
  <c r="J19" i="33"/>
  <c r="AC19" i="33" s="1"/>
  <c r="J15" i="33"/>
  <c r="AC15" i="33"/>
  <c r="F11" i="33"/>
  <c r="AA11" i="33" s="1"/>
  <c r="S26" i="33"/>
  <c r="W40" i="33"/>
  <c r="F37" i="40"/>
  <c r="AA37" i="40"/>
  <c r="F36" i="40"/>
  <c r="AA36" i="40"/>
  <c r="H28" i="40"/>
  <c r="U28" i="40"/>
  <c r="F23" i="40"/>
  <c r="AA23" i="40"/>
  <c r="F17" i="40"/>
  <c r="S17" i="40" s="1"/>
  <c r="AA17" i="40"/>
  <c r="J17" i="40"/>
  <c r="W17" i="40"/>
  <c r="F15" i="40"/>
  <c r="AA15" i="40" s="1"/>
  <c r="S15" i="40"/>
  <c r="H15" i="40"/>
  <c r="AB15" i="40" s="1"/>
  <c r="AC11" i="40"/>
  <c r="S12" i="36"/>
  <c r="AB30" i="36"/>
  <c r="H33" i="37"/>
  <c r="AB33" i="37" s="1"/>
  <c r="F33" i="37"/>
  <c r="AA33" i="37" s="1"/>
  <c r="U34" i="37"/>
  <c r="J43" i="34"/>
  <c r="AC43" i="34" s="1"/>
  <c r="AB42" i="34"/>
  <c r="J40" i="34"/>
  <c r="F114" i="34"/>
  <c r="G114" i="34"/>
  <c r="H114" i="34"/>
  <c r="I114" i="34" s="1"/>
  <c r="J114" i="34" s="1"/>
  <c r="K114" i="34" s="1"/>
  <c r="L114" i="34" s="1"/>
  <c r="M114" i="34" s="1"/>
  <c r="H38" i="34"/>
  <c r="AB38" i="34"/>
  <c r="J36" i="34"/>
  <c r="W36" i="34" s="1"/>
  <c r="H37" i="34"/>
  <c r="U37" i="34" s="1"/>
  <c r="H25" i="34"/>
  <c r="AB25" i="34"/>
  <c r="J25" i="34"/>
  <c r="AC25" i="34" s="1"/>
  <c r="AB23" i="34"/>
  <c r="F23" i="34"/>
  <c r="AA23" i="34" s="1"/>
  <c r="J19" i="34"/>
  <c r="AC19" i="34"/>
  <c r="F17" i="34"/>
  <c r="AA17" i="34" s="1"/>
  <c r="J17" i="34"/>
  <c r="W17" i="34"/>
  <c r="AA15" i="34"/>
  <c r="S15" i="34"/>
  <c r="S41" i="33"/>
  <c r="F113" i="33"/>
  <c r="G113" i="33" s="1"/>
  <c r="H113" i="33" s="1"/>
  <c r="I113" i="33"/>
  <c r="J113" i="33"/>
  <c r="K113" i="33" s="1"/>
  <c r="L113" i="33" s="1"/>
  <c r="M113" i="33"/>
  <c r="H37" i="33"/>
  <c r="AB37" i="33" s="1"/>
  <c r="H15" i="33"/>
  <c r="AB15" i="33"/>
  <c r="H11" i="33"/>
  <c r="AB11" i="33" s="1"/>
  <c r="F28" i="40"/>
  <c r="AA28" i="40"/>
  <c r="AA42" i="34"/>
  <c r="S42" i="34"/>
  <c r="AA38" i="34"/>
  <c r="J37" i="34"/>
  <c r="AC37" i="34" s="1"/>
  <c r="J11" i="33"/>
  <c r="W11" i="33" s="1"/>
  <c r="U23" i="40"/>
  <c r="J42" i="21"/>
  <c r="AC42" i="21"/>
  <c r="H42" i="21"/>
  <c r="U42" i="21"/>
  <c r="J44" i="34"/>
  <c r="F44" i="34"/>
  <c r="AA44" i="34" s="1"/>
  <c r="J10" i="35"/>
  <c r="AC10" i="35" s="1"/>
  <c r="BL587" i="3"/>
  <c r="H14" i="21"/>
  <c r="U14" i="21" s="1"/>
  <c r="F28" i="21"/>
  <c r="AA28" i="21" s="1"/>
  <c r="H30" i="21"/>
  <c r="U30" i="21" s="1"/>
  <c r="S30" i="21"/>
  <c r="H44" i="21"/>
  <c r="U44" i="21" s="1"/>
  <c r="H46" i="21"/>
  <c r="U46" i="21" s="1"/>
  <c r="W46" i="21"/>
  <c r="F46" i="21"/>
  <c r="AA46" i="21" s="1"/>
  <c r="E119" i="21"/>
  <c r="F119" i="21"/>
  <c r="G119" i="21"/>
  <c r="H119" i="21" s="1"/>
  <c r="I119" i="21" s="1"/>
  <c r="J119" i="21"/>
  <c r="K119" i="21"/>
  <c r="L119" i="21" s="1"/>
  <c r="M119" i="21" s="1"/>
  <c r="H26" i="33"/>
  <c r="U26" i="33"/>
  <c r="F28" i="33"/>
  <c r="S28" i="33" s="1"/>
  <c r="AA28" i="33"/>
  <c r="F33" i="35"/>
  <c r="S33" i="35" s="1"/>
  <c r="J33" i="35"/>
  <c r="AC33" i="35" s="1"/>
  <c r="F30" i="35"/>
  <c r="S30" i="35" s="1"/>
  <c r="E89" i="35"/>
  <c r="F89" i="35"/>
  <c r="G89" i="35" s="1"/>
  <c r="H89" i="35" s="1"/>
  <c r="I89" i="35"/>
  <c r="J89" i="35"/>
  <c r="K89" i="35" s="1"/>
  <c r="L89" i="35" s="1"/>
  <c r="M89" i="35" s="1"/>
  <c r="H10" i="36"/>
  <c r="AB10" i="36" s="1"/>
  <c r="J14" i="36"/>
  <c r="AC14" i="36"/>
  <c r="H14" i="36"/>
  <c r="U14" i="36"/>
  <c r="F28" i="36"/>
  <c r="AA28" i="36" s="1"/>
  <c r="H27" i="21"/>
  <c r="AB27" i="21" s="1"/>
  <c r="H29" i="21"/>
  <c r="U29" i="21" s="1"/>
  <c r="J31" i="21"/>
  <c r="AC31" i="21"/>
  <c r="F31" i="21"/>
  <c r="S31" i="21" s="1"/>
  <c r="F45" i="21"/>
  <c r="AA45" i="21"/>
  <c r="F27" i="33"/>
  <c r="AA27" i="33" s="1"/>
  <c r="J13" i="33"/>
  <c r="H13" i="33"/>
  <c r="U13" i="33" s="1"/>
  <c r="F13" i="33"/>
  <c r="S13" i="33" s="1"/>
  <c r="H29" i="33"/>
  <c r="U29" i="33" s="1"/>
  <c r="J31" i="33"/>
  <c r="W31" i="33" s="1"/>
  <c r="H31" i="33"/>
  <c r="F31" i="33"/>
  <c r="H45" i="33"/>
  <c r="W45" i="33"/>
  <c r="F45" i="33"/>
  <c r="F14" i="34"/>
  <c r="S14" i="34" s="1"/>
  <c r="H30" i="34"/>
  <c r="U30" i="34" s="1"/>
  <c r="F30" i="34"/>
  <c r="S30" i="34" s="1"/>
  <c r="J30" i="34"/>
  <c r="W30" i="34"/>
  <c r="H32" i="34"/>
  <c r="U32" i="34" s="1"/>
  <c r="H46" i="34"/>
  <c r="F46" i="34"/>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F13" i="36"/>
  <c r="S13" i="36"/>
  <c r="G89" i="37"/>
  <c r="H89" i="37"/>
  <c r="I89" i="37" s="1"/>
  <c r="J89" i="37" s="1"/>
  <c r="K89" i="37" s="1"/>
  <c r="L89" i="37" s="1"/>
  <c r="M89" i="37" s="1"/>
  <c r="J29" i="37"/>
  <c r="W29" i="37"/>
  <c r="F29" i="37"/>
  <c r="S29" i="37" s="1"/>
  <c r="H36" i="37"/>
  <c r="AB36" i="37"/>
  <c r="F107" i="37"/>
  <c r="J37" i="37"/>
  <c r="AC37" i="37"/>
  <c r="H37" i="37"/>
  <c r="U37" i="37" s="1"/>
  <c r="H40" i="37"/>
  <c r="U40" i="37"/>
  <c r="J40" i="37"/>
  <c r="AC40" i="37" s="1"/>
  <c r="F40" i="37"/>
  <c r="AA40" i="37"/>
  <c r="H14" i="33"/>
  <c r="U14" i="33"/>
  <c r="F14" i="33"/>
  <c r="J14" i="33"/>
  <c r="H30" i="33"/>
  <c r="AB30" i="33"/>
  <c r="F30" i="33"/>
  <c r="J30" i="33"/>
  <c r="H44" i="33"/>
  <c r="J44" i="33"/>
  <c r="AC44" i="33" s="1"/>
  <c r="F44" i="33"/>
  <c r="S44" i="33"/>
  <c r="J46" i="33"/>
  <c r="AC46" i="33" s="1"/>
  <c r="F46" i="33"/>
  <c r="AA46" i="33"/>
  <c r="H46" i="33"/>
  <c r="H13" i="34"/>
  <c r="U13" i="34"/>
  <c r="J13" i="34"/>
  <c r="W13" i="34" s="1"/>
  <c r="F13" i="34"/>
  <c r="AA13" i="34" s="1"/>
  <c r="J29" i="34"/>
  <c r="F29" i="34"/>
  <c r="S29" i="34" s="1"/>
  <c r="H29" i="34"/>
  <c r="AB29" i="34"/>
  <c r="J31" i="34"/>
  <c r="H31" i="34"/>
  <c r="AB31" i="34"/>
  <c r="F31" i="34"/>
  <c r="S31" i="34" s="1"/>
  <c r="H45" i="34"/>
  <c r="U45" i="34"/>
  <c r="J45" i="34"/>
  <c r="W45" i="34" s="1"/>
  <c r="F45" i="34"/>
  <c r="S45" i="34"/>
  <c r="H47" i="34"/>
  <c r="U47" i="34" s="1"/>
  <c r="F47" i="34"/>
  <c r="S47" i="34"/>
  <c r="J47" i="34"/>
  <c r="AC47" i="34" s="1"/>
  <c r="F13" i="35"/>
  <c r="S13" i="35"/>
  <c r="J13" i="35"/>
  <c r="AC13" i="35" s="1"/>
  <c r="H13" i="35"/>
  <c r="U13" i="35"/>
  <c r="J25" i="35"/>
  <c r="W25" i="35" s="1"/>
  <c r="J35" i="35"/>
  <c r="AC35" i="35"/>
  <c r="F35" i="35"/>
  <c r="AA35" i="35" s="1"/>
  <c r="H35" i="35"/>
  <c r="AB35" i="35"/>
  <c r="J25" i="36"/>
  <c r="W25" i="36" s="1"/>
  <c r="F25" i="36"/>
  <c r="S25" i="36"/>
  <c r="H25" i="36"/>
  <c r="AB25" i="36" s="1"/>
  <c r="H13" i="37"/>
  <c r="AB13" i="37" s="1"/>
  <c r="F13" i="37"/>
  <c r="S13" i="37"/>
  <c r="J13" i="37"/>
  <c r="W13" i="37" s="1"/>
  <c r="F28" i="37"/>
  <c r="AA28" i="37"/>
  <c r="J28" i="37"/>
  <c r="AC28" i="37" s="1"/>
  <c r="H28" i="37"/>
  <c r="U28" i="37"/>
  <c r="H38" i="37"/>
  <c r="AB38" i="37" s="1"/>
  <c r="AC38" i="37"/>
  <c r="F38" i="37"/>
  <c r="S38" i="37" s="1"/>
  <c r="F43" i="39"/>
  <c r="AA43" i="39"/>
  <c r="H43" i="39"/>
  <c r="H14" i="39"/>
  <c r="AB14" i="39"/>
  <c r="F12" i="40"/>
  <c r="S12" i="40"/>
  <c r="H12" i="40"/>
  <c r="U12" i="40" s="1"/>
  <c r="AB12" i="40"/>
  <c r="H30" i="40"/>
  <c r="AB30" i="40"/>
  <c r="F33" i="40"/>
  <c r="S33" i="40" s="1"/>
  <c r="AA33" i="40"/>
  <c r="H33" i="40"/>
  <c r="U33" i="40"/>
  <c r="J35" i="40"/>
  <c r="W35" i="40" s="1"/>
  <c r="AC35" i="40"/>
  <c r="J37" i="40"/>
  <c r="AC37" i="40"/>
  <c r="H13" i="40"/>
  <c r="AB13" i="40" s="1"/>
  <c r="U13" i="40"/>
  <c r="J13" i="40"/>
  <c r="W13" i="40"/>
  <c r="F13" i="40"/>
  <c r="AA13" i="40"/>
  <c r="F27" i="37"/>
  <c r="AA27" i="37"/>
  <c r="F13" i="39"/>
  <c r="J13" i="39"/>
  <c r="W13" i="39" s="1"/>
  <c r="H13" i="39"/>
  <c r="H14" i="40"/>
  <c r="AB14" i="40" s="1"/>
  <c r="W14" i="40"/>
  <c r="F14" i="40"/>
  <c r="AA14" i="40" s="1"/>
  <c r="J27" i="37"/>
  <c r="AC27" i="37" s="1"/>
  <c r="AA44" i="33"/>
  <c r="AA13" i="35"/>
  <c r="U31" i="34"/>
  <c r="J36" i="37"/>
  <c r="AC36" i="37"/>
  <c r="J10" i="36"/>
  <c r="AC10" i="36" s="1"/>
  <c r="AB26" i="33"/>
  <c r="AC13" i="36"/>
  <c r="W13" i="36"/>
  <c r="AC30" i="34"/>
  <c r="AB31" i="33"/>
  <c r="U31" i="33"/>
  <c r="F17" i="21"/>
  <c r="AA17" i="21"/>
  <c r="H17" i="21"/>
  <c r="AB17" i="21" s="1"/>
  <c r="F15" i="21"/>
  <c r="S15" i="21"/>
  <c r="J41" i="39"/>
  <c r="W41" i="39" s="1"/>
  <c r="AC45" i="39"/>
  <c r="W35" i="39"/>
  <c r="G544" i="3"/>
  <c r="G540" i="3"/>
  <c r="G535" i="3"/>
  <c r="G532" i="3"/>
  <c r="G531" i="3"/>
  <c r="G527" i="3"/>
  <c r="G523" i="3"/>
  <c r="G518" i="3"/>
  <c r="G510" i="3"/>
  <c r="G508" i="3"/>
  <c r="G504" i="3"/>
  <c r="G496" i="3"/>
  <c r="G580" i="3"/>
  <c r="G576" i="3"/>
  <c r="G572" i="3"/>
  <c r="G568" i="3"/>
  <c r="G564" i="3"/>
  <c r="G554" i="3"/>
  <c r="G550" i="3"/>
  <c r="BL576" i="3"/>
  <c r="BL572" i="3"/>
  <c r="BL568" i="3"/>
  <c r="BL564" i="3"/>
  <c r="BL560" i="3"/>
  <c r="BL554" i="3"/>
  <c r="BL546" i="3"/>
  <c r="BL538" i="3"/>
  <c r="BL534" i="3"/>
  <c r="BL530" i="3"/>
  <c r="BL522" i="3"/>
  <c r="BL516" i="3"/>
  <c r="BL512" i="3"/>
  <c r="BL502" i="3"/>
  <c r="BL498" i="3"/>
  <c r="BL494" i="3"/>
  <c r="BL578" i="3"/>
  <c r="BL574" i="3"/>
  <c r="BL570" i="3"/>
  <c r="BL566" i="3"/>
  <c r="BL562" i="3"/>
  <c r="AZ562" i="3" s="1"/>
  <c r="BL556" i="3"/>
  <c r="BL540" i="3"/>
  <c r="BL536" i="3"/>
  <c r="AZ536" i="3" s="1"/>
  <c r="G533" i="3"/>
  <c r="G529" i="3"/>
  <c r="BL528" i="3"/>
  <c r="G525" i="3"/>
  <c r="BL518" i="3"/>
  <c r="BL514" i="3"/>
  <c r="BL510" i="3"/>
  <c r="BL500" i="3"/>
  <c r="BL496" i="3"/>
  <c r="G493" i="3"/>
  <c r="BA580" i="3"/>
  <c r="BA576" i="3"/>
  <c r="AZ576" i="3" s="1"/>
  <c r="BA574" i="3"/>
  <c r="AZ574" i="3" s="1"/>
  <c r="BA572" i="3"/>
  <c r="BA570" i="3"/>
  <c r="AZ570" i="3"/>
  <c r="BA568" i="3"/>
  <c r="AZ568" i="3" s="1"/>
  <c r="BA566" i="3"/>
  <c r="AZ566" i="3"/>
  <c r="BA564" i="3"/>
  <c r="AZ564" i="3" s="1"/>
  <c r="BA562" i="3"/>
  <c r="BA560" i="3"/>
  <c r="AZ560" i="3" s="1"/>
  <c r="BA552" i="3"/>
  <c r="AZ552" i="3" s="1"/>
  <c r="BA546" i="3"/>
  <c r="BA544" i="3"/>
  <c r="BA540" i="3"/>
  <c r="AZ540" i="3"/>
  <c r="BA536" i="3"/>
  <c r="BA532" i="3"/>
  <c r="BA528" i="3"/>
  <c r="AZ528" i="3"/>
  <c r="BA526" i="3"/>
  <c r="BA524" i="3"/>
  <c r="BA522" i="3"/>
  <c r="AZ522" i="3" s="1"/>
  <c r="BA518" i="3"/>
  <c r="AZ518" i="3" s="1"/>
  <c r="BA516" i="3"/>
  <c r="AZ516" i="3" s="1"/>
  <c r="BA514" i="3"/>
  <c r="AZ514" i="3" s="1"/>
  <c r="BA512" i="3"/>
  <c r="AZ512" i="3" s="1"/>
  <c r="BA508" i="3"/>
  <c r="BA506" i="3"/>
  <c r="BA502" i="3"/>
  <c r="BA500" i="3"/>
  <c r="BA496" i="3"/>
  <c r="BA494" i="3"/>
  <c r="BA583" i="3"/>
  <c r="AZ583" i="3" s="1"/>
  <c r="BA577" i="3"/>
  <c r="BA575" i="3"/>
  <c r="AZ575" i="3" s="1"/>
  <c r="BA573" i="3"/>
  <c r="BA571" i="3"/>
  <c r="BA569" i="3"/>
  <c r="BA567" i="3"/>
  <c r="AZ567" i="3" s="1"/>
  <c r="BA565" i="3"/>
  <c r="BA563" i="3"/>
  <c r="BA561" i="3"/>
  <c r="BA559" i="3"/>
  <c r="AZ559" i="3" s="1"/>
  <c r="BA549" i="3"/>
  <c r="BA547" i="3"/>
  <c r="BA543" i="3"/>
  <c r="BA541" i="3"/>
  <c r="BA539" i="3"/>
  <c r="BA535" i="3"/>
  <c r="BA533" i="3"/>
  <c r="AZ533" i="3" s="1"/>
  <c r="BA531" i="3"/>
  <c r="BA527" i="3"/>
  <c r="BA525" i="3"/>
  <c r="BA523" i="3"/>
  <c r="BA517" i="3"/>
  <c r="BA515" i="3"/>
  <c r="BA513" i="3"/>
  <c r="AZ513" i="3" s="1"/>
  <c r="BA507" i="3"/>
  <c r="AZ507" i="3" s="1"/>
  <c r="BA505" i="3"/>
  <c r="BA503" i="3"/>
  <c r="BA499" i="3"/>
  <c r="AZ499" i="3" s="1"/>
  <c r="BA497" i="3"/>
  <c r="AZ497" i="3" s="1"/>
  <c r="BA495" i="3"/>
  <c r="G583" i="3"/>
  <c r="G581" i="3"/>
  <c r="G577" i="3"/>
  <c r="G575" i="3"/>
  <c r="G573" i="3"/>
  <c r="G571" i="3"/>
  <c r="G569" i="3"/>
  <c r="G567" i="3"/>
  <c r="G565" i="3"/>
  <c r="G563" i="3"/>
  <c r="BA557" i="3"/>
  <c r="AC557" i="3"/>
  <c r="G557" i="3" s="1"/>
  <c r="BQ557" i="3"/>
  <c r="BQ583" i="3"/>
  <c r="BL583" i="3"/>
  <c r="BQ581" i="3"/>
  <c r="BL581" i="3"/>
  <c r="BQ579" i="3"/>
  <c r="BQ577" i="3"/>
  <c r="BL577" i="3"/>
  <c r="AZ577" i="3"/>
  <c r="BQ575" i="3"/>
  <c r="BQ573" i="3"/>
  <c r="BL573" i="3" s="1"/>
  <c r="AZ573" i="3" s="1"/>
  <c r="BQ571" i="3"/>
  <c r="BL571" i="3"/>
  <c r="BQ569" i="3"/>
  <c r="BL569" i="3" s="1"/>
  <c r="BQ567" i="3"/>
  <c r="BL567" i="3"/>
  <c r="BQ565" i="3"/>
  <c r="BL565" i="3" s="1"/>
  <c r="AZ565" i="3"/>
  <c r="BQ563" i="3"/>
  <c r="BL563" i="3" s="1"/>
  <c r="AZ563" i="3" s="1"/>
  <c r="BQ561" i="3"/>
  <c r="BL561" i="3"/>
  <c r="AZ561" i="3"/>
  <c r="BQ559" i="3"/>
  <c r="G559" i="3"/>
  <c r="G555" i="3"/>
  <c r="G549" i="3"/>
  <c r="G547" i="3"/>
  <c r="G545" i="3"/>
  <c r="G543" i="3"/>
  <c r="G541" i="3"/>
  <c r="G539" i="3"/>
  <c r="G537" i="3"/>
  <c r="BQ555" i="3"/>
  <c r="BQ553" i="3"/>
  <c r="BQ551" i="3"/>
  <c r="BQ549" i="3"/>
  <c r="BQ547" i="3"/>
  <c r="BL547" i="3" s="1"/>
  <c r="BQ545" i="3"/>
  <c r="BL545" i="3"/>
  <c r="BQ543" i="3"/>
  <c r="BQ541" i="3"/>
  <c r="BL541" i="3" s="1"/>
  <c r="BQ539" i="3"/>
  <c r="BL539" i="3"/>
  <c r="AZ539" i="3"/>
  <c r="BQ537" i="3"/>
  <c r="BL537" i="3"/>
  <c r="BQ535" i="3"/>
  <c r="BQ533" i="3"/>
  <c r="BL533" i="3"/>
  <c r="BQ531" i="3"/>
  <c r="BL531" i="3" s="1"/>
  <c r="AZ531" i="3" s="1"/>
  <c r="BQ529" i="3"/>
  <c r="BL529" i="3"/>
  <c r="BQ527" i="3"/>
  <c r="BQ525" i="3"/>
  <c r="BL525" i="3" s="1"/>
  <c r="BQ523" i="3"/>
  <c r="BL523" i="3"/>
  <c r="AZ523" i="3"/>
  <c r="AC521" i="3"/>
  <c r="G521" i="3"/>
  <c r="BQ521" i="3"/>
  <c r="BL521" i="3"/>
  <c r="BL520" i="3"/>
  <c r="G519" i="3"/>
  <c r="G517" i="3"/>
  <c r="G515" i="3"/>
  <c r="G513" i="3"/>
  <c r="G511" i="3"/>
  <c r="BQ519" i="3"/>
  <c r="BL519" i="3"/>
  <c r="BQ517" i="3"/>
  <c r="BL517" i="3"/>
  <c r="AZ517" i="3"/>
  <c r="BQ515" i="3"/>
  <c r="BQ513" i="3"/>
  <c r="BL513" i="3"/>
  <c r="BQ511" i="3"/>
  <c r="BL511" i="3"/>
  <c r="AC509" i="3"/>
  <c r="BQ509" i="3"/>
  <c r="BL509" i="3"/>
  <c r="G507" i="3"/>
  <c r="G505" i="3"/>
  <c r="G503" i="3"/>
  <c r="G501" i="3"/>
  <c r="G499" i="3"/>
  <c r="G497" i="3"/>
  <c r="G495" i="3"/>
  <c r="BQ507" i="3"/>
  <c r="BL507" i="3"/>
  <c r="BQ505" i="3"/>
  <c r="BL505" i="3"/>
  <c r="AZ505" i="3"/>
  <c r="BQ503" i="3"/>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s="1"/>
  <c r="G125" i="33" s="1"/>
  <c r="H43" i="33"/>
  <c r="AB43" i="33" s="1"/>
  <c r="H17" i="37"/>
  <c r="U17" i="37" s="1"/>
  <c r="AB27" i="37"/>
  <c r="U32" i="33"/>
  <c r="F39" i="33"/>
  <c r="AA39" i="33"/>
  <c r="E123" i="33"/>
  <c r="F42" i="33"/>
  <c r="AA42" i="33" s="1"/>
  <c r="H28" i="34"/>
  <c r="AB28" i="34"/>
  <c r="F14" i="36"/>
  <c r="AA14" i="36" s="1"/>
  <c r="F22" i="36"/>
  <c r="S22" i="36"/>
  <c r="F26" i="36"/>
  <c r="S26" i="36" s="1"/>
  <c r="H27" i="34"/>
  <c r="AB27" i="34" s="1"/>
  <c r="H35" i="34"/>
  <c r="U35" i="34" s="1"/>
  <c r="F41" i="34"/>
  <c r="AA41" i="34" s="1"/>
  <c r="S41" i="34"/>
  <c r="H41" i="34"/>
  <c r="U41" i="34" s="1"/>
  <c r="J41" i="34"/>
  <c r="AC41" i="34"/>
  <c r="F10" i="35"/>
  <c r="S10" i="35" s="1"/>
  <c r="F24" i="35"/>
  <c r="AA24" i="35"/>
  <c r="H24" i="35"/>
  <c r="U24" i="35" s="1"/>
  <c r="AB24" i="35"/>
  <c r="H23" i="37"/>
  <c r="AB23" i="37"/>
  <c r="J32" i="37"/>
  <c r="W32" i="37" s="1"/>
  <c r="AC32" i="37"/>
  <c r="F36" i="37"/>
  <c r="AA36" i="37"/>
  <c r="F37" i="37"/>
  <c r="S37" i="37" s="1"/>
  <c r="AA37" i="37"/>
  <c r="F32" i="40"/>
  <c r="S32" i="40"/>
  <c r="H32" i="40"/>
  <c r="AB32" i="40"/>
  <c r="J36" i="40"/>
  <c r="W36" i="40"/>
  <c r="H19" i="37"/>
  <c r="AB19" i="37" s="1"/>
  <c r="F123" i="33"/>
  <c r="G123" i="33" s="1"/>
  <c r="H123" i="33" s="1"/>
  <c r="I123" i="33" s="1"/>
  <c r="J123" i="33" s="1"/>
  <c r="K123" i="33" s="1"/>
  <c r="L123" i="33" s="1"/>
  <c r="M123" i="33" s="1"/>
  <c r="H42" i="33"/>
  <c r="U42" i="33" s="1"/>
  <c r="AB42" i="33"/>
  <c r="J43" i="33"/>
  <c r="AC43" i="33"/>
  <c r="U43" i="33"/>
  <c r="S28" i="31"/>
  <c r="S27" i="31"/>
  <c r="S26" i="31"/>
  <c r="U14" i="40"/>
  <c r="U35" i="35"/>
  <c r="AA12" i="35"/>
  <c r="AB28" i="37"/>
  <c r="U33" i="37"/>
  <c r="U39" i="37"/>
  <c r="U26" i="37"/>
  <c r="W47" i="34"/>
  <c r="AB13" i="34"/>
  <c r="AC36" i="34"/>
  <c r="AC45" i="33"/>
  <c r="W44" i="33"/>
  <c r="U19" i="21"/>
  <c r="U26" i="21"/>
  <c r="AC46" i="21"/>
  <c r="U12" i="21"/>
  <c r="AB38" i="21"/>
  <c r="F43" i="33"/>
  <c r="AA43" i="33" s="1"/>
  <c r="W15" i="34"/>
  <c r="AC15" i="34"/>
  <c r="W16" i="35"/>
  <c r="W40" i="37"/>
  <c r="G107" i="37"/>
  <c r="H107" i="37"/>
  <c r="I107" i="37"/>
  <c r="J107" i="37" s="1"/>
  <c r="K107" i="37" s="1"/>
  <c r="L107" i="37" s="1"/>
  <c r="M107" i="37" s="1"/>
  <c r="H37" i="21"/>
  <c r="U37" i="21" s="1"/>
  <c r="H19" i="34"/>
  <c r="AB19" i="34"/>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c r="K94" i="37" s="1"/>
  <c r="L94" i="37" s="1"/>
  <c r="M94" i="37" s="1"/>
  <c r="H31" i="37"/>
  <c r="U31" i="37" s="1"/>
  <c r="F71" i="37"/>
  <c r="G71" i="37"/>
  <c r="J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AA41" i="39"/>
  <c r="W9" i="39"/>
  <c r="W8" i="39"/>
  <c r="J19" i="40"/>
  <c r="AC19" i="40"/>
  <c r="J50" i="40"/>
  <c r="H103" i="9"/>
  <c r="B16" i="53"/>
  <c r="B33" i="72" s="1"/>
  <c r="C7" i="37"/>
  <c r="C52" i="37" s="1"/>
  <c r="D52" i="37" s="1"/>
  <c r="C7" i="34"/>
  <c r="C7" i="36"/>
  <c r="C46" i="36" s="1"/>
  <c r="D46" i="36" s="1"/>
  <c r="E46" i="36" s="1"/>
  <c r="F46" i="36" s="1"/>
  <c r="G46" i="36" s="1"/>
  <c r="H46" i="36" s="1"/>
  <c r="I46" i="36" s="1"/>
  <c r="A118" i="9"/>
  <c r="A4" i="52"/>
  <c r="B41" i="72" s="1"/>
  <c r="J11" i="39"/>
  <c r="F11" i="39"/>
  <c r="AA11" i="39"/>
  <c r="S11" i="39"/>
  <c r="G4" i="4"/>
  <c r="I4" i="4"/>
  <c r="A2" i="9"/>
  <c r="F61" i="43"/>
  <c r="AZ20" i="3"/>
  <c r="AZ28" i="3"/>
  <c r="BL549" i="3"/>
  <c r="AZ494" i="3"/>
  <c r="AZ502" i="3"/>
  <c r="AZ546" i="3"/>
  <c r="G546" i="3"/>
  <c r="G524" i="3"/>
  <c r="G303" i="3"/>
  <c r="BL304" i="3"/>
  <c r="AZ304" i="3" s="1"/>
  <c r="G305" i="3"/>
  <c r="BL306" i="3"/>
  <c r="BA308" i="3"/>
  <c r="AZ308" i="3"/>
  <c r="BA309" i="3"/>
  <c r="BL309" i="3"/>
  <c r="G310" i="3"/>
  <c r="BA311" i="3"/>
  <c r="AZ311" i="3" s="1"/>
  <c r="G319" i="3"/>
  <c r="BL320" i="3"/>
  <c r="G321" i="3"/>
  <c r="BL322" i="3"/>
  <c r="AZ322" i="3" s="1"/>
  <c r="BA324" i="3"/>
  <c r="AZ324" i="3"/>
  <c r="BA325" i="3"/>
  <c r="BL325" i="3"/>
  <c r="G326" i="3"/>
  <c r="BA327" i="3"/>
  <c r="G335" i="3"/>
  <c r="BL336" i="3"/>
  <c r="AZ336" i="3" s="1"/>
  <c r="G337" i="3"/>
  <c r="BL338" i="3"/>
  <c r="BA340" i="3"/>
  <c r="AZ340" i="3"/>
  <c r="BA341" i="3"/>
  <c r="BL341" i="3"/>
  <c r="BA343" i="3"/>
  <c r="BA345" i="3"/>
  <c r="AZ345" i="3" s="1"/>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AZ391" i="3" s="1"/>
  <c r="BA393" i="3"/>
  <c r="AZ393" i="3"/>
  <c r="BA394" i="3"/>
  <c r="BL394" i="3"/>
  <c r="G113" i="3"/>
  <c r="BA115" i="3"/>
  <c r="AZ115" i="3"/>
  <c r="BL116" i="3"/>
  <c r="G117" i="3"/>
  <c r="BA119" i="3"/>
  <c r="AZ119" i="3"/>
  <c r="BL120" i="3"/>
  <c r="G121" i="3"/>
  <c r="BA123" i="3"/>
  <c r="AZ123" i="3"/>
  <c r="BL124" i="3"/>
  <c r="AZ124" i="3"/>
  <c r="G125" i="3"/>
  <c r="BA127" i="3"/>
  <c r="AZ127" i="3" s="1"/>
  <c r="BL128" i="3"/>
  <c r="G129" i="3"/>
  <c r="BA131" i="3"/>
  <c r="AZ131" i="3" s="1"/>
  <c r="BL132" i="3"/>
  <c r="G133" i="3"/>
  <c r="BA135" i="3"/>
  <c r="AZ135" i="3"/>
  <c r="BL136" i="3"/>
  <c r="G137" i="3"/>
  <c r="BA139" i="3"/>
  <c r="AZ139" i="3"/>
  <c r="BL140" i="3"/>
  <c r="G141" i="3"/>
  <c r="BA143" i="3"/>
  <c r="AZ143" i="3"/>
  <c r="BL144" i="3"/>
  <c r="AZ144" i="3" s="1"/>
  <c r="G145" i="3"/>
  <c r="BA147" i="3"/>
  <c r="AZ147" i="3"/>
  <c r="BL148" i="3"/>
  <c r="AZ148" i="3" s="1"/>
  <c r="G149" i="3"/>
  <c r="BA151" i="3"/>
  <c r="BL152" i="3"/>
  <c r="G153" i="3"/>
  <c r="BA155" i="3"/>
  <c r="BL156" i="3"/>
  <c r="AZ156" i="3"/>
  <c r="G157" i="3"/>
  <c r="BA159" i="3"/>
  <c r="AZ159" i="3" s="1"/>
  <c r="BL160" i="3"/>
  <c r="G161" i="3"/>
  <c r="BA163" i="3"/>
  <c r="AZ163" i="3" s="1"/>
  <c r="BL164" i="3"/>
  <c r="G165" i="3"/>
  <c r="BA167" i="3"/>
  <c r="AZ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BL188" i="3"/>
  <c r="AZ188" i="3"/>
  <c r="G189" i="3"/>
  <c r="BA191" i="3"/>
  <c r="AZ191" i="3" s="1"/>
  <c r="BL192" i="3"/>
  <c r="G193" i="3"/>
  <c r="BA195" i="3"/>
  <c r="AZ195" i="3" s="1"/>
  <c r="BL196" i="3"/>
  <c r="AZ196" i="3"/>
  <c r="G197" i="3"/>
  <c r="BA199" i="3"/>
  <c r="AZ199" i="3"/>
  <c r="BL200" i="3"/>
  <c r="AZ200" i="3" s="1"/>
  <c r="G201" i="3"/>
  <c r="BA203" i="3"/>
  <c r="AZ203" i="3"/>
  <c r="BL204" i="3"/>
  <c r="AZ204" i="3"/>
  <c r="AZ43" i="3"/>
  <c r="AZ51" i="3"/>
  <c r="AZ59" i="3"/>
  <c r="AZ79" i="3"/>
  <c r="AZ152" i="3"/>
  <c r="AZ184" i="3"/>
  <c r="AZ192" i="3"/>
  <c r="AZ97" i="3"/>
  <c r="AZ120" i="3"/>
  <c r="AZ128" i="3"/>
  <c r="G534" i="3"/>
  <c r="G530" i="3"/>
  <c r="G522" i="3"/>
  <c r="G516" i="3"/>
  <c r="G512" i="3"/>
  <c r="G506" i="3"/>
  <c r="G498" i="3"/>
  <c r="G494" i="3"/>
  <c r="G16" i="3"/>
  <c r="G15" i="3"/>
  <c r="BA304" i="3"/>
  <c r="BA305" i="3"/>
  <c r="AZ305" i="3"/>
  <c r="BL305" i="3"/>
  <c r="G306" i="3"/>
  <c r="G309" i="3"/>
  <c r="BL310" i="3"/>
  <c r="AZ310" i="3" s="1"/>
  <c r="BA312" i="3"/>
  <c r="AZ312" i="3"/>
  <c r="BA313" i="3"/>
  <c r="BL313" i="3"/>
  <c r="G314" i="3"/>
  <c r="G317" i="3"/>
  <c r="BL318" i="3"/>
  <c r="BA320" i="3"/>
  <c r="AZ320" i="3"/>
  <c r="BA321" i="3"/>
  <c r="AZ321" i="3"/>
  <c r="BL321" i="3"/>
  <c r="G322" i="3"/>
  <c r="G325" i="3"/>
  <c r="BL326" i="3"/>
  <c r="BA328" i="3"/>
  <c r="AZ328" i="3"/>
  <c r="BA329" i="3"/>
  <c r="AZ329" i="3" s="1"/>
  <c r="BL329" i="3"/>
  <c r="G330" i="3"/>
  <c r="G333" i="3"/>
  <c r="BL334" i="3"/>
  <c r="AZ334" i="3" s="1"/>
  <c r="BA336" i="3"/>
  <c r="BA337" i="3"/>
  <c r="AZ337" i="3"/>
  <c r="BL337" i="3"/>
  <c r="G338" i="3"/>
  <c r="G341" i="3"/>
  <c r="BA342" i="3"/>
  <c r="AZ342" i="3" s="1"/>
  <c r="BL342" i="3"/>
  <c r="BA344" i="3"/>
  <c r="BL344" i="3"/>
  <c r="BA346" i="3"/>
  <c r="AZ346" i="3"/>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AZ379" i="3" s="1"/>
  <c r="BA381" i="3"/>
  <c r="AZ381" i="3" s="1"/>
  <c r="BA382" i="3"/>
  <c r="BL382" i="3"/>
  <c r="G383" i="3"/>
  <c r="G386" i="3"/>
  <c r="BL387" i="3"/>
  <c r="BA389" i="3"/>
  <c r="AZ389" i="3"/>
  <c r="BA390" i="3"/>
  <c r="BL390" i="3"/>
  <c r="G391" i="3"/>
  <c r="G394" i="3"/>
  <c r="AZ138" i="3"/>
  <c r="AZ150" i="3"/>
  <c r="AZ154" i="3"/>
  <c r="AZ158" i="3"/>
  <c r="AZ162" i="3"/>
  <c r="AZ174" i="3"/>
  <c r="AZ178" i="3"/>
  <c r="AZ182" i="3"/>
  <c r="AZ186" i="3"/>
  <c r="AZ190" i="3"/>
  <c r="AZ194" i="3"/>
  <c r="AZ198" i="3"/>
  <c r="AZ202" i="3"/>
  <c r="AZ206" i="3"/>
  <c r="AZ500" i="3"/>
  <c r="BA16" i="3"/>
  <c r="AZ16" i="3" s="1"/>
  <c r="BL303" i="3"/>
  <c r="G304" i="3"/>
  <c r="BA306" i="3"/>
  <c r="AZ306" i="3" s="1"/>
  <c r="BL307" i="3"/>
  <c r="AZ307" i="3"/>
  <c r="G308" i="3"/>
  <c r="BA310" i="3"/>
  <c r="BL311" i="3"/>
  <c r="G312" i="3"/>
  <c r="BA314" i="3"/>
  <c r="AZ314" i="3"/>
  <c r="BL315" i="3"/>
  <c r="AZ315" i="3" s="1"/>
  <c r="G316" i="3"/>
  <c r="BA318" i="3"/>
  <c r="AZ318" i="3"/>
  <c r="BL319" i="3"/>
  <c r="G320" i="3"/>
  <c r="BA322" i="3"/>
  <c r="BL323" i="3"/>
  <c r="AZ323" i="3"/>
  <c r="G324" i="3"/>
  <c r="BA326" i="3"/>
  <c r="AZ326" i="3" s="1"/>
  <c r="BL327" i="3"/>
  <c r="AZ327" i="3"/>
  <c r="G328" i="3"/>
  <c r="BA330" i="3"/>
  <c r="AZ330" i="3"/>
  <c r="BL331" i="3"/>
  <c r="AZ331" i="3"/>
  <c r="G332" i="3"/>
  <c r="BA334" i="3"/>
  <c r="BL335" i="3"/>
  <c r="AZ335" i="3" s="1"/>
  <c r="G336" i="3"/>
  <c r="BA338" i="3"/>
  <c r="AZ338" i="3"/>
  <c r="BL339" i="3"/>
  <c r="AZ339" i="3" s="1"/>
  <c r="G340" i="3"/>
  <c r="BL343" i="3"/>
  <c r="G344" i="3"/>
  <c r="G348" i="3"/>
  <c r="G355" i="3"/>
  <c r="AZ209" i="3"/>
  <c r="AZ214" i="3"/>
  <c r="AZ218" i="3"/>
  <c r="AZ222" i="3"/>
  <c r="AZ303"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c r="G367" i="3"/>
  <c r="BA369" i="3"/>
  <c r="AZ369" i="3"/>
  <c r="BL370" i="3"/>
  <c r="G371" i="3"/>
  <c r="BA373" i="3"/>
  <c r="AZ373" i="3"/>
  <c r="BL374" i="3"/>
  <c r="AZ374" i="3"/>
  <c r="G375" i="3"/>
  <c r="BA377" i="3"/>
  <c r="AZ377" i="3"/>
  <c r="AZ229" i="3"/>
  <c r="AZ233" i="3"/>
  <c r="AZ237" i="3"/>
  <c r="AZ241" i="3"/>
  <c r="AZ245" i="3"/>
  <c r="AZ249" i="3"/>
  <c r="AZ257" i="3"/>
  <c r="AZ261" i="3"/>
  <c r="AZ269" i="3"/>
  <c r="AZ273" i="3"/>
  <c r="AZ370" i="3"/>
  <c r="BA379" i="3"/>
  <c r="BL380" i="3"/>
  <c r="G381" i="3"/>
  <c r="BA383" i="3"/>
  <c r="AZ383" i="3"/>
  <c r="BL384" i="3"/>
  <c r="G385" i="3"/>
  <c r="BA387" i="3"/>
  <c r="AZ387" i="3"/>
  <c r="BL388" i="3"/>
  <c r="AZ388" i="3" s="1"/>
  <c r="G389" i="3"/>
  <c r="BA391" i="3"/>
  <c r="BL392" i="3"/>
  <c r="AZ392" i="3" s="1"/>
  <c r="G393" i="3"/>
  <c r="AZ263" i="3"/>
  <c r="AZ279" i="3"/>
  <c r="AZ283" i="3"/>
  <c r="AZ287" i="3"/>
  <c r="AZ291" i="3"/>
  <c r="AZ295" i="3"/>
  <c r="BJ5" i="3"/>
  <c r="BH5" i="3"/>
  <c r="AZ309" i="3"/>
  <c r="AZ317" i="3"/>
  <c r="AZ333" i="3"/>
  <c r="AZ341" i="3"/>
  <c r="BQ5" i="3"/>
  <c r="F28" i="6" s="1"/>
  <c r="AZ549" i="3"/>
  <c r="AZ496" i="3"/>
  <c r="G548" i="3"/>
  <c r="G538" i="3"/>
  <c r="G520" i="3"/>
  <c r="G502" i="3"/>
  <c r="BN5" i="3"/>
  <c r="AZ343" i="3"/>
  <c r="BG5" i="3"/>
  <c r="BE5" i="3"/>
  <c r="G17" i="3"/>
  <c r="BA17" i="3"/>
  <c r="BT5" i="3"/>
  <c r="G28" i="6" s="1"/>
  <c r="AZ350" i="3"/>
  <c r="AZ352" i="3"/>
  <c r="AZ360" i="3"/>
  <c r="AZ368" i="3"/>
  <c r="BA15" i="3"/>
  <c r="AZ15" i="3"/>
  <c r="AZ384" i="3"/>
  <c r="AZ396" i="3"/>
  <c r="AZ394" i="3"/>
  <c r="G509" i="3"/>
  <c r="BL493" i="3"/>
  <c r="AZ491" i="3"/>
  <c r="AZ376" i="3"/>
  <c r="AZ390" i="3"/>
  <c r="AZ382" i="3"/>
  <c r="U36" i="40"/>
  <c r="F83" i="43"/>
  <c r="H85" i="43" s="1"/>
  <c r="F50" i="43"/>
  <c r="F72" i="43"/>
  <c r="H75" i="43" s="1"/>
  <c r="U17" i="39"/>
  <c r="S14" i="35"/>
  <c r="U43" i="21"/>
  <c r="U35" i="21"/>
  <c r="G8" i="1"/>
  <c r="G10" i="1"/>
  <c r="W37" i="37"/>
  <c r="W44" i="34"/>
  <c r="AC44" i="34"/>
  <c r="S15" i="37"/>
  <c r="U13" i="37"/>
  <c r="AA12" i="40"/>
  <c r="J37" i="33"/>
  <c r="W37" i="33"/>
  <c r="AC17" i="34"/>
  <c r="H106" i="33"/>
  <c r="I106" i="33" s="1"/>
  <c r="J106" i="33" s="1"/>
  <c r="K106" i="33" s="1"/>
  <c r="L106" i="33"/>
  <c r="M106" i="33" s="1"/>
  <c r="J34" i="33"/>
  <c r="W34" i="33"/>
  <c r="F33" i="34"/>
  <c r="S33" i="34" s="1"/>
  <c r="AC12" i="36"/>
  <c r="H20" i="36"/>
  <c r="J20" i="36"/>
  <c r="W20" i="36"/>
  <c r="W24" i="36"/>
  <c r="J27" i="36"/>
  <c r="W27" i="36" s="1"/>
  <c r="AB25" i="37"/>
  <c r="AC33" i="40"/>
  <c r="F111" i="40"/>
  <c r="G111" i="40" s="1"/>
  <c r="H111" i="40" s="1"/>
  <c r="I111" i="40" s="1"/>
  <c r="J111" i="40"/>
  <c r="K111" i="40" s="1"/>
  <c r="L111" i="40" s="1"/>
  <c r="M111" i="40" s="1"/>
  <c r="H35" i="40"/>
  <c r="H35" i="37"/>
  <c r="U35" i="37" s="1"/>
  <c r="H20" i="35"/>
  <c r="AB20" i="35" s="1"/>
  <c r="U20" i="35"/>
  <c r="F20" i="35"/>
  <c r="AA20" i="35"/>
  <c r="AB23" i="35"/>
  <c r="AB29" i="36"/>
  <c r="U29" i="36"/>
  <c r="H32" i="37"/>
  <c r="AB32" i="37"/>
  <c r="F96" i="37"/>
  <c r="G96" i="37" s="1"/>
  <c r="H96" i="37" s="1"/>
  <c r="I96" i="37" s="1"/>
  <c r="H27" i="40"/>
  <c r="U27" i="40" s="1"/>
  <c r="J27" i="40"/>
  <c r="AC27" i="40"/>
  <c r="F27" i="40"/>
  <c r="S27" i="40" s="1"/>
  <c r="J30" i="40"/>
  <c r="W30" i="40" s="1"/>
  <c r="AC30" i="40"/>
  <c r="F30" i="40"/>
  <c r="AA30" i="40" s="1"/>
  <c r="AC21" i="40"/>
  <c r="S31" i="39"/>
  <c r="S11" i="40"/>
  <c r="E98" i="40"/>
  <c r="F98" i="40"/>
  <c r="G98" i="40"/>
  <c r="H98" i="40" s="1"/>
  <c r="I98" i="40" s="1"/>
  <c r="J98" i="40" s="1"/>
  <c r="K98" i="40"/>
  <c r="L98" i="40" s="1"/>
  <c r="M98" i="40" s="1"/>
  <c r="F10" i="33"/>
  <c r="S10" i="33" s="1"/>
  <c r="F34" i="33"/>
  <c r="H34" i="33"/>
  <c r="U34" i="33"/>
  <c r="F35" i="33"/>
  <c r="F39" i="34"/>
  <c r="S39" i="34"/>
  <c r="J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51" i="3"/>
  <c r="AZ259" i="3"/>
  <c r="AZ268" i="3"/>
  <c r="AZ271" i="3"/>
  <c r="AZ280" i="3"/>
  <c r="AZ288" i="3"/>
  <c r="AZ296" i="3"/>
  <c r="AZ130" i="3"/>
  <c r="AZ133" i="3"/>
  <c r="AZ21" i="3"/>
  <c r="AZ31" i="3"/>
  <c r="AZ33" i="3"/>
  <c r="AZ45" i="3"/>
  <c r="AZ53" i="3"/>
  <c r="AZ61" i="3"/>
  <c r="AZ72" i="3"/>
  <c r="AZ74" i="3"/>
  <c r="AZ77" i="3"/>
  <c r="AZ82" i="3"/>
  <c r="AZ86" i="3"/>
  <c r="AZ94" i="3"/>
  <c r="F23" i="39"/>
  <c r="AA23" i="39" s="1"/>
  <c r="H27" i="36"/>
  <c r="U27" i="36" s="1"/>
  <c r="F27" i="36"/>
  <c r="AA27" i="36" s="1"/>
  <c r="H33" i="34"/>
  <c r="U33" i="34" s="1"/>
  <c r="F32" i="37"/>
  <c r="AA32" i="37"/>
  <c r="J96" i="37"/>
  <c r="K96" i="37" s="1"/>
  <c r="L96" i="37" s="1"/>
  <c r="M96" i="37" s="1"/>
  <c r="F20" i="36"/>
  <c r="J33" i="34"/>
  <c r="AC33" i="34"/>
  <c r="H23" i="39"/>
  <c r="U23" i="39" s="1"/>
  <c r="D48" i="9"/>
  <c r="M52" i="9" s="1"/>
  <c r="K9" i="1"/>
  <c r="M9" i="1" s="1"/>
  <c r="K6" i="1"/>
  <c r="AP6" i="1" s="1"/>
  <c r="AC26" i="33"/>
  <c r="W26" i="33"/>
  <c r="W27" i="34"/>
  <c r="AB34" i="36"/>
  <c r="U34" i="36"/>
  <c r="AB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U12" i="39" s="1"/>
  <c r="AB12" i="39"/>
  <c r="F39" i="40"/>
  <c r="BA14" i="3"/>
  <c r="AZ14" i="3"/>
  <c r="AZ367" i="3"/>
  <c r="AZ213" i="3"/>
  <c r="AZ224" i="3"/>
  <c r="AZ234" i="3"/>
  <c r="AZ254" i="3"/>
  <c r="AZ281" i="3"/>
  <c r="AZ286" i="3"/>
  <c r="AZ297" i="3"/>
  <c r="AZ149" i="3"/>
  <c r="AZ173" i="3"/>
  <c r="AZ181" i="3"/>
  <c r="AZ189" i="3"/>
  <c r="AZ197" i="3"/>
  <c r="AZ19" i="3"/>
  <c r="AZ26" i="3"/>
  <c r="AZ35" i="3"/>
  <c r="AZ41" i="3"/>
  <c r="B12" i="1"/>
  <c r="E12" i="1" s="1"/>
  <c r="B10" i="1"/>
  <c r="E10" i="1" s="1"/>
  <c r="AZ84" i="3"/>
  <c r="AZ88" i="3"/>
  <c r="AZ111" i="3"/>
  <c r="K12" i="1"/>
  <c r="M12" i="1" s="1"/>
  <c r="S13" i="1"/>
  <c r="AR13" i="1" s="1"/>
  <c r="R13" i="1"/>
  <c r="C42" i="1"/>
  <c r="C24" i="12" s="1"/>
  <c r="AC34" i="33"/>
  <c r="AB37" i="40"/>
  <c r="AC36" i="40"/>
  <c r="W38" i="40"/>
  <c r="AA32" i="40"/>
  <c r="S23" i="40"/>
  <c r="AC17" i="40"/>
  <c r="AC15" i="40"/>
  <c r="AB27" i="40"/>
  <c r="S30" i="40"/>
  <c r="AA19" i="40"/>
  <c r="S28" i="40"/>
  <c r="AA27" i="40"/>
  <c r="U21" i="40"/>
  <c r="AB19" i="40"/>
  <c r="U37" i="39"/>
  <c r="S43" i="39"/>
  <c r="S37" i="39"/>
  <c r="F32" i="39"/>
  <c r="U25" i="39"/>
  <c r="AB27" i="39"/>
  <c r="J21" i="39"/>
  <c r="W21" i="39" s="1"/>
  <c r="F21" i="39"/>
  <c r="S21" i="39" s="1"/>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U16" i="36"/>
  <c r="W24" i="35"/>
  <c r="AB13" i="35"/>
  <c r="AB27" i="35"/>
  <c r="U32" i="35"/>
  <c r="AC30" i="35"/>
  <c r="S32" i="35"/>
  <c r="AB16" i="35"/>
  <c r="U22" i="35"/>
  <c r="S20" i="35"/>
  <c r="AC20" i="35"/>
  <c r="S22" i="35"/>
  <c r="AC9" i="35"/>
  <c r="W13" i="35"/>
  <c r="F9" i="35"/>
  <c r="S9" i="35" s="1"/>
  <c r="H9" i="35"/>
  <c r="U9" i="35" s="1"/>
  <c r="AB40" i="37"/>
  <c r="S25" i="37"/>
  <c r="W27" i="37"/>
  <c r="AC29" i="37"/>
  <c r="U29" i="37"/>
  <c r="S32" i="37"/>
  <c r="AB31" i="37"/>
  <c r="W30" i="37"/>
  <c r="S36" i="37"/>
  <c r="AA38" i="37"/>
  <c r="U32" i="37"/>
  <c r="W38" i="37"/>
  <c r="AC35" i="37"/>
  <c r="W39" i="37"/>
  <c r="S30" i="37"/>
  <c r="J17" i="37"/>
  <c r="AC17" i="37" s="1"/>
  <c r="W17" i="37"/>
  <c r="G73" i="37"/>
  <c r="F17" i="37"/>
  <c r="AA17" i="37"/>
  <c r="AB17" i="37"/>
  <c r="F19" i="37"/>
  <c r="F79" i="37"/>
  <c r="G79" i="37" s="1"/>
  <c r="F23" i="37"/>
  <c r="S23" i="37" s="1"/>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S23" i="34"/>
  <c r="S13" i="34"/>
  <c r="H10" i="34"/>
  <c r="AB10" i="34" s="1"/>
  <c r="F11" i="34"/>
  <c r="S11" i="34" s="1"/>
  <c r="F70" i="34"/>
  <c r="W42" i="33"/>
  <c r="S27" i="33"/>
  <c r="S32" i="33"/>
  <c r="AB29" i="33"/>
  <c r="W38" i="33"/>
  <c r="H41" i="33"/>
  <c r="H121" i="33"/>
  <c r="I121" i="33" s="1"/>
  <c r="J121" i="33" s="1"/>
  <c r="K121" i="33" s="1"/>
  <c r="L121" i="33" s="1"/>
  <c r="M121" i="33" s="1"/>
  <c r="S42" i="33"/>
  <c r="F36" i="33"/>
  <c r="I108" i="33"/>
  <c r="J108" i="33" s="1"/>
  <c r="K108" i="33" s="1"/>
  <c r="L108" i="33" s="1"/>
  <c r="M108" i="33" s="1"/>
  <c r="J35" i="33"/>
  <c r="S37" i="33"/>
  <c r="AA37" i="33"/>
  <c r="S39" i="33"/>
  <c r="F101" i="33"/>
  <c r="G101" i="33"/>
  <c r="H101" i="33"/>
  <c r="I101" i="33"/>
  <c r="J101" i="33" s="1"/>
  <c r="K101" i="33" s="1"/>
  <c r="L101" i="33" s="1"/>
  <c r="M101" i="33" s="1"/>
  <c r="J32" i="33"/>
  <c r="S46" i="33"/>
  <c r="W43" i="33"/>
  <c r="S43" i="33"/>
  <c r="H27" i="33"/>
  <c r="F87" i="33"/>
  <c r="G87" i="33" s="1"/>
  <c r="H87" i="33" s="1"/>
  <c r="I87" i="33" s="1"/>
  <c r="J87" i="33" s="1"/>
  <c r="K87" i="33" s="1"/>
  <c r="L87" i="33" s="1"/>
  <c r="M87" i="33" s="1"/>
  <c r="H25" i="33"/>
  <c r="F25" i="33"/>
  <c r="J23" i="33"/>
  <c r="F85" i="33"/>
  <c r="G85" i="33" s="1"/>
  <c r="H23" i="33"/>
  <c r="F19" i="33"/>
  <c r="S19" i="33"/>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AA23" i="21" s="1"/>
  <c r="S23" i="21"/>
  <c r="C18" i="9"/>
  <c r="D18" i="9" s="1"/>
  <c r="F34" i="67"/>
  <c r="F62" i="67" s="1"/>
  <c r="M20" i="67"/>
  <c r="F34" i="15"/>
  <c r="F62" i="15" s="1"/>
  <c r="G13" i="3"/>
  <c r="BA13" i="3"/>
  <c r="BL17" i="3"/>
  <c r="AZ17" i="3"/>
  <c r="BL13" i="3"/>
  <c r="J56" i="9"/>
  <c r="J57" i="9" s="1"/>
  <c r="J59" i="9" s="1"/>
  <c r="J61" i="9" s="1"/>
  <c r="U29" i="34"/>
  <c r="E32" i="6"/>
  <c r="G1" i="68"/>
  <c r="K1" i="12"/>
  <c r="E19" i="69"/>
  <c r="E19" i="11"/>
  <c r="C6" i="43"/>
  <c r="B19" i="53"/>
  <c r="B37" i="72" s="1"/>
  <c r="C7" i="39"/>
  <c r="C67" i="39" s="1"/>
  <c r="C7" i="35"/>
  <c r="C7" i="33"/>
  <c r="C7" i="21"/>
  <c r="C7" i="40"/>
  <c r="C63" i="40" s="1"/>
  <c r="M47" i="9"/>
  <c r="G23" i="43"/>
  <c r="A4" i="51"/>
  <c r="B6" i="72" s="1"/>
  <c r="C48" i="35"/>
  <c r="D48" i="35"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U11" i="40"/>
  <c r="S31" i="40"/>
  <c r="U15" i="40"/>
  <c r="AB17" i="40"/>
  <c r="U8" i="40"/>
  <c r="S8" i="40"/>
  <c r="AA39" i="39"/>
  <c r="AC41" i="39"/>
  <c r="U42" i="39"/>
  <c r="U41" i="39"/>
  <c r="U13" i="39"/>
  <c r="AB13" i="39"/>
  <c r="AA13" i="39"/>
  <c r="S13" i="39"/>
  <c r="U43" i="39"/>
  <c r="AB43" i="39"/>
  <c r="AB11" i="39"/>
  <c r="U11" i="39"/>
  <c r="AA27" i="39"/>
  <c r="S27" i="39"/>
  <c r="W17" i="39"/>
  <c r="AC17" i="39"/>
  <c r="W31" i="39"/>
  <c r="AC31" i="39"/>
  <c r="S23" i="39"/>
  <c r="W34" i="39"/>
  <c r="U38" i="39"/>
  <c r="S8" i="39"/>
  <c r="AC25" i="36"/>
  <c r="U32" i="36"/>
  <c r="W29" i="36"/>
  <c r="AC20" i="36"/>
  <c r="U25" i="36"/>
  <c r="AB28" i="36"/>
  <c r="AA13" i="36"/>
  <c r="W22" i="36"/>
  <c r="W23" i="36"/>
  <c r="AC25" i="35"/>
  <c r="S24" i="35"/>
  <c r="S35" i="35"/>
  <c r="W35" i="35"/>
  <c r="AA16" i="35"/>
  <c r="AA35" i="37"/>
  <c r="W36" i="37"/>
  <c r="S27" i="37"/>
  <c r="S28" i="37"/>
  <c r="U36" i="37"/>
  <c r="S40" i="37"/>
  <c r="U38" i="37"/>
  <c r="AC34" i="37"/>
  <c r="AB35" i="37"/>
  <c r="AA31" i="37"/>
  <c r="AA29" i="37"/>
  <c r="U8" i="37"/>
  <c r="AA40" i="34"/>
  <c r="U19" i="34"/>
  <c r="W19" i="34"/>
  <c r="AB33" i="34"/>
  <c r="AA31" i="34"/>
  <c r="AA30" i="34"/>
  <c r="AB45" i="34"/>
  <c r="U25" i="34"/>
  <c r="AB36" i="34"/>
  <c r="W33" i="34"/>
  <c r="AC29" i="34"/>
  <c r="W29" i="34"/>
  <c r="AC46" i="34"/>
  <c r="AB30" i="34"/>
  <c r="S37" i="34"/>
  <c r="U38" i="34"/>
  <c r="AC40" i="34"/>
  <c r="W40" i="34"/>
  <c r="AA19" i="34"/>
  <c r="S36" i="34"/>
  <c r="AA8" i="34"/>
  <c r="S8" i="34"/>
  <c r="AB9" i="34"/>
  <c r="U9" i="34"/>
  <c r="S46" i="34"/>
  <c r="AA46" i="34"/>
  <c r="AB32" i="34"/>
  <c r="W43" i="34"/>
  <c r="W23" i="34"/>
  <c r="AC23" i="34"/>
  <c r="AC35" i="34"/>
  <c r="W35" i="34"/>
  <c r="U12" i="34"/>
  <c r="AC37" i="33"/>
  <c r="W46" i="33"/>
  <c r="U38" i="33"/>
  <c r="S33" i="33"/>
  <c r="AB34" i="33"/>
  <c r="U44" i="33"/>
  <c r="AB44" i="33"/>
  <c r="S30" i="33"/>
  <c r="AA30" i="33"/>
  <c r="AC14" i="33"/>
  <c r="W14" i="33"/>
  <c r="AC30" i="33"/>
  <c r="W30" i="33"/>
  <c r="S31" i="33"/>
  <c r="AA31" i="33"/>
  <c r="W13" i="33"/>
  <c r="AC13" i="33"/>
  <c r="U15" i="33"/>
  <c r="U37" i="33"/>
  <c r="W8" i="33"/>
  <c r="AB42" i="21"/>
  <c r="S45" i="21"/>
  <c r="I101" i="21"/>
  <c r="J101" i="21" s="1"/>
  <c r="K101" i="21" s="1"/>
  <c r="L101" i="21" s="1"/>
  <c r="M101" i="21"/>
  <c r="F33" i="21"/>
  <c r="AA33" i="21" s="1"/>
  <c r="J33" i="21"/>
  <c r="AC33" i="21" s="1"/>
  <c r="H33" i="21"/>
  <c r="AB33" i="21" s="1"/>
  <c r="F37" i="21"/>
  <c r="AA37" i="21" s="1"/>
  <c r="AB14" i="21"/>
  <c r="AB46" i="21"/>
  <c r="AB31" i="21"/>
  <c r="U31" i="21"/>
  <c r="AC15" i="21"/>
  <c r="S35" i="21"/>
  <c r="J37" i="21"/>
  <c r="W37" i="21" s="1"/>
  <c r="H15" i="21"/>
  <c r="U15" i="21"/>
  <c r="J17" i="21"/>
  <c r="AC17" i="21"/>
  <c r="AC19" i="21"/>
  <c r="W39" i="21"/>
  <c r="H45" i="21"/>
  <c r="U45" i="21"/>
  <c r="F29" i="21"/>
  <c r="AC38" i="21"/>
  <c r="H32" i="21"/>
  <c r="H9" i="21"/>
  <c r="J9" i="21"/>
  <c r="W9" i="21" s="1"/>
  <c r="J32" i="21"/>
  <c r="W32" i="21" s="1"/>
  <c r="F32" i="21"/>
  <c r="AA31" i="21"/>
  <c r="U17" i="21"/>
  <c r="W29" i="21"/>
  <c r="S19" i="21"/>
  <c r="AA9" i="21"/>
  <c r="K141" i="21"/>
  <c r="K144" i="21"/>
  <c r="K143" i="21"/>
  <c r="U27" i="21"/>
  <c r="AB25" i="21"/>
  <c r="W42" i="21"/>
  <c r="F10" i="21"/>
  <c r="AA10" i="21" s="1"/>
  <c r="K145" i="21"/>
  <c r="W17" i="21"/>
  <c r="W25" i="21"/>
  <c r="W31" i="21"/>
  <c r="S17" i="21"/>
  <c r="AA15" i="21"/>
  <c r="AC26" i="21"/>
  <c r="S28" i="21"/>
  <c r="AC34" i="21"/>
  <c r="W12" i="21"/>
  <c r="AB36" i="21"/>
  <c r="C19" i="39"/>
  <c r="C15"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17" i="37"/>
  <c r="J19" i="37"/>
  <c r="W19" i="37" s="1"/>
  <c r="S19" i="37"/>
  <c r="AA19" i="37"/>
  <c r="J23" i="37"/>
  <c r="J10" i="37"/>
  <c r="W10" i="37" s="1"/>
  <c r="G63" i="37"/>
  <c r="H63" i="37" s="1"/>
  <c r="H11" i="37"/>
  <c r="AB11" i="37" s="1"/>
  <c r="G70" i="34"/>
  <c r="H11" i="34"/>
  <c r="U11" i="34" s="1"/>
  <c r="J10" i="34"/>
  <c r="AC10" i="34" s="1"/>
  <c r="AB41" i="33"/>
  <c r="U41" i="33"/>
  <c r="W35" i="33"/>
  <c r="AC35" i="33"/>
  <c r="K111" i="33"/>
  <c r="L111" i="33" s="1"/>
  <c r="M111" i="33" s="1"/>
  <c r="J36" i="33"/>
  <c r="W36" i="33" s="1"/>
  <c r="H36" i="33"/>
  <c r="U36" i="33" s="1"/>
  <c r="AC32" i="33"/>
  <c r="W32" i="33"/>
  <c r="U27" i="33"/>
  <c r="AB27" i="33"/>
  <c r="I91" i="33"/>
  <c r="J91" i="33" s="1"/>
  <c r="K91" i="33" s="1"/>
  <c r="L91" i="33" s="1"/>
  <c r="M91" i="33" s="1"/>
  <c r="J27" i="33"/>
  <c r="S25" i="33"/>
  <c r="AA25" i="33"/>
  <c r="J25" i="33"/>
  <c r="F23" i="33"/>
  <c r="AC23" i="33"/>
  <c r="W23" i="33"/>
  <c r="AA19" i="33"/>
  <c r="H19" i="33"/>
  <c r="G79" i="33"/>
  <c r="H17" i="33"/>
  <c r="U17" i="33" s="1"/>
  <c r="F17" i="33"/>
  <c r="W17" i="33"/>
  <c r="AC17" i="33"/>
  <c r="AB15" i="21"/>
  <c r="J23" i="21"/>
  <c r="F85" i="21"/>
  <c r="G85" i="21" s="1"/>
  <c r="H23" i="21"/>
  <c r="AP7" i="1"/>
  <c r="AB45" i="21"/>
  <c r="AB9" i="21"/>
  <c r="U9" i="21"/>
  <c r="AA32" i="21"/>
  <c r="S32" i="21"/>
  <c r="AC9" i="21"/>
  <c r="AB32" i="21"/>
  <c r="U32" i="21"/>
  <c r="U32" i="39"/>
  <c r="AC32" i="39"/>
  <c r="W32" i="39"/>
  <c r="W23" i="37"/>
  <c r="AC23" i="37"/>
  <c r="I63" i="37"/>
  <c r="J63" i="37" s="1"/>
  <c r="K63" i="37" s="1"/>
  <c r="L63" i="37" s="1"/>
  <c r="M63" i="37" s="1"/>
  <c r="J11" i="37"/>
  <c r="AC11" i="37" s="1"/>
  <c r="H70" i="34"/>
  <c r="I70" i="34"/>
  <c r="J70" i="34"/>
  <c r="K70" i="34"/>
  <c r="L70" i="34" s="1"/>
  <c r="M70" i="34" s="1"/>
  <c r="J11" i="34"/>
  <c r="W11" i="34" s="1"/>
  <c r="W27" i="33"/>
  <c r="AC27" i="33"/>
  <c r="W25" i="33"/>
  <c r="AC25" i="33"/>
  <c r="AB19" i="33"/>
  <c r="U19" i="33"/>
  <c r="AA17" i="33"/>
  <c r="S17" i="33"/>
  <c r="AB17" i="33"/>
  <c r="U23" i="21"/>
  <c r="AB23" i="21"/>
  <c r="AC23" i="21"/>
  <c r="W23" i="21"/>
  <c r="H109" i="9"/>
  <c r="M49" i="9" s="1"/>
  <c r="D16" i="53"/>
  <c r="B34" i="72" s="1"/>
  <c r="H112" i="9"/>
  <c r="D21" i="53"/>
  <c r="B39" i="72" s="1"/>
  <c r="H111" i="9"/>
  <c r="D126" i="9" s="1"/>
  <c r="D19" i="53"/>
  <c r="B38" i="72" s="1"/>
  <c r="AD3" i="71"/>
  <c r="J1" i="7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F38" i="15"/>
  <c r="M29" i="15"/>
  <c r="C76" i="15"/>
  <c r="B7" i="76"/>
  <c r="E7" i="76"/>
  <c r="F16" i="15"/>
  <c r="M22" i="67"/>
  <c r="M8" i="67"/>
  <c r="F6" i="73"/>
  <c r="F16" i="67"/>
  <c r="E13" i="76"/>
  <c r="B9" i="76"/>
  <c r="E2" i="69"/>
  <c r="D34" i="9"/>
  <c r="M6" i="15"/>
  <c r="L48" i="15"/>
  <c r="B13" i="76"/>
  <c r="B12" i="76"/>
  <c r="D35" i="9"/>
  <c r="F9" i="15"/>
  <c r="F37" i="15"/>
  <c r="F36" i="15"/>
  <c r="E11" i="76"/>
  <c r="F42" i="67"/>
  <c r="M26" i="15"/>
  <c r="F9" i="67"/>
  <c r="F26" i="15"/>
  <c r="D6" i="73"/>
  <c r="F4" i="73"/>
  <c r="F7" i="73"/>
  <c r="E8" i="76"/>
  <c r="M24" i="15"/>
  <c r="F42" i="15"/>
  <c r="F20" i="31"/>
  <c r="L48" i="67"/>
  <c r="M28" i="15"/>
  <c r="E9" i="76"/>
  <c r="B11" i="76"/>
  <c r="F8" i="15"/>
  <c r="B8" i="76"/>
  <c r="F7" i="15"/>
  <c r="F13" i="15"/>
  <c r="J15" i="67"/>
  <c r="J15" i="15"/>
  <c r="M24" i="67"/>
  <c r="F6" i="15"/>
  <c r="F40" i="15"/>
  <c r="F36" i="67"/>
  <c r="AO13" i="1"/>
  <c r="E12" i="76"/>
  <c r="F5" i="73"/>
  <c r="M8" i="15"/>
  <c r="L47" i="15"/>
  <c r="M9" i="15"/>
  <c r="M23" i="67"/>
  <c r="E10" i="76"/>
  <c r="M22" i="15"/>
  <c r="F3" i="73"/>
  <c r="F43" i="15"/>
  <c r="E2" i="68"/>
  <c r="M23" i="15"/>
  <c r="B10" i="76"/>
  <c r="F26" i="67"/>
  <c r="H29" i="35" l="1"/>
  <c r="AB29" i="35" s="1"/>
  <c r="F29" i="35"/>
  <c r="S29" i="35" s="1"/>
  <c r="J29" i="35"/>
  <c r="AB33" i="35"/>
  <c r="U28" i="35"/>
  <c r="W28" i="35"/>
  <c r="S28" i="35"/>
  <c r="AA33" i="35"/>
  <c r="B41" i="1"/>
  <c r="D93" i="9"/>
  <c r="C21" i="68"/>
  <c r="C40" i="11"/>
  <c r="C40" i="68"/>
  <c r="G26" i="12"/>
  <c r="G22" i="68"/>
  <c r="G22" i="69"/>
  <c r="G22" i="11"/>
  <c r="E1" i="73"/>
  <c r="AA23" i="33"/>
  <c r="S23" i="33"/>
  <c r="S29" i="21"/>
  <c r="AA29" i="21"/>
  <c r="U23" i="33"/>
  <c r="AB23" i="33"/>
  <c r="AB25" i="33"/>
  <c r="U25" i="33"/>
  <c r="AA20" i="36"/>
  <c r="S20" i="36"/>
  <c r="W11" i="39"/>
  <c r="AC11" i="39"/>
  <c r="W15" i="37"/>
  <c r="AC15" i="37"/>
  <c r="S36" i="35"/>
  <c r="AA36" i="35"/>
  <c r="AZ550" i="3"/>
  <c r="S34" i="33"/>
  <c r="AA34" i="33"/>
  <c r="AZ344" i="3"/>
  <c r="AZ313" i="3"/>
  <c r="H64" i="43"/>
  <c r="H69" i="43"/>
  <c r="H67" i="43"/>
  <c r="AZ569" i="3"/>
  <c r="E19" i="71"/>
  <c r="E18" i="71" s="1"/>
  <c r="E17" i="71" s="1"/>
  <c r="E16" i="71" s="1"/>
  <c r="V20" i="71"/>
  <c r="S37" i="21"/>
  <c r="AA36" i="33"/>
  <c r="S36" i="33"/>
  <c r="S35" i="33"/>
  <c r="AA35" i="33"/>
  <c r="AB35" i="40"/>
  <c r="U35" i="40"/>
  <c r="H54" i="43"/>
  <c r="H50" i="43"/>
  <c r="AC25" i="39"/>
  <c r="W25" i="39"/>
  <c r="AZ547" i="3"/>
  <c r="AZ551" i="3"/>
  <c r="D22" i="71"/>
  <c r="C21" i="71"/>
  <c r="AB36" i="33"/>
  <c r="AC19" i="37"/>
  <c r="AA23" i="37"/>
  <c r="W39" i="34"/>
  <c r="AC39" i="34"/>
  <c r="U20" i="36"/>
  <c r="AB20" i="36"/>
  <c r="AZ325" i="3"/>
  <c r="D8" i="53"/>
  <c r="D120" i="9"/>
  <c r="AZ580" i="3"/>
  <c r="S14" i="33"/>
  <c r="AA14" i="33"/>
  <c r="AB39" i="33"/>
  <c r="BA585" i="3"/>
  <c r="AZ585" i="3" s="1"/>
  <c r="H13" i="21"/>
  <c r="J13" i="21"/>
  <c r="W45" i="21"/>
  <c r="AB34" i="34"/>
  <c r="U34" i="34"/>
  <c r="U12" i="35"/>
  <c r="AB12" i="35"/>
  <c r="H36" i="35"/>
  <c r="H14" i="37"/>
  <c r="F14" i="37"/>
  <c r="J14" i="37"/>
  <c r="J14" i="39"/>
  <c r="AC14" i="39" s="1"/>
  <c r="F14" i="39"/>
  <c r="S9" i="40"/>
  <c r="AA9" i="40"/>
  <c r="W38" i="34"/>
  <c r="AC38" i="34"/>
  <c r="F36" i="39"/>
  <c r="J36" i="39"/>
  <c r="BA584" i="3"/>
  <c r="AZ584" i="3" s="1"/>
  <c r="BA558" i="3"/>
  <c r="AZ558" i="3" s="1"/>
  <c r="BL557" i="3"/>
  <c r="BL553" i="3"/>
  <c r="AZ553" i="3" s="1"/>
  <c r="AA11" i="36"/>
  <c r="S11" i="36"/>
  <c r="U45" i="33"/>
  <c r="AB45" i="33"/>
  <c r="BL582" i="3"/>
  <c r="AZ582" i="3" s="1"/>
  <c r="BL580" i="3"/>
  <c r="U27" i="34"/>
  <c r="AC8" i="34"/>
  <c r="W8" i="34"/>
  <c r="AA38" i="40"/>
  <c r="S38" i="40"/>
  <c r="AA31" i="35"/>
  <c r="S31" i="35"/>
  <c r="M18" i="15"/>
  <c r="M18" i="67"/>
  <c r="F30" i="11"/>
  <c r="C48" i="11" s="1"/>
  <c r="F13" i="21"/>
  <c r="AA26" i="21"/>
  <c r="S11" i="33"/>
  <c r="AB47" i="34"/>
  <c r="AC45" i="34"/>
  <c r="U19" i="37"/>
  <c r="AB37" i="37"/>
  <c r="W9" i="36"/>
  <c r="AB39" i="39"/>
  <c r="AA14" i="21"/>
  <c r="AA29" i="34"/>
  <c r="AA11" i="35"/>
  <c r="AA25" i="35"/>
  <c r="AA12" i="39"/>
  <c r="AC13" i="34"/>
  <c r="AC14" i="35"/>
  <c r="AC35" i="21"/>
  <c r="BP5" i="3"/>
  <c r="G29" i="6" s="1"/>
  <c r="G30" i="6" s="1"/>
  <c r="G31" i="6" s="1"/>
  <c r="BM5" i="3"/>
  <c r="S42" i="21"/>
  <c r="AC31" i="33"/>
  <c r="H31" i="40"/>
  <c r="AZ571" i="3"/>
  <c r="AZ572" i="3"/>
  <c r="W44" i="39"/>
  <c r="AA14" i="34"/>
  <c r="AB30" i="21"/>
  <c r="H25" i="35"/>
  <c r="AC31" i="34"/>
  <c r="W31" i="34"/>
  <c r="U46" i="34"/>
  <c r="AB46" i="34"/>
  <c r="BA587" i="3"/>
  <c r="AZ587" i="3" s="1"/>
  <c r="S12" i="21"/>
  <c r="AA12" i="21"/>
  <c r="J27" i="21"/>
  <c r="F27" i="21"/>
  <c r="B97" i="43"/>
  <c r="B75" i="43"/>
  <c r="AC33" i="33"/>
  <c r="W33" i="33"/>
  <c r="AB40" i="33"/>
  <c r="U40" i="33"/>
  <c r="J9" i="33"/>
  <c r="H9" i="33"/>
  <c r="H28" i="33"/>
  <c r="J28" i="33"/>
  <c r="J36" i="35"/>
  <c r="J34" i="35"/>
  <c r="F34" i="35"/>
  <c r="H35" i="39"/>
  <c r="BA538" i="3"/>
  <c r="AZ538" i="3" s="1"/>
  <c r="BL535" i="3"/>
  <c r="AZ535" i="3" s="1"/>
  <c r="BA530" i="3"/>
  <c r="AZ530"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557" i="3"/>
  <c r="AZ525" i="3"/>
  <c r="F54" i="9"/>
  <c r="F32" i="15"/>
  <c r="F60" i="15" s="1"/>
  <c r="F52" i="9"/>
  <c r="F30" i="68"/>
  <c r="F48" i="68" s="1"/>
  <c r="C17" i="40"/>
  <c r="AB29" i="21"/>
  <c r="AB44" i="21"/>
  <c r="S46" i="21"/>
  <c r="U40" i="21"/>
  <c r="AA45" i="39"/>
  <c r="U15" i="34"/>
  <c r="AC12" i="35"/>
  <c r="U14" i="35"/>
  <c r="S14" i="36"/>
  <c r="U31" i="39"/>
  <c r="S35" i="40"/>
  <c r="BC5" i="3"/>
  <c r="BO5" i="3"/>
  <c r="S42" i="39"/>
  <c r="U11" i="33"/>
  <c r="AA13" i="33"/>
  <c r="AZ541" i="3"/>
  <c r="S35" i="39"/>
  <c r="S44" i="34"/>
  <c r="AB46" i="33"/>
  <c r="U46" i="33"/>
  <c r="AC12" i="40"/>
  <c r="AA45" i="33"/>
  <c r="S45" i="33"/>
  <c r="J30" i="21"/>
  <c r="J14" i="21"/>
  <c r="AB17" i="34"/>
  <c r="U33" i="33"/>
  <c r="H36" i="39"/>
  <c r="BL586" i="3"/>
  <c r="AZ586" i="3" s="1"/>
  <c r="H28" i="21"/>
  <c r="J28" i="21"/>
  <c r="J44" i="21"/>
  <c r="F44" i="21"/>
  <c r="B101" i="43"/>
  <c r="B79" i="43"/>
  <c r="C25" i="39"/>
  <c r="J29" i="33"/>
  <c r="F29" i="33"/>
  <c r="J14" i="34"/>
  <c r="H14" i="34"/>
  <c r="F32" i="34"/>
  <c r="J32" i="34"/>
  <c r="J23" i="35"/>
  <c r="F23" i="35"/>
  <c r="AA27" i="35"/>
  <c r="S27" i="35"/>
  <c r="H9" i="36"/>
  <c r="F9" i="36"/>
  <c r="J26" i="37"/>
  <c r="F26" i="37"/>
  <c r="J31" i="40"/>
  <c r="S34" i="37"/>
  <c r="AA34" i="37"/>
  <c r="BA555" i="3"/>
  <c r="AZ555" i="3" s="1"/>
  <c r="BA554" i="3"/>
  <c r="AZ554" i="3" s="1"/>
  <c r="BA548" i="3"/>
  <c r="BA545" i="3"/>
  <c r="AZ545" i="3" s="1"/>
  <c r="BL544" i="3"/>
  <c r="AZ544" i="3" s="1"/>
  <c r="BL543" i="3"/>
  <c r="AZ543" i="3" s="1"/>
  <c r="BL542" i="3"/>
  <c r="BA542" i="3"/>
  <c r="BA537" i="3"/>
  <c r="AZ537" i="3" s="1"/>
  <c r="G536" i="3"/>
  <c r="BA534" i="3"/>
  <c r="AZ534" i="3" s="1"/>
  <c r="BL532" i="3"/>
  <c r="AZ532" i="3" s="1"/>
  <c r="BA529" i="3"/>
  <c r="AZ529" i="3" s="1"/>
  <c r="G528" i="3"/>
  <c r="AZ414" i="3"/>
  <c r="J40" i="40"/>
  <c r="G562" i="3"/>
  <c r="G551" i="3"/>
  <c r="BL548" i="3"/>
  <c r="AZ404" i="3"/>
  <c r="AZ425" i="3"/>
  <c r="AZ405" i="3"/>
  <c r="AZ415" i="3"/>
  <c r="AZ418" i="3"/>
  <c r="AZ423" i="3"/>
  <c r="G401" i="3"/>
  <c r="AZ409" i="3"/>
  <c r="AZ420" i="3"/>
  <c r="AZ422" i="3"/>
  <c r="AZ430" i="3"/>
  <c r="AZ444" i="3"/>
  <c r="AZ445" i="3"/>
  <c r="AZ447" i="3"/>
  <c r="AZ481" i="3"/>
  <c r="AZ260" i="3"/>
  <c r="BA400" i="3"/>
  <c r="AZ400" i="3" s="1"/>
  <c r="G408" i="3"/>
  <c r="G411" i="3"/>
  <c r="BL413" i="3"/>
  <c r="BA421" i="3"/>
  <c r="AZ421" i="3" s="1"/>
  <c r="BL423" i="3"/>
  <c r="G425" i="3"/>
  <c r="BL427" i="3"/>
  <c r="AZ427" i="3" s="1"/>
  <c r="AZ431" i="3"/>
  <c r="AZ432" i="3"/>
  <c r="AZ434" i="3"/>
  <c r="AZ448" i="3"/>
  <c r="AZ449" i="3"/>
  <c r="AZ451" i="3"/>
  <c r="AZ452" i="3"/>
  <c r="AZ453" i="3"/>
  <c r="AZ455" i="3"/>
  <c r="AZ469" i="3"/>
  <c r="AZ474" i="3"/>
  <c r="AZ476" i="3"/>
  <c r="AZ489" i="3"/>
  <c r="AZ492" i="3"/>
  <c r="AZ217" i="3"/>
  <c r="AZ225" i="3"/>
  <c r="AZ239" i="3"/>
  <c r="BL399" i="3"/>
  <c r="BL402" i="3"/>
  <c r="AZ402" i="3" s="1"/>
  <c r="BA407" i="3"/>
  <c r="AZ407" i="3" s="1"/>
  <c r="BA410" i="3"/>
  <c r="AZ410" i="3" s="1"/>
  <c r="BA413" i="3"/>
  <c r="BL419" i="3"/>
  <c r="AZ419" i="3" s="1"/>
  <c r="G421" i="3"/>
  <c r="BL424" i="3"/>
  <c r="AZ446" i="3"/>
  <c r="AZ456" i="3"/>
  <c r="AZ458" i="3"/>
  <c r="AZ460" i="3"/>
  <c r="AZ462" i="3"/>
  <c r="AZ463" i="3"/>
  <c r="AZ464" i="3"/>
  <c r="AZ478" i="3"/>
  <c r="AZ480" i="3"/>
  <c r="AZ487" i="3"/>
  <c r="AZ397" i="3"/>
  <c r="AZ210" i="3"/>
  <c r="AZ212" i="3"/>
  <c r="AZ216" i="3"/>
  <c r="AZ231" i="3"/>
  <c r="A15" i="62"/>
  <c r="B61" i="72" s="1"/>
  <c r="AZ399" i="3"/>
  <c r="AZ424" i="3"/>
  <c r="AZ477" i="3"/>
  <c r="AZ482" i="3"/>
  <c r="AZ484" i="3"/>
  <c r="AZ395" i="3"/>
  <c r="AZ208" i="3"/>
  <c r="AZ211" i="3"/>
  <c r="AZ230" i="3"/>
  <c r="AZ276" i="3"/>
  <c r="AZ129" i="3"/>
  <c r="BA238" i="3"/>
  <c r="AZ238" i="3" s="1"/>
  <c r="BL248" i="3"/>
  <c r="AZ248" i="3" s="1"/>
  <c r="AZ292" i="3"/>
  <c r="AZ118" i="3"/>
  <c r="BA243" i="3"/>
  <c r="AZ243" i="3" s="1"/>
  <c r="G247" i="3"/>
  <c r="BL250" i="3"/>
  <c r="AZ250" i="3" s="1"/>
  <c r="BL253" i="3"/>
  <c r="BA256" i="3"/>
  <c r="AZ256" i="3" s="1"/>
  <c r="BA258" i="3"/>
  <c r="AZ258" i="3" s="1"/>
  <c r="BL260" i="3"/>
  <c r="BA264" i="3"/>
  <c r="AZ264" i="3" s="1"/>
  <c r="BA274" i="3"/>
  <c r="AZ274" i="3" s="1"/>
  <c r="AZ284" i="3"/>
  <c r="AZ122" i="3"/>
  <c r="AZ125" i="3"/>
  <c r="BL240" i="3"/>
  <c r="AZ240" i="3" s="1"/>
  <c r="BA246" i="3"/>
  <c r="AZ246" i="3" s="1"/>
  <c r="BA253" i="3"/>
  <c r="BL255" i="3"/>
  <c r="AZ255" i="3" s="1"/>
  <c r="G264" i="3"/>
  <c r="BL265" i="3"/>
  <c r="AZ265" i="3" s="1"/>
  <c r="G269" i="3"/>
  <c r="BL270" i="3"/>
  <c r="AZ270" i="3" s="1"/>
  <c r="G274" i="3"/>
  <c r="BL275" i="3"/>
  <c r="AZ275" i="3" s="1"/>
  <c r="BL276" i="3"/>
  <c r="AZ126" i="3"/>
  <c r="BA117" i="3"/>
  <c r="AZ117" i="3" s="1"/>
  <c r="BL126" i="3"/>
  <c r="BA132" i="3"/>
  <c r="AZ132" i="3" s="1"/>
  <c r="BA136" i="3"/>
  <c r="AZ136" i="3" s="1"/>
  <c r="BL142" i="3"/>
  <c r="AZ142" i="3" s="1"/>
  <c r="BL145" i="3"/>
  <c r="AZ145" i="3" s="1"/>
  <c r="BL151" i="3"/>
  <c r="AZ151" i="3" s="1"/>
  <c r="AZ161" i="3"/>
  <c r="AZ23" i="3"/>
  <c r="AZ54" i="3"/>
  <c r="AZ62" i="3"/>
  <c r="AZ65" i="3"/>
  <c r="G300" i="3"/>
  <c r="BA116" i="3"/>
  <c r="AZ116" i="3" s="1"/>
  <c r="BL129" i="3"/>
  <c r="BA140" i="3"/>
  <c r="AZ140" i="3" s="1"/>
  <c r="BL146" i="3"/>
  <c r="AZ146" i="3" s="1"/>
  <c r="BL155" i="3"/>
  <c r="AZ155" i="3" s="1"/>
  <c r="BA160" i="3"/>
  <c r="AZ160" i="3" s="1"/>
  <c r="BA165" i="3"/>
  <c r="AZ165" i="3" s="1"/>
  <c r="BA166" i="3"/>
  <c r="AZ166" i="3" s="1"/>
  <c r="AZ177" i="3"/>
  <c r="AZ185" i="3"/>
  <c r="AZ193" i="3"/>
  <c r="AZ201" i="3"/>
  <c r="AZ25" i="3"/>
  <c r="BA299" i="3"/>
  <c r="AZ299" i="3" s="1"/>
  <c r="BL114" i="3"/>
  <c r="AZ114" i="3" s="1"/>
  <c r="G120" i="3"/>
  <c r="BL157" i="3"/>
  <c r="AZ157" i="3" s="1"/>
  <c r="BA164" i="3"/>
  <c r="AZ164" i="3" s="1"/>
  <c r="BA169" i="3"/>
  <c r="AZ169" i="3" s="1"/>
  <c r="BA170" i="3"/>
  <c r="AZ170" i="3" s="1"/>
  <c r="BL187" i="3"/>
  <c r="AZ187" i="3" s="1"/>
  <c r="AZ27" i="3"/>
  <c r="BL48" i="3"/>
  <c r="AZ48" i="3" s="1"/>
  <c r="AZ52" i="3"/>
  <c r="BL64" i="3"/>
  <c r="AZ64" i="3" s="1"/>
  <c r="AZ91" i="3"/>
  <c r="BA24" i="3"/>
  <c r="AZ24" i="3" s="1"/>
  <c r="G30" i="3"/>
  <c r="BA32" i="3"/>
  <c r="AZ32" i="3" s="1"/>
  <c r="BL34" i="3"/>
  <c r="BA39" i="3"/>
  <c r="AZ39" i="3" s="1"/>
  <c r="BL40" i="3"/>
  <c r="G51" i="3"/>
  <c r="BL55" i="3"/>
  <c r="BL67" i="3"/>
  <c r="AZ67" i="3" s="1"/>
  <c r="BL69" i="3"/>
  <c r="AZ69" i="3" s="1"/>
  <c r="AZ73" i="3"/>
  <c r="G81" i="3"/>
  <c r="G22" i="3"/>
  <c r="BL27" i="3"/>
  <c r="BL5" i="3" s="1"/>
  <c r="G31" i="3"/>
  <c r="AZ34" i="3"/>
  <c r="BA37" i="3"/>
  <c r="AZ37" i="3" s="1"/>
  <c r="BA40" i="3"/>
  <c r="AZ40" i="3" s="1"/>
  <c r="BL44" i="3"/>
  <c r="AZ44" i="3" s="1"/>
  <c r="BL50" i="3"/>
  <c r="AZ50" i="3" s="1"/>
  <c r="BA55" i="3"/>
  <c r="BL60" i="3"/>
  <c r="AZ60" i="3" s="1"/>
  <c r="BL66" i="3"/>
  <c r="AZ66" i="3" s="1"/>
  <c r="BL71" i="3"/>
  <c r="AZ71" i="3" s="1"/>
  <c r="BL83" i="3"/>
  <c r="BL29" i="3"/>
  <c r="AZ29" i="3" s="1"/>
  <c r="G33" i="3"/>
  <c r="G38" i="3"/>
  <c r="BA42" i="3"/>
  <c r="AZ42" i="3" s="1"/>
  <c r="BA47" i="3"/>
  <c r="AZ47" i="3" s="1"/>
  <c r="BA58" i="3"/>
  <c r="AZ58" i="3" s="1"/>
  <c r="BA63" i="3"/>
  <c r="AZ63" i="3" s="1"/>
  <c r="G77" i="3"/>
  <c r="BA81" i="3"/>
  <c r="AZ81" i="3" s="1"/>
  <c r="BA85" i="3"/>
  <c r="AZ85" i="3" s="1"/>
  <c r="BL89" i="3"/>
  <c r="AZ89" i="3" s="1"/>
  <c r="G94" i="3"/>
  <c r="BA96" i="3"/>
  <c r="AZ96" i="3" s="1"/>
  <c r="BL98" i="3"/>
  <c r="AZ98" i="3" s="1"/>
  <c r="G100" i="3"/>
  <c r="BA102" i="3"/>
  <c r="AZ102" i="3" s="1"/>
  <c r="BA105" i="3"/>
  <c r="AZ105" i="3" s="1"/>
  <c r="G108" i="3"/>
  <c r="BA110" i="3"/>
  <c r="AZ110" i="3" s="1"/>
  <c r="BA112" i="3"/>
  <c r="K13" i="1"/>
  <c r="M13" i="1" s="1"/>
  <c r="O13" i="1" s="1"/>
  <c r="P13" i="1" s="1"/>
  <c r="G67" i="3"/>
  <c r="G72" i="3"/>
  <c r="BA76" i="3"/>
  <c r="AZ76" i="3" s="1"/>
  <c r="BL80" i="3"/>
  <c r="AZ80" i="3" s="1"/>
  <c r="G84" i="3"/>
  <c r="BL87" i="3"/>
  <c r="AZ87" i="3" s="1"/>
  <c r="BA93" i="3"/>
  <c r="AZ93" i="3" s="1"/>
  <c r="BL99" i="3"/>
  <c r="BL101" i="3"/>
  <c r="AZ101" i="3" s="1"/>
  <c r="BL104" i="3"/>
  <c r="BL107" i="3"/>
  <c r="AZ107" i="3" s="1"/>
  <c r="BL109" i="3"/>
  <c r="AZ109" i="3" s="1"/>
  <c r="F3" i="35"/>
  <c r="P65" i="71"/>
  <c r="P66" i="71"/>
  <c r="BL75" i="3"/>
  <c r="AZ75" i="3" s="1"/>
  <c r="BL78" i="3"/>
  <c r="AZ78" i="3" s="1"/>
  <c r="BA83" i="3"/>
  <c r="AZ83" i="3" s="1"/>
  <c r="AZ99" i="3"/>
  <c r="AZ104" i="3"/>
  <c r="BA90" i="3"/>
  <c r="AZ90" i="3" s="1"/>
  <c r="AZ95" i="3"/>
  <c r="BL112" i="3"/>
  <c r="D40" i="71"/>
  <c r="T40" i="71"/>
  <c r="AA21" i="34"/>
  <c r="T60" i="71"/>
  <c r="D71" i="71"/>
  <c r="AA26" i="71"/>
  <c r="E27" i="71"/>
  <c r="E26" i="71" s="1"/>
  <c r="AB26" i="71"/>
  <c r="D46" i="71"/>
  <c r="X28" i="71"/>
  <c r="Y26" i="71"/>
  <c r="Z26" i="71" s="1"/>
  <c r="X35" i="71"/>
  <c r="AA32" i="71"/>
  <c r="X30" i="71"/>
  <c r="Y32" i="71"/>
  <c r="Z32" i="71" s="1"/>
  <c r="E34" i="71"/>
  <c r="E35" i="71" s="1"/>
  <c r="E36" i="71" s="1"/>
  <c r="U36" i="71" s="1"/>
  <c r="AA33" i="71"/>
  <c r="Y35" i="71"/>
  <c r="Z35" i="71" s="1"/>
  <c r="X32" i="71"/>
  <c r="X33" i="71"/>
  <c r="X34" i="71"/>
  <c r="X36" i="71"/>
  <c r="Y38" i="71"/>
  <c r="Z38" i="71" s="1"/>
  <c r="X9" i="71"/>
  <c r="X10" i="71"/>
  <c r="B47" i="71"/>
  <c r="B48" i="71" s="1"/>
  <c r="S48" i="71" s="1"/>
  <c r="Y23" i="71"/>
  <c r="Z23" i="71" s="1"/>
  <c r="X17" i="71"/>
  <c r="AA17" i="71"/>
  <c r="Y14" i="71"/>
  <c r="Z14" i="71" s="1"/>
  <c r="Y30" i="71"/>
  <c r="Z30" i="71" s="1"/>
  <c r="Y25" i="71"/>
  <c r="Z25" i="71" s="1"/>
  <c r="Y27" i="71"/>
  <c r="Z27" i="71" s="1"/>
  <c r="B38" i="71"/>
  <c r="B39" i="71" s="1"/>
  <c r="B40" i="71" s="1"/>
  <c r="S40" i="71" s="1"/>
  <c r="X37" i="71"/>
  <c r="Y9" i="71"/>
  <c r="Z9" i="71" s="1"/>
  <c r="Y10" i="71"/>
  <c r="Z10" i="71" s="1"/>
  <c r="Y39" i="71"/>
  <c r="Z39" i="71" s="1"/>
  <c r="AA24" i="71"/>
  <c r="AA21" i="71"/>
  <c r="Y21" i="71"/>
  <c r="Z21" i="71" s="1"/>
  <c r="AB21" i="71"/>
  <c r="Y18" i="71"/>
  <c r="Z18" i="71" s="1"/>
  <c r="AA13" i="71"/>
  <c r="U18" i="35"/>
  <c r="U25" i="40"/>
  <c r="D39" i="71"/>
  <c r="C78" i="71"/>
  <c r="D78" i="71" s="1"/>
  <c r="C74" i="71"/>
  <c r="D74" i="71" s="1"/>
  <c r="AA28" i="71"/>
  <c r="AA3" i="71"/>
  <c r="AB28" i="71"/>
  <c r="C27" i="71"/>
  <c r="X25" i="71"/>
  <c r="Y28" i="71"/>
  <c r="Z28" i="71" s="1"/>
  <c r="AA30" i="71"/>
  <c r="E39" i="71"/>
  <c r="E40" i="71" s="1"/>
  <c r="U40" i="71" s="1"/>
  <c r="X27" i="71"/>
  <c r="Y31" i="71"/>
  <c r="Z31" i="71" s="1"/>
  <c r="AA34" i="71"/>
  <c r="AA36" i="71"/>
  <c r="F38" i="71"/>
  <c r="F39" i="71" s="1"/>
  <c r="F40" i="71" s="1"/>
  <c r="V40" i="71" s="1"/>
  <c r="AB24" i="71"/>
  <c r="AB23" i="71"/>
  <c r="AA22" i="71"/>
  <c r="Y17" i="71"/>
  <c r="Z17" i="71" s="1"/>
  <c r="AB18" i="71"/>
  <c r="S21" i="21"/>
  <c r="C31" i="71"/>
  <c r="AA38" i="71"/>
  <c r="D34" i="71"/>
  <c r="C35" i="71"/>
  <c r="E31" i="71"/>
  <c r="E32" i="71" s="1"/>
  <c r="U32" i="71" s="1"/>
  <c r="F30" i="71"/>
  <c r="F31" i="71" s="1"/>
  <c r="F32" i="71" s="1"/>
  <c r="V32" i="71" s="1"/>
  <c r="AB30" i="71"/>
  <c r="AA31" i="71"/>
  <c r="Y33" i="71"/>
  <c r="Z33" i="71" s="1"/>
  <c r="AB35" i="71"/>
  <c r="AB36" i="71"/>
  <c r="X39" i="71"/>
  <c r="Q66" i="71"/>
  <c r="X22" i="71"/>
  <c r="AA23" i="71"/>
  <c r="X21" i="71"/>
  <c r="X18" i="71"/>
  <c r="AA18" i="71"/>
  <c r="X13" i="71"/>
  <c r="AB10" i="71"/>
  <c r="N56" i="9"/>
  <c r="X24" i="71"/>
  <c r="AB15" i="71"/>
  <c r="AB17" i="71"/>
  <c r="AB12" i="71"/>
  <c r="AA10" i="71"/>
  <c r="AA14" i="71"/>
  <c r="Y11" i="71"/>
  <c r="Z11" i="71" s="1"/>
  <c r="Y22" i="71"/>
  <c r="Z22" i="71" s="1"/>
  <c r="X15" i="71"/>
  <c r="AB11" i="71"/>
  <c r="AA12" i="71"/>
  <c r="X12" i="71"/>
  <c r="X14" i="71"/>
  <c r="Y13" i="71"/>
  <c r="Z13" i="71" s="1"/>
  <c r="Y24" i="71"/>
  <c r="Z24" i="71" s="1"/>
  <c r="AB9" i="71"/>
  <c r="X11" i="71"/>
  <c r="Y12" i="71"/>
  <c r="Z12" i="71" s="1"/>
  <c r="AA9" i="71"/>
  <c r="K56" i="9"/>
  <c r="AA15" i="71"/>
  <c r="AB13" i="71"/>
  <c r="AB14" i="71"/>
  <c r="AA11"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8" i="6"/>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J6" i="15" s="1"/>
  <c r="F50" i="15"/>
  <c r="F51" i="15"/>
  <c r="F71" i="15"/>
  <c r="C6" i="15"/>
  <c r="L59" i="15"/>
  <c r="N59" i="15"/>
  <c r="L58" i="15"/>
  <c r="M59" i="15"/>
  <c r="F66" i="15"/>
  <c r="F64" i="15"/>
  <c r="C27" i="67"/>
  <c r="C27" i="15"/>
  <c r="F65" i="15"/>
  <c r="B13" i="70"/>
  <c r="F64" i="67"/>
  <c r="F68" i="15"/>
  <c r="C36" i="68"/>
  <c r="D9" i="68"/>
  <c r="D3" i="73"/>
  <c r="C16" i="15"/>
  <c r="F43" i="67"/>
  <c r="D9" i="69"/>
  <c r="F37" i="67"/>
  <c r="M6" i="67"/>
  <c r="M28" i="67"/>
  <c r="M26" i="67"/>
  <c r="F8" i="67"/>
  <c r="C36" i="69"/>
  <c r="F38" i="67"/>
  <c r="M9" i="67"/>
  <c r="M29" i="67"/>
  <c r="F6" i="67"/>
  <c r="F13" i="67"/>
  <c r="C76" i="67"/>
  <c r="F7" i="67"/>
  <c r="D5" i="73"/>
  <c r="L47" i="67"/>
  <c r="D7" i="73"/>
  <c r="D4" i="73"/>
  <c r="F40" i="67"/>
  <c r="U29" i="35" l="1"/>
  <c r="W29" i="35"/>
  <c r="AC29" i="35"/>
  <c r="AA29" i="35"/>
  <c r="C30" i="68"/>
  <c r="C48" i="68"/>
  <c r="F48" i="9"/>
  <c r="O52" i="9" s="1"/>
  <c r="F28" i="67"/>
  <c r="C28" i="67" s="1"/>
  <c r="F28" i="15"/>
  <c r="C28" i="15" s="1"/>
  <c r="F30" i="69"/>
  <c r="F31" i="12"/>
  <c r="C31" i="12" s="1"/>
  <c r="D68" i="9"/>
  <c r="F32" i="67"/>
  <c r="F60" i="67" s="1"/>
  <c r="G26" i="43"/>
  <c r="N94" i="46"/>
  <c r="F26" i="43"/>
  <c r="N370" i="46"/>
  <c r="H26" i="43"/>
  <c r="E26" i="43"/>
  <c r="G16" i="1"/>
  <c r="F10" i="39" s="1"/>
  <c r="AA10" i="39" s="1"/>
  <c r="F29" i="6"/>
  <c r="H16" i="1"/>
  <c r="P6" i="1"/>
  <c r="C13" i="12" s="1"/>
  <c r="Q16" i="1"/>
  <c r="F27" i="68" s="1"/>
  <c r="C6" i="67"/>
  <c r="F31" i="67"/>
  <c r="M7" i="67"/>
  <c r="J6" i="67" s="1"/>
  <c r="J18" i="67" s="1"/>
  <c r="F50" i="67"/>
  <c r="F66" i="67"/>
  <c r="F65" i="67"/>
  <c r="F51" i="67"/>
  <c r="F71" i="67"/>
  <c r="K1" i="73"/>
  <c r="F68" i="67"/>
  <c r="M59" i="67"/>
  <c r="L59" i="67"/>
  <c r="Q61" i="67" s="1"/>
  <c r="N59" i="67"/>
  <c r="L58" i="67"/>
  <c r="Q73" i="67" s="1"/>
  <c r="Q71" i="67"/>
  <c r="C32" i="71"/>
  <c r="D31" i="71"/>
  <c r="D27" i="71"/>
  <c r="C26" i="71"/>
  <c r="D26" i="71" s="1"/>
  <c r="AA26" i="37"/>
  <c r="S26" i="37"/>
  <c r="W32" i="34"/>
  <c r="AC32" i="34"/>
  <c r="AA29" i="33"/>
  <c r="S29" i="33"/>
  <c r="U28" i="21"/>
  <c r="AB28" i="21"/>
  <c r="AB35" i="39"/>
  <c r="U35" i="39"/>
  <c r="W28" i="33"/>
  <c r="AC28" i="33"/>
  <c r="AB36" i="35"/>
  <c r="U36" i="35"/>
  <c r="C20" i="71"/>
  <c r="D21" i="71"/>
  <c r="C36" i="71"/>
  <c r="D35" i="71"/>
  <c r="AZ253" i="3"/>
  <c r="AZ413" i="3"/>
  <c r="AZ542" i="3"/>
  <c r="AC26" i="37"/>
  <c r="W26" i="37"/>
  <c r="AA32" i="34"/>
  <c r="S32" i="34"/>
  <c r="W29" i="33"/>
  <c r="AC29" i="33"/>
  <c r="AA44" i="21"/>
  <c r="S44" i="21"/>
  <c r="W14" i="21"/>
  <c r="AC14" i="21"/>
  <c r="AA34" i="35"/>
  <c r="S34" i="35"/>
  <c r="U28" i="33"/>
  <c r="AB28" i="33"/>
  <c r="U31" i="40"/>
  <c r="AB31" i="40"/>
  <c r="W36" i="39"/>
  <c r="AC36" i="39"/>
  <c r="AC14" i="37"/>
  <c r="W14" i="37"/>
  <c r="AZ5" i="3"/>
  <c r="AY6" i="3" s="1"/>
  <c r="B15" i="71"/>
  <c r="B14" i="71" s="1"/>
  <c r="B13" i="71" s="1"/>
  <c r="B12" i="71" s="1"/>
  <c r="S16" i="71"/>
  <c r="AZ112" i="3"/>
  <c r="AZ55" i="3"/>
  <c r="AZ548" i="3"/>
  <c r="AA9" i="36"/>
  <c r="S9" i="36"/>
  <c r="S23" i="35"/>
  <c r="AA23" i="35"/>
  <c r="AB14" i="34"/>
  <c r="U14" i="34"/>
  <c r="W44" i="21"/>
  <c r="AC44" i="21"/>
  <c r="AB36" i="39"/>
  <c r="U36" i="39"/>
  <c r="AC30" i="21"/>
  <c r="W30" i="21"/>
  <c r="G5" i="3"/>
  <c r="B3" i="3" s="1"/>
  <c r="E108" i="3" s="1"/>
  <c r="AC34" i="35"/>
  <c r="W34" i="35"/>
  <c r="AB9" i="33"/>
  <c r="U9" i="33"/>
  <c r="AA27" i="21"/>
  <c r="S27" i="21"/>
  <c r="BA5" i="3"/>
  <c r="AA36" i="39"/>
  <c r="S36" i="39"/>
  <c r="AA14" i="37"/>
  <c r="S14" i="37"/>
  <c r="W13" i="21"/>
  <c r="AC13" i="21"/>
  <c r="E81" i="3"/>
  <c r="AC40" i="40"/>
  <c r="W40" i="40"/>
  <c r="AC31" i="40"/>
  <c r="W31" i="40"/>
  <c r="AB9" i="36"/>
  <c r="U9" i="36"/>
  <c r="AC23" i="35"/>
  <c r="W23" i="35"/>
  <c r="W14" i="34"/>
  <c r="AC14" i="34"/>
  <c r="AC28" i="21"/>
  <c r="W28" i="21"/>
  <c r="AZ504" i="3"/>
  <c r="AC36" i="35"/>
  <c r="W36" i="35"/>
  <c r="AC9" i="33"/>
  <c r="W9" i="33"/>
  <c r="W27" i="21"/>
  <c r="AC27" i="21"/>
  <c r="AB25" i="35"/>
  <c r="U25" i="35"/>
  <c r="AA13" i="21"/>
  <c r="S13" i="21"/>
  <c r="AA14" i="39"/>
  <c r="S14" i="39"/>
  <c r="AB14" i="37"/>
  <c r="U14" i="37"/>
  <c r="U13" i="21"/>
  <c r="AB13" i="21"/>
  <c r="D121" i="9"/>
  <c r="D7" i="52" s="1"/>
  <c r="D6" i="52"/>
  <c r="E15" i="71"/>
  <c r="E14" i="71" s="1"/>
  <c r="E13" i="71" s="1"/>
  <c r="E12" i="71" s="1"/>
  <c r="V16" i="71"/>
  <c r="E61" i="43"/>
  <c r="B59" i="43" s="1"/>
  <c r="C28" i="43" s="1"/>
  <c r="B116" i="43"/>
  <c r="Z7" i="43"/>
  <c r="E56" i="39"/>
  <c r="H7" i="34"/>
  <c r="AB7" i="34" s="1"/>
  <c r="T49" i="34" s="1"/>
  <c r="G49" i="34" s="1"/>
  <c r="E67" i="39"/>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H10" i="39"/>
  <c r="U10" i="39" s="1"/>
  <c r="F10" i="40"/>
  <c r="S10" i="40" s="1"/>
  <c r="H10" i="40"/>
  <c r="AB10" i="40" s="1"/>
  <c r="C7" i="43"/>
  <c r="C5" i="43" s="1"/>
  <c r="D10" i="52"/>
  <c r="D125" i="9"/>
  <c r="D11" i="52" s="1"/>
  <c r="B7" i="74"/>
  <c r="C7" i="74" s="1"/>
  <c r="F67" i="39"/>
  <c r="E69" i="39"/>
  <c r="H7" i="37"/>
  <c r="AB7" i="37" s="1"/>
  <c r="T42" i="37" s="1"/>
  <c r="G42" i="37" s="1"/>
  <c r="S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M11" i="67"/>
  <c r="J10" i="67" s="1"/>
  <c r="F11" i="15"/>
  <c r="M11" i="15"/>
  <c r="J10" i="15" s="1"/>
  <c r="J5" i="15" s="1"/>
  <c r="J24" i="15" s="1"/>
  <c r="F11" i="67"/>
  <c r="F1" i="15"/>
  <c r="Q52" i="15"/>
  <c r="C32" i="15"/>
  <c r="F1" i="67"/>
  <c r="Q52" i="67"/>
  <c r="Q60" i="15"/>
  <c r="Q73" i="15"/>
  <c r="Q74" i="15"/>
  <c r="Q61" i="15"/>
  <c r="AE11" i="1"/>
  <c r="AE9" i="1"/>
  <c r="AE7" i="1"/>
  <c r="AE8" i="1"/>
  <c r="AE12" i="1"/>
  <c r="AE10" i="1"/>
  <c r="C16" i="67"/>
  <c r="G1" i="73"/>
  <c r="AE6" i="1"/>
  <c r="F41" i="67" s="1"/>
  <c r="F27" i="69"/>
  <c r="F48" i="69" l="1"/>
  <c r="C30" i="69"/>
  <c r="C48" i="69"/>
  <c r="C47" i="69"/>
  <c r="D45" i="69" s="1"/>
  <c r="J10" i="40"/>
  <c r="AC10" i="40" s="1"/>
  <c r="J10" i="39"/>
  <c r="W10" i="39" s="1"/>
  <c r="F45" i="69"/>
  <c r="D26" i="43"/>
  <c r="C25" i="43" s="1"/>
  <c r="C29" i="69"/>
  <c r="D27" i="69" s="1"/>
  <c r="E29" i="6"/>
  <c r="F30" i="6"/>
  <c r="F31" i="6" s="1"/>
  <c r="E3" i="6"/>
  <c r="F28" i="12"/>
  <c r="C29" i="12" s="1"/>
  <c r="D28" i="12" s="1"/>
  <c r="F27" i="11"/>
  <c r="C29" i="11" s="1"/>
  <c r="D27" i="11" s="1"/>
  <c r="F59" i="67"/>
  <c r="J5" i="67"/>
  <c r="J24" i="67" s="1"/>
  <c r="M17" i="67"/>
  <c r="C49" i="67"/>
  <c r="Q74" i="67"/>
  <c r="B40" i="1"/>
  <c r="L36" i="43" s="1"/>
  <c r="N36" i="43" s="1"/>
  <c r="E536" i="3"/>
  <c r="E264" i="3"/>
  <c r="E100" i="3"/>
  <c r="E22" i="3"/>
  <c r="E401" i="3"/>
  <c r="E33" i="3"/>
  <c r="E300" i="3"/>
  <c r="B11" i="71"/>
  <c r="B10" i="71" s="1"/>
  <c r="B9" i="71" s="1"/>
  <c r="B8" i="71" s="1"/>
  <c r="B7" i="71" s="1"/>
  <c r="B6" i="71" s="1"/>
  <c r="B5" i="71" s="1"/>
  <c r="S12" i="71"/>
  <c r="E408" i="3"/>
  <c r="T36" i="71"/>
  <c r="D36" i="71"/>
  <c r="E11" i="71"/>
  <c r="E10" i="71" s="1"/>
  <c r="E9" i="71" s="1"/>
  <c r="E8" i="71" s="1"/>
  <c r="E7" i="71" s="1"/>
  <c r="E6" i="71" s="1"/>
  <c r="E5" i="71" s="1"/>
  <c r="V12" i="71"/>
  <c r="E510" i="3"/>
  <c r="E329" i="3"/>
  <c r="E188" i="3"/>
  <c r="E223" i="3"/>
  <c r="E116" i="3"/>
  <c r="E105" i="3"/>
  <c r="E493" i="3"/>
  <c r="E543" i="3"/>
  <c r="E427" i="3"/>
  <c r="E486" i="3"/>
  <c r="E507" i="3"/>
  <c r="E422" i="3"/>
  <c r="E440" i="3"/>
  <c r="E490" i="3"/>
  <c r="E376" i="3"/>
  <c r="AH6" i="3"/>
  <c r="J6" i="3"/>
  <c r="E498" i="3"/>
  <c r="E419" i="3"/>
  <c r="E483" i="3"/>
  <c r="E463" i="3"/>
  <c r="E40" i="3"/>
  <c r="E25" i="3"/>
  <c r="E178" i="3"/>
  <c r="E119" i="3"/>
  <c r="E202" i="3"/>
  <c r="E242" i="3"/>
  <c r="E226" i="3"/>
  <c r="E276" i="3"/>
  <c r="E346" i="3"/>
  <c r="E372" i="3"/>
  <c r="L6" i="3"/>
  <c r="E60" i="3"/>
  <c r="E43" i="3"/>
  <c r="E473" i="3"/>
  <c r="E455" i="3"/>
  <c r="E79" i="3"/>
  <c r="E170" i="3"/>
  <c r="E194" i="3"/>
  <c r="E234" i="3"/>
  <c r="E219" i="3"/>
  <c r="E299" i="3"/>
  <c r="E339" i="3"/>
  <c r="E392" i="3"/>
  <c r="AQ6" i="3"/>
  <c r="E52" i="3"/>
  <c r="E36" i="3"/>
  <c r="E112" i="3"/>
  <c r="E123" i="3"/>
  <c r="E147" i="3"/>
  <c r="E289" i="3"/>
  <c r="E340" i="3"/>
  <c r="E364" i="3"/>
  <c r="E50" i="3"/>
  <c r="E20" i="3"/>
  <c r="E62" i="3"/>
  <c r="E176" i="3"/>
  <c r="E218" i="3"/>
  <c r="E265" i="3"/>
  <c r="E524" i="3"/>
  <c r="E101" i="3"/>
  <c r="E539" i="3"/>
  <c r="E148" i="3"/>
  <c r="E212" i="3"/>
  <c r="E199" i="3"/>
  <c r="E286" i="3"/>
  <c r="E575" i="3"/>
  <c r="E499" i="3"/>
  <c r="R6" i="3"/>
  <c r="E442" i="3"/>
  <c r="E466" i="3"/>
  <c r="E541" i="3"/>
  <c r="E430" i="3"/>
  <c r="E449" i="3"/>
  <c r="E255" i="3"/>
  <c r="I3" i="6"/>
  <c r="AP6" i="3"/>
  <c r="E517" i="3"/>
  <c r="E435" i="3"/>
  <c r="E491" i="3"/>
  <c r="E417" i="3"/>
  <c r="E479" i="3"/>
  <c r="E56" i="3"/>
  <c r="E37" i="3"/>
  <c r="E95" i="3"/>
  <c r="E152" i="3"/>
  <c r="E132" i="3"/>
  <c r="E192" i="3"/>
  <c r="E258" i="3"/>
  <c r="E241" i="3"/>
  <c r="E292" i="3"/>
  <c r="E349" i="3"/>
  <c r="E544" i="3"/>
  <c r="E76" i="3"/>
  <c r="E59" i="3"/>
  <c r="E409" i="3"/>
  <c r="E484" i="3"/>
  <c r="E467" i="3"/>
  <c r="E64" i="3"/>
  <c r="E46" i="3"/>
  <c r="E103" i="3"/>
  <c r="E160" i="3"/>
  <c r="E142" i="3"/>
  <c r="E200" i="3"/>
  <c r="E267" i="3"/>
  <c r="E249" i="3"/>
  <c r="E492" i="3"/>
  <c r="E23" i="3"/>
  <c r="E144" i="3"/>
  <c r="E184" i="3"/>
  <c r="E233" i="3"/>
  <c r="E355" i="3"/>
  <c r="E68" i="3"/>
  <c r="E63" i="3"/>
  <c r="E118" i="3"/>
  <c r="E283" i="3"/>
  <c r="E21" i="3"/>
  <c r="E205" i="3"/>
  <c r="E296" i="3"/>
  <c r="E140" i="3"/>
  <c r="E244" i="3"/>
  <c r="E141" i="3"/>
  <c r="AD6" i="3"/>
  <c r="E552" i="3"/>
  <c r="E464" i="3"/>
  <c r="E398" i="3"/>
  <c r="E459" i="3"/>
  <c r="E566" i="3"/>
  <c r="E582" i="3"/>
  <c r="E460" i="3"/>
  <c r="E436" i="3"/>
  <c r="E90" i="3"/>
  <c r="E131" i="3"/>
  <c r="E155" i="3"/>
  <c r="E297" i="3"/>
  <c r="E348" i="3"/>
  <c r="E375" i="3"/>
  <c r="E58" i="3"/>
  <c r="E488" i="3"/>
  <c r="E521" i="3"/>
  <c r="E47" i="3"/>
  <c r="E65" i="3"/>
  <c r="E195" i="3"/>
  <c r="E248" i="3"/>
  <c r="E266" i="3"/>
  <c r="E386" i="3"/>
  <c r="E584" i="3"/>
  <c r="E24" i="3"/>
  <c r="E87" i="3"/>
  <c r="E250" i="3"/>
  <c r="E341" i="3"/>
  <c r="E154" i="3"/>
  <c r="E222" i="3"/>
  <c r="E373" i="3"/>
  <c r="E167" i="3"/>
  <c r="E312" i="3"/>
  <c r="E542" i="3"/>
  <c r="E487"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420" i="3"/>
  <c r="E235" i="3"/>
  <c r="E49" i="3"/>
  <c r="E370" i="3"/>
  <c r="E113" i="3"/>
  <c r="E326" i="3"/>
  <c r="E149" i="3"/>
  <c r="E369" i="3"/>
  <c r="E534" i="3"/>
  <c r="E405" i="3"/>
  <c r="E469" i="3"/>
  <c r="E360" i="3"/>
  <c r="E497" i="3"/>
  <c r="E494" i="3"/>
  <c r="E470" i="3"/>
  <c r="E26" i="3"/>
  <c r="E41" i="3"/>
  <c r="E198" i="3"/>
  <c r="E225" i="3"/>
  <c r="E243" i="3"/>
  <c r="E391" i="3"/>
  <c r="AL6" i="3"/>
  <c r="E428" i="3"/>
  <c r="E412" i="3"/>
  <c r="E96" i="3"/>
  <c r="E129" i="3"/>
  <c r="E174" i="3"/>
  <c r="E275" i="3"/>
  <c r="E324" i="3"/>
  <c r="E342" i="3"/>
  <c r="E35" i="3"/>
  <c r="E34" i="3"/>
  <c r="E206" i="3"/>
  <c r="E251" i="3"/>
  <c r="AF6" i="3"/>
  <c r="E80" i="3"/>
  <c r="E158" i="3"/>
  <c r="E308" i="3"/>
  <c r="E165" i="3"/>
  <c r="E173" i="3"/>
  <c r="E525" i="3"/>
  <c r="T6" i="3"/>
  <c r="E456" i="3"/>
  <c r="E512" i="3"/>
  <c r="E451" i="3"/>
  <c r="E556" i="3"/>
  <c r="E13" i="3"/>
  <c r="E452" i="3"/>
  <c r="E104" i="3"/>
  <c r="E115" i="3"/>
  <c r="E139" i="3"/>
  <c r="E281" i="3"/>
  <c r="E332" i="3"/>
  <c r="E356" i="3"/>
  <c r="E42" i="3"/>
  <c r="E75" i="3"/>
  <c r="E482" i="3"/>
  <c r="E18" i="3"/>
  <c r="E78" i="3"/>
  <c r="E190" i="3"/>
  <c r="E220" i="3"/>
  <c r="E383" i="3"/>
  <c r="E522" i="3"/>
  <c r="E86" i="3"/>
  <c r="E232" i="3"/>
  <c r="E102" i="3"/>
  <c r="E287" i="3"/>
  <c r="E83" i="3"/>
  <c r="E197" i="3"/>
  <c r="E137" i="3"/>
  <c r="E389" i="3"/>
  <c r="E393" i="3"/>
  <c r="E15"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381" i="3"/>
  <c r="E513" i="3"/>
  <c r="E37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65" i="3"/>
  <c r="E554" i="3"/>
  <c r="E564" i="3"/>
  <c r="E325" i="3"/>
  <c r="E363" i="3"/>
  <c r="E31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99" i="3"/>
  <c r="E16" i="3"/>
  <c r="E540" i="3"/>
  <c r="E309" i="3"/>
  <c r="E502" i="3"/>
  <c r="E33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47" i="3"/>
  <c r="E94" i="3"/>
  <c r="E425" i="3"/>
  <c r="E67" i="3"/>
  <c r="E65" i="39"/>
  <c r="E421" i="3"/>
  <c r="E38" i="3"/>
  <c r="C19" i="71"/>
  <c r="T20" i="71"/>
  <c r="D20" i="71"/>
  <c r="U20" i="71" s="1"/>
  <c r="E51" i="3"/>
  <c r="E84" i="3"/>
  <c r="D32" i="71"/>
  <c r="T3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67"/>
  <c r="M27" i="15"/>
  <c r="C48" i="67" l="1"/>
  <c r="K15" i="1"/>
  <c r="K16" i="1" s="1"/>
  <c r="E30" i="6"/>
  <c r="E31" i="6" s="1"/>
  <c r="AC6" i="3"/>
  <c r="H6" i="3"/>
  <c r="E6" i="3" s="1"/>
  <c r="M36" i="43"/>
  <c r="F24" i="67"/>
  <c r="C24" i="67" s="1"/>
  <c r="F24" i="15"/>
  <c r="C24" i="15" s="1"/>
  <c r="F22" i="69"/>
  <c r="F41" i="69" s="1"/>
  <c r="P36" i="43"/>
  <c r="F22" i="68"/>
  <c r="C23" i="68" s="1"/>
  <c r="F25" i="12"/>
  <c r="C26" i="12" s="1"/>
  <c r="D25" i="12" s="1"/>
  <c r="F22" i="11"/>
  <c r="C24" i="11" s="1"/>
  <c r="O36" i="43"/>
  <c r="L37" i="43"/>
  <c r="Q37" i="43" s="1"/>
  <c r="Q36" i="43"/>
  <c r="D116" i="43"/>
  <c r="C18" i="71"/>
  <c r="D19"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C17" i="67"/>
  <c r="D10" i="69"/>
  <c r="C14" i="67"/>
  <c r="C17" i="15"/>
  <c r="C26" i="68" l="1"/>
  <c r="D22" i="68" s="1"/>
  <c r="C44" i="68"/>
  <c r="D41" i="68" s="1"/>
  <c r="F41" i="68"/>
  <c r="C23" i="11"/>
  <c r="C26" i="11"/>
  <c r="D22" i="11" s="1"/>
  <c r="C44" i="11"/>
  <c r="D41" i="11" s="1"/>
  <c r="C44" i="69"/>
  <c r="D41" i="69" s="1"/>
  <c r="C25" i="11"/>
  <c r="C26" i="69"/>
  <c r="D22" i="69" s="1"/>
  <c r="M37" i="43"/>
  <c r="P37" i="43"/>
  <c r="N37" i="43"/>
  <c r="O37" i="43"/>
  <c r="C17" i="71"/>
  <c r="D18"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D17" i="71"/>
  <c r="C16"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5" i="71" l="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D15" i="71"/>
  <c r="C14"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D14" i="71" l="1"/>
  <c r="C13"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B3" i="69"/>
  <c r="C102" i="9" l="1"/>
  <c r="C21" i="9"/>
  <c r="C12" i="71"/>
  <c r="D13"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1" i="71"/>
  <c r="T12" i="71"/>
  <c r="D12" i="71"/>
  <c r="U12" i="7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L51" i="15"/>
  <c r="D2" i="37"/>
  <c r="D10" i="71" l="1"/>
  <c r="C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7" i="1"/>
  <c r="D19" i="9"/>
  <c r="AO11" i="1"/>
  <c r="AO6" i="1"/>
  <c r="AO10" i="1"/>
  <c r="AO9" i="1"/>
  <c r="D102" i="9" l="1"/>
  <c r="D21" i="9"/>
  <c r="D22" i="9"/>
  <c r="G19" i="9"/>
  <c r="G21" i="9" s="1"/>
  <c r="B3" i="35"/>
  <c r="L46" i="15"/>
  <c r="B2" i="15" s="1"/>
  <c r="B3" i="15" s="1"/>
  <c r="C8" i="71"/>
  <c r="D9"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c r="C34" i="9" s="1"/>
  <c r="D8" i="71"/>
  <c r="C7"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P57" i="9"/>
  <c r="N58" i="9"/>
  <c r="C73" i="9"/>
  <c r="B31" i="72"/>
  <c r="D52" i="9"/>
  <c r="D53" i="9"/>
  <c r="C78" i="9"/>
  <c r="C105" i="9"/>
  <c r="I4" i="52"/>
  <c r="B32" i="72"/>
  <c r="E81" i="9"/>
  <c r="C6" i="74"/>
  <c r="D15" i="53"/>
  <c r="B47" i="72"/>
  <c r="C81" i="9"/>
  <c r="H108" i="9"/>
  <c r="B48" i="72"/>
  <c r="E4" i="52"/>
  <c r="C104" i="9"/>
  <c r="H4" i="52"/>
  <c r="D8" i="52"/>
  <c r="M48" i="9"/>
  <c r="D4" i="52"/>
  <c r="C68" i="9"/>
  <c r="D54" i="9"/>
  <c r="B53" i="72"/>
  <c r="C96" i="9"/>
  <c r="E96" i="9"/>
  <c r="E97" i="9"/>
  <c r="N61" i="9"/>
  <c r="N57" i="9"/>
  <c r="N59" i="9"/>
  <c r="N60" i="9"/>
  <c r="D55" i="9"/>
  <c r="M53" i="9"/>
  <c r="C67" i="9"/>
  <c r="D59" i="9"/>
  <c r="M55" i="9"/>
  <c r="B30" i="72"/>
  <c r="D13" i="53"/>
  <c r="D14" i="53"/>
  <c r="F4" i="52"/>
  <c r="B51" i="72"/>
  <c r="C72" i="9"/>
  <c r="C79" i="9"/>
  <c r="C80" i="9"/>
  <c r="E80" i="9"/>
  <c r="B21" i="72"/>
  <c r="B49" i="72"/>
  <c r="C64" i="9"/>
  <c r="C63" i="9"/>
  <c r="B22" i="72"/>
  <c r="F119" i="9"/>
  <c r="F5" i="52"/>
  <c r="F118" i="9"/>
  <c r="G118" i="9"/>
  <c r="G4" i="52"/>
  <c r="B52" i="72"/>
  <c r="C85" i="9"/>
  <c r="C95" i="9"/>
  <c r="C97" i="9"/>
  <c r="D58" i="9"/>
  <c r="D56" i="9"/>
  <c r="M54" i="9"/>
  <c r="B20" i="72"/>
  <c r="D5" i="53"/>
  <c r="D6" i="53"/>
  <c r="D45" i="9"/>
  <c r="C93" i="9"/>
  <c r="C86" i="9"/>
  <c r="H119" i="9"/>
  <c r="H5" i="52"/>
  <c r="D7" i="53"/>
  <c r="H102" i="9"/>
  <c r="C5" i="74"/>
  <c r="H101" i="9"/>
  <c r="H107" i="9"/>
  <c r="D122" i="9"/>
  <c r="D123" i="9"/>
  <c r="D9" i="52"/>
  <c r="H118" i="9"/>
  <c r="I118" i="9"/>
  <c r="E118" i="9"/>
  <c r="D118" i="9"/>
  <c r="D119" i="9"/>
  <c r="D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<sst xmlns="http://schemas.openxmlformats.org/spreadsheetml/2006/main" count="7879" uniqueCount="3443">
  <si>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</si>
  <si>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</si>
  <si>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</si>
  <si>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</si>
  <si>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</si>
  <si>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</si>
  <si>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</si>
  <si>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</si>
  <si>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</si>
  <si>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</si>
  <si>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</si>
  <si>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</si>
  <si>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</si>
  <si>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</si>
  <si>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</si>
  <si>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</si>
  <si>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</si>
  <si>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</si>
  <si>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</si>
  <si>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</si>
  <si>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</si>
  <si>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</si>
  <si>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</si>
  <si>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</si>
  <si>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</si>
  <si>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</si>
  <si>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</si>
  <si>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</si>
  <si>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</si>
  <si>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</si>
  <si>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</si>
  <si>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</si>
  <si>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</si>
  <si>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</si>
  <si>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</si>
  <si>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</si>
  <si>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</si>
  <si>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</si>
  <si>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</si>
  <si>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</si>
  <si>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</si>
  <si>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</si>
  <si>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</si>
  <si>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</si>
  <si>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</si>
  <si>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</si>
  <si>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</si>
  <si>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</si>
  <si>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</si>
  <si>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</si>
  <si>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</si>
  <si>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</si>
  <si>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</si>
  <si>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</si>
  <si>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</si>
  <si>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</si>
  <si>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</si>
  <si>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</si>
  <si>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</si>
  <si>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</si>
  <si>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</si>
  <si>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</si>
  <si>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</si>
  <si>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</si>
  <si>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</si>
  <si>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</si>
  <si>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</si>
  <si>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</si>
  <si>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</si>
  <si>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</si>
  <si>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</si>
  <si>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</si>
  <si>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</si>
  <si>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</si>
  <si>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</si>
  <si>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</si>
  <si>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</si>
  <si>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</si>
  <si>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</si>
  <si>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</si>
  <si>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</si>
  <si>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</si>
  <si>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</si>
  <si>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</si>
  <si>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</si>
  <si>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</si>
  <si>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</si>
  <si>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</si>
  <si>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</si>
  <si>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</si>
  <si>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</si>
  <si>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</si>
  <si>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</si>
  <si>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</si>
  <si>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</si>
  <si>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</si>
  <si>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</si>
  <si>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</si>
  <si>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</si>
  <si>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</si>
  <si>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</si>
  <si>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</si>
  <si>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</si>
  <si>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</si>
  <si>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</si>
  <si>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</si>
  <si>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</si>
  <si>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</si>
  <si>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</si>
  <si>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</si>
  <si>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</si>
  <si>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</si>
  <si>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</si>
  <si>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</si>
  <si>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</si>
  <si>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</si>
  <si>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</si>
  <si>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</si>
  <si>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</si>
  <si>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</si>
  <si>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</si>
  <si>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</si>
  <si>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</si>
  <si>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</si>
  <si>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</si>
  <si>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</si>
  <si>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</si>
  <si>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</si>
  <si>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</si>
  <si>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</si>
  <si>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</si>
  <si>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</si>
  <si>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</si>
  <si>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</si>
  <si>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</si>
  <si>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</si>
  <si>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</si>
  <si>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</si>
  <si>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</si>
  <si>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</si>
  <si>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</si>
  <si>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</si>
  <si>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</si>
  <si>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</si>
  <si>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</si>
  <si>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</si>
  <si>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</si>
  <si>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</si>
  <si>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</si>
  <si>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</si>
  <si>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</si>
  <si>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</si>
  <si>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</si>
  <si>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</si>
  <si>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</si>
  <si>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</si>
  <si>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</si>
  <si>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</si>
  <si>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</si>
  <si>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</si>
  <si>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</si>
  <si>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</si>
  <si>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</si>
  <si>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</si>
  <si>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</si>
  <si>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</si>
  <si>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</si>
  <si>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</si>
  <si>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</si>
  <si>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</si>
  <si>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</si>
  <si>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</si>
  <si>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</si>
  <si>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</si>
  <si>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</si>
  <si>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</si>
  <si>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</si>
  <si>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</si>
  <si>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</si>
  <si>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</si>
  <si>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</si>
  <si>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</si>
  <si>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</si>
  <si>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</si>
  <si>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</si>
  <si>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</si>
  <si>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</si>
  <si>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</si>
  <si>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</si>
  <si>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</si>
  <si>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</si>
  <si>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</si>
  <si>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</si>
  <si>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</si>
  <si>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</si>
  <si>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</si>
  <si>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</si>
  <si>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</si>
  <si>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</si>
  <si>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</si>
  <si>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</si>
  <si>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</si>
  <si>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</si>
  <si>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</si>
  <si>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</si>
  <si>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</si>
  <si>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</si>
  <si>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</si>
  <si>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</si>
  <si>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</si>
  <si>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</si>
  <si>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</si>
  <si>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</si>
  <si>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</si>
  <si>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</si>
  <si>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</si>
  <si>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</si>
  <si>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</si>
  <si>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</si>
  <si>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</si>
  <si>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</si>
  <si>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</si>
  <si>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</si>
  <si>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</si>
  <si>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</si>
  <si>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</si>
  <si>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</si>
  <si>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</si>
  <si>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</si>
  <si>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</si>
  <si>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</si>
  <si>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</si>
  <si>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</si>
  <si>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</si>
  <si>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</si>
  <si>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</si>
  <si>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</si>
  <si>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</si>
  <si>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</si>
  <si>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</si>
  <si>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</si>
  <si>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</si>
  <si>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</si>
  <si>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</si>
  <si>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</si>
  <si>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</si>
  <si>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</si>
  <si>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</si>
  <si>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</si>
  <si>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</si>
  <si>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</si>
  <si>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</si>
  <si>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</si>
  <si>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</si>
  <si>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</si>
  <si>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</si>
  <si>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</si>
  <si>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</si>
  <si>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</si>
  <si>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</si>
  <si>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</si>
  <si>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</si>
  <si>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</si>
  <si>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</si>
  <si>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</si>
  <si>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</si>
  <si>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</si>
  <si>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</si>
  <si>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</si>
  <si>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</si>
  <si>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</si>
  <si>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</si>
  <si>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</si>
  <si>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</si>
  <si>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</si>
  <si>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</si>
  <si>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</si>
  <si>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</si>
  <si>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</si>
  <si>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</si>
  <si>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</si>
  <si>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</si>
  <si>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</si>
  <si>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</si>
  <si>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</si>
  <si>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</si>
  <si>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</si>
  <si>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</si>
  <si>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</si>
  <si>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</si>
  <si>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</si>
  <si>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</si>
  <si>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</si>
  <si>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</si>
  <si>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</si>
  <si>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</si>
  <si>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</si>
  <si>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</si>
  <si>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</si>
  <si>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</si>
  <si>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</si>
  <si>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</si>
  <si>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</si>
  <si>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</si>
  <si>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</si>
  <si>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</si>
  <si>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</si>
  <si>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</si>
  <si>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</si>
  <si>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</si>
  <si>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</si>
  <si>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</si>
  <si>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</si>
  <si>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</si>
  <si>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</si>
  <si>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</si>
  <si>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</si>
  <si>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</si>
  <si>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</si>
  <si>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</si>
  <si>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</si>
  <si>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</si>
  <si>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</si>
  <si>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</si>
  <si>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</si>
  <si>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</si>
  <si>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</si>
  <si>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</si>
  <si>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</si>
  <si>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</si>
  <si>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</si>
  <si>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</si>
  <si>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</si>
  <si>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</si>
  <si>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</si>
  <si>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</si>
  <si>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</si>
  <si>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</si>
  <si>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</si>
  <si>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</si>
  <si>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</si>
  <si>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</si>
  <si>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</si>
  <si>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</si>
  <si>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</si>
  <si>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</si>
  <si>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</si>
  <si>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</si>
  <si>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</si>
  <si>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</si>
  <si>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</si>
  <si>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</si>
  <si>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</si>
  <si>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</si>
  <si>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</si>
  <si>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</si>
  <si>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</si>
  <si>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</si>
  <si>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</si>
  <si>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</si>
  <si>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</si>
  <si>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</si>
  <si>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</si>
  <si>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</si>
  <si>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</si>
  <si>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</si>
  <si>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</si>
  <si>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</si>
  <si>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</si>
  <si>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</si>
  <si>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</si>
  <si>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</si>
  <si>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</si>
  <si>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</si>
  <si>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</si>
  <si>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</si>
  <si>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</si>
  <si>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</si>
  <si>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</si>
  <si>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</si>
  <si>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</si>
  <si>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</si>
  <si>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</si>
  <si>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</si>
  <si>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</si>
  <si>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</si>
  <si>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</si>
  <si>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</si>
  <si>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</si>
  <si>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</si>
  <si>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</si>
  <si>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</si>
  <si>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</si>
  <si>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</si>
  <si>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</si>
  <si>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</si>
  <si>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</si>
  <si>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</si>
  <si>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</si>
  <si>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</si>
  <si>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</si>
  <si>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</si>
  <si>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</si>
  <si>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</si>
  <si>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</si>
  <si>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</si>
  <si>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</si>
  <si>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</si>
  <si>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</si>
  <si>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</si>
  <si>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</si>
  <si>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</si>
  <si>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</si>
  <si>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</si>
  <si>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</si>
  <si>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</si>
  <si>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</si>
  <si>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</si>
  <si>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</si>
  <si>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</si>
  <si>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</si>
  <si>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</si>
  <si>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</si>
  <si>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</si>
  <si>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</si>
  <si>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</si>
  <si>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</si>
  <si>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</si>
  <si>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</si>
  <si>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</si>
  <si>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</si>
  <si>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</si>
  <si>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</si>
  <si>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</si>
  <si>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</si>
  <si>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</si>
  <si>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</si>
  <si>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</si>
  <si>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</si>
  <si>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</si>
  <si>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</si>
  <si>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</si>
  <si>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</si>
  <si>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</si>
  <si>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</si>
  <si>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</si>
  <si>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</si>
  <si>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</si>
  <si>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</si>
  <si>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</si>
  <si>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</si>
  <si>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</si>
  <si>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</si>
  <si>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</si>
  <si>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</si>
  <si>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</si>
  <si>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</si>
  <si>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</si>
  <si>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</si>
  <si>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</si>
  <si>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</si>
  <si>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</si>
  <si>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</si>
  <si>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</si>
  <si>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</si>
  <si>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</si>
  <si>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</si>
  <si>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</si>
  <si>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</si>
  <si>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</si>
  <si>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</si>
  <si>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</si>
  <si>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</si>
  <si>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</si>
  <si>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</si>
  <si>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</si>
  <si>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</si>
  <si>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</si>
  <si>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</si>
  <si>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</si>
  <si>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</si>
  <si>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</si>
  <si>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</si>
  <si>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</si>
  <si>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</si>
  <si>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</si>
  <si>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</si>
  <si>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</si>
  <si>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</si>
  <si>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</si>
  <si>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</si>
  <si>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</si>
  <si>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</si>
  <si>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</si>
  <si>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</si>
  <si>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</si>
  <si>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</si>
  <si>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</si>
  <si>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</si>
  <si>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</si>
  <si>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</si>
  <si>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</si>
  <si>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</si>
  <si>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</si>
  <si>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</si>
  <si>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</si>
  <si>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</si>
  <si>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</si>
  <si>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</si>
  <si>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</si>
  <si>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</si>
  <si>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</si>
  <si>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</si>
  <si>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</si>
  <si>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</si>
  <si>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</si>
  <si>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</si>
  <si>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</si>
  <si>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</si>
  <si>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</si>
  <si>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</si>
  <si>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</si>
  <si>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</si>
  <si>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</si>
  <si>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</si>
  <si>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</si>
  <si>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</si>
  <si>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</si>
  <si>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</si>
  <si>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</si>
  <si>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</si>
  <si>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</si>
  <si>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</si>
  <si>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</si>
  <si>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</si>
  <si>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</si>
  <si>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</si>
  <si>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</si>
  <si>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</si>
  <si>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</si>
  <si>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</si>
  <si>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</si>
  <si>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</si>
  <si>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</si>
  <si>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</si>
  <si>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</si>
  <si>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</si>
  <si>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</si>
  <si>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</si>
  <si>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</si>
  <si>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</si>
  <si>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</si>
  <si>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</si>
  <si>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</si>
  <si>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</si>
  <si>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</si>
  <si>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</si>
  <si>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</si>
  <si>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</si>
  <si>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</si>
  <si>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</si>
  <si>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</si>
  <si>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</si>
  <si>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</si>
  <si>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</si>
  <si>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</si>
  <si>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</si>
  <si>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</si>
  <si>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</si>
  <si>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</si>
  <si>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</si>
  <si>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</si>
  <si>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</si>
  <si>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</si>
  <si>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</si>
  <si>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</si>
  <si>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</si>
  <si>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</si>
  <si>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</si>
  <si>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</si>
  <si>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</si>
  <si>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</si>
  <si>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</si>
  <si>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</si>
  <si>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</si>
  <si>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</si>
  <si>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</si>
  <si>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</si>
  <si>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</si>
  <si>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</si>
  <si>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</si>
  <si>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</si>
  <si>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</si>
  <si>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</si>
  <si>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</si>
  <si>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</si>
  <si>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</si>
  <si>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</si>
  <si>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</si>
  <si>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</si>
  <si>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</si>
  <si>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</si>
  <si>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</si>
  <si>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</si>
  <si>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</si>
  <si>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</si>
  <si>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</si>
  <si>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</si>
  <si>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</si>
  <si>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</si>
  <si>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</si>
  <si>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</si>
  <si>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</si>
  <si>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</si>
  <si>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</si>
  <si>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</si>
  <si>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</si>
  <si>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</si>
  <si>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</si>
  <si>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</si>
  <si>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</si>
  <si>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</si>
  <si>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</si>
  <si>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</si>
  <si>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</si>
  <si>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</si>
  <si>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</si>
  <si>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</si>
  <si>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</si>
  <si>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</si>
  <si>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</si>
  <si>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</si>
  <si>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</si>
  <si>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</si>
  <si>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</si>
  <si>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</si>
  <si>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</si>
  <si>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</si>
  <si>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</si>
  <si>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</si>
  <si>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</si>
  <si>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</si>
  <si>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</si>
  <si>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</si>
  <si>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</si>
  <si>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</si>
  <si>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</si>
  <si>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</si>
  <si>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</si>
  <si>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</si>
  <si>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</si>
  <si>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</si>
  <si>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</si>
  <si>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</si>
  <si>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</si>
  <si>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</si>
  <si>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</si>
  <si>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</si>
  <si>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</si>
  <si>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</si>
  <si>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</si>
  <si>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</si>
  <si>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</si>
  <si>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</si>
  <si>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</si>
  <si>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</si>
  <si>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</si>
  <si>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</si>
  <si>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</si>
  <si>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</si>
  <si>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</si>
  <si>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</si>
  <si>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</si>
  <si>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</si>
  <si>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</si>
  <si>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</si>
  <si>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</si>
  <si>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</si>
  <si>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</si>
  <si>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</si>
  <si>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</si>
  <si>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</si>
  <si>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</si>
  <si>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</si>
  <si>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</si>
  <si>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</si>
  <si>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</si>
  <si>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</si>
  <si>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</si>
  <si>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</si>
  <si>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</si>
  <si>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</si>
  <si>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</si>
  <si>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</si>
  <si>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</si>
  <si>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</si>
  <si>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</si>
  <si>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</si>
  <si>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</si>
  <si>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</si>
  <si>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</si>
  <si>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</si>
  <si>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</si>
  <si>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</si>
  <si>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</si>
  <si>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</si>
  <si>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</si>
  <si>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</si>
  <si>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</si>
  <si>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</si>
  <si>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</si>
  <si>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</si>
  <si>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</si>
  <si>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</si>
  <si>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</si>
  <si>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</si>
  <si>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</si>
  <si>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</si>
  <si>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</si>
  <si>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</si>
  <si>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</si>
  <si>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</si>
  <si>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</si>
  <si>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</si>
  <si>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</si>
  <si>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</si>
  <si>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</si>
  <si>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</si>
  <si>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</si>
  <si>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</si>
  <si>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</si>
  <si>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</si>
  <si>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</si>
  <si>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</si>
  <si>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</si>
  <si>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</si>
  <si>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</si>
  <si>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</si>
  <si>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</si>
  <si>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</si>
  <si>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</si>
  <si>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</si>
  <si>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</si>
  <si>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</si>
  <si>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</si>
  <si>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</si>
  <si>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</si>
  <si>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</si>
  <si>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</si>
  <si>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</si>
  <si>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</si>
  <si>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</si>
  <si>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</si>
  <si>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</si>
  <si>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</si>
  <si>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</si>
  <si>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</si>
  <si>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</si>
  <si>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</si>
  <si>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</si>
  <si>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</si>
  <si>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</si>
  <si>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</si>
  <si>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</si>
  <si>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</si>
  <si>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</si>
  <si>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</si>
  <si>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</si>
  <si>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</si>
  <si>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</si>
  <si>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</si>
  <si>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</si>
  <si>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</si>
  <si>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</si>
  <si>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</si>
  <si>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</si>
  <si>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</si>
  <si>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</si>
  <si>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</si>
  <si>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</si>
  <si>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</si>
  <si>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</si>
  <si>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</si>
  <si>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</si>
  <si>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</si>
  <si>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</si>
  <si>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</si>
  <si>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</si>
  <si>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</si>
  <si>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</si>
  <si>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</si>
  <si>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</si>
  <si>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</si>
  <si>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</si>
  <si>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</si>
  <si>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</si>
  <si>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</si>
  <si>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</si>
  <si>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</si>
  <si>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</si>
  <si>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</si>
  <si>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</si>
  <si>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</si>
  <si>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</si>
  <si>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</si>
  <si>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</si>
  <si>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</si>
  <si>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</si>
  <si>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</si>
  <si>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</si>
  <si>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</si>
  <si>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</si>
  <si>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</si>
  <si>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</si>
  <si>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</si>
  <si>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</si>
  <si>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</si>
  <si>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</si>
  <si>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</si>
  <si>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</si>
  <si>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</si>
  <si>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</si>
  <si>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</si>
  <si>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</si>
  <si>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</si>
  <si>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</si>
  <si>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</si>
  <si>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</si>
  <si>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</si>
  <si>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</si>
  <si>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</si>
  <si>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</si>
  <si>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</si>
  <si>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</si>
  <si>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</si>
  <si>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</si>
  <si>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</si>
  <si>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</si>
  <si>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</si>
  <si>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</si>
  <si>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</si>
  <si>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</si>
  <si>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</si>
  <si>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</si>
  <si>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</si>
  <si>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</si>
  <si>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</si>
  <si>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</si>
  <si>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</si>
  <si>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</si>
  <si>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</si>
  <si>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</si>
  <si>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</si>
  <si>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</si>
  <si>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</si>
  <si>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</si>
  <si>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</si>
  <si>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</si>
  <si>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</si>
  <si>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</si>
  <si>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</si>
  <si>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</si>
  <si>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</si>
  <si>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</si>
  <si>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</si>
  <si>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</si>
  <si>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</si>
  <si>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</si>
  <si>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</si>
  <si>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</si>
  <si>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</si>
  <si>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</si>
  <si>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</si>
  <si>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</si>
  <si>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</si>
  <si>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</si>
  <si>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</si>
  <si>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</si>
  <si>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</si>
  <si>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</si>
  <si>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</si>
  <si>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</si>
  <si>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</si>
  <si>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</si>
  <si>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</si>
  <si>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</si>
  <si>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</si>
  <si>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</si>
  <si>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</si>
  <si>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</si>
  <si>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</si>
  <si>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</si>
  <si>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</si>
  <si>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</si>
  <si>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</si>
  <si>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</si>
  <si>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</si>
  <si>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</si>
  <si>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</si>
  <si>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</si>
  <si>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</si>
  <si>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</si>
  <si>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</si>
  <si>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</si>
  <si>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</si>
  <si>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</si>
  <si>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</si>
  <si>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</si>
  <si>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</si>
  <si>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</si>
  <si>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</si>
  <si>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</si>
  <si>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</si>
  <si>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</si>
  <si>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</si>
  <si>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</si>
  <si>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</si>
  <si>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</si>
  <si>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</si>
  <si>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</si>
  <si>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</si>
  <si>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</si>
  <si>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</si>
  <si>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</si>
  <si>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</si>
  <si>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</si>
  <si>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</si>
  <si>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</si>
  <si>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</si>
  <si>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</si>
  <si>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</si>
  <si>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</si>
  <si>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</si>
  <si>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</si>
  <si>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</si>
  <si>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</si>
  <si>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</si>
  <si>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</si>
  <si>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</si>
  <si>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</si>
  <si>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</si>
  <si>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</si>
  <si>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</si>
  <si>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</si>
  <si>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</si>
  <si>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</si>
  <si>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</si>
  <si>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</si>
  <si>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</si>
  <si>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</si>
  <si>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</si>
  <si>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</si>
  <si>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</si>
  <si>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</si>
  <si>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</si>
  <si>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</si>
  <si>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</si>
  <si>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</si>
  <si>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</si>
  <si>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</si>
  <si>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</si>
  <si>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</si>
  <si>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</si>
  <si>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</si>
  <si>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</si>
  <si>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</si>
  <si>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</si>
  <si>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</si>
  <si>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</si>
  <si>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</si>
  <si>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</si>
  <si>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</si>
  <si>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</si>
  <si>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</si>
  <si>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</si>
  <si>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</si>
  <si>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</si>
  <si>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</si>
  <si>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</si>
  <si>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</si>
  <si>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</si>
  <si>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</si>
  <si>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</si>
  <si>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</si>
  <si>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</si>
  <si>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</si>
  <si>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</si>
  <si>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</si>
  <si>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</si>
  <si>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</si>
  <si>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</si>
  <si>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</si>
  <si>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</si>
  <si>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</si>
  <si>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</si>
  <si>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</si>
  <si>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</si>
  <si>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</si>
  <si>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</si>
  <si>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</si>
  <si>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</si>
  <si>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</si>
  <si>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</si>
  <si>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</si>
  <si>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</si>
  <si>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</si>
  <si>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</si>
  <si>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</si>
  <si>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</si>
  <si>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</si>
  <si>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</si>
  <si>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</si>
  <si>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</si>
  <si>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</si>
  <si>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</si>
  <si>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</si>
  <si>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</si>
  <si>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</si>
  <si>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</si>
  <si>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</si>
  <si>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</si>
  <si>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</si>
  <si>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</si>
  <si>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</si>
  <si>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</si>
  <si>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</si>
  <si>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</si>
  <si>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</si>
  <si>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</si>
  <si>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</si>
  <si>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</si>
  <si>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</si>
  <si>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</si>
  <si>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</si>
  <si>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</si>
  <si>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</si>
  <si>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</si>
  <si>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</si>
  <si>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</si>
  <si>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</si>
  <si>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</si>
  <si>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</si>
  <si>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</si>
  <si>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</si>
  <si>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</si>
  <si>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</si>
  <si>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</si>
  <si>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</si>
  <si>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</si>
  <si>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</si>
  <si>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</si>
  <si>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</si>
  <si>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</si>
  <si>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</si>
  <si>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</si>
  <si>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</si>
  <si>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</si>
  <si>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</si>
  <si>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</si>
  <si>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</si>
  <si>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</si>
  <si>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</si>
  <si>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</si>
  <si>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</si>
  <si>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</si>
  <si>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</si>
  <si>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</si>
  <si>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</si>
  <si>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</si>
  <si>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</si>
  <si>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</si>
  <si>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</si>
  <si>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</si>
  <si>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</si>
  <si>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</si>
  <si>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</si>
  <si>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</si>
  <si>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</si>
  <si>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</si>
  <si>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</si>
  <si>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</si>
  <si>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</si>
  <si>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</si>
  <si>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</si>
  <si>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</si>
  <si>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</si>
  <si>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</si>
  <si>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</si>
  <si>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</si>
  <si>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</si>
  <si>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</si>
  <si>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</si>
  <si>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</si>
  <si>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</si>
  <si>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</si>
  <si>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</si>
  <si>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</si>
  <si>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</si>
  <si>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</si>
  <si>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</si>
  <si>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</si>
  <si>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</si>
  <si>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</si>
  <si>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</si>
  <si>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</si>
  <si>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</si>
  <si>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</si>
  <si>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</si>
  <si>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</si>
  <si>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</si>
  <si>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</si>
  <si>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</si>
  <si>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</si>
  <si>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</si>
  <si>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</si>
  <si>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</si>
  <si>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</si>
  <si>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</si>
  <si>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</si>
  <si>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</si>
  <si>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</si>
  <si>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</si>
  <si>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</si>
  <si>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</si>
  <si>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</si>
  <si>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</si>
  <si>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</si>
  <si>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</si>
  <si>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</si>
  <si>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</si>
  <si>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</si>
  <si>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</si>
  <si>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</si>
  <si>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</si>
  <si>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</si>
  <si>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</si>
  <si>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</si>
  <si>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</si>
  <si>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</si>
  <si>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</si>
  <si>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</si>
  <si>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</si>
  <si>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</si>
  <si>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</si>
  <si>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</si>
  <si>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</si>
  <si>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</si>
  <si>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</si>
  <si>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</si>
  <si>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</si>
  <si>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</si>
  <si>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</si>
  <si>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</si>
  <si>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</si>
  <si>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</si>
  <si>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</si>
  <si>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</si>
  <si>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</si>
  <si>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</si>
  <si>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</si>
  <si>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</si>
  <si>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</si>
  <si>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</si>
  <si>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</si>
  <si>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</si>
  <si>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</si>
  <si>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</si>
  <si>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</si>
  <si>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</si>
  <si>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</si>
  <si>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</si>
  <si>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</si>
  <si>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</si>
  <si>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</si>
  <si>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</si>
  <si>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</si>
  <si>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</si>
  <si>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</si>
  <si>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</si>
  <si>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</si>
  <si>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</si>
  <si>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</si>
  <si>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</si>
  <si>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</si>
  <si>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</si>
  <si>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</si>
  <si>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</si>
  <si>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</si>
  <si>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</si>
  <si>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</si>
  <si>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</si>
  <si>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</si>
  <si>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</si>
  <si>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</si>
  <si>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</si>
  <si>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</si>
  <si>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</si>
  <si>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</si>
  <si>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</si>
  <si>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</si>
  <si>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</si>
  <si>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</si>
  <si>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</si>
  <si>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</si>
  <si>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</si>
  <si>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</si>
  <si>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</si>
  <si>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</si>
  <si>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</si>
  <si>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</si>
  <si>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</si>
  <si>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</si>
  <si>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</si>
  <si>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</si>
  <si>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</si>
  <si>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</si>
  <si>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</si>
  <si>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</si>
  <si>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</si>
  <si>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</si>
  <si>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</si>
  <si>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</si>
  <si>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</si>
  <si>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</si>
  <si>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</si>
  <si>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</si>
  <si>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</si>
  <si>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</si>
  <si>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</si>
  <si>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</si>
  <si>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</si>
  <si>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</si>
  <si>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</si>
  <si>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</si>
  <si>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</si>
  <si>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</si>
  <si>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</si>
  <si>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</si>
  <si>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</si>
  <si>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</si>
  <si>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</si>
  <si>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</si>
  <si>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</si>
  <si>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</si>
  <si>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</si>
  <si>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</si>
  <si>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</si>
  <si>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</si>
  <si>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</si>
  <si>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</si>
  <si>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</si>
  <si>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</si>
  <si>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</si>
  <si>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</si>
  <si>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</si>
  <si>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</si>
  <si>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</si>
  <si>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</si>
  <si>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</si>
  <si>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</si>
  <si>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</si>
  <si>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</si>
  <si>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</si>
  <si>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</si>
  <si>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</si>
  <si>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</si>
  <si>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</si>
  <si>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</si>
  <si>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</si>
  <si>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</si>
  <si>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</si>
  <si>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</si>
  <si>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</si>
  <si>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</si>
  <si>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</si>
  <si>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</si>
  <si>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</si>
  <si>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</si>
  <si>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</si>
  <si>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</si>
  <si>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</si>
  <si>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</si>
  <si>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</si>
  <si>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</si>
  <si>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</si>
  <si>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</si>
  <si>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</si>
  <si>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</si>
  <si>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</si>
  <si>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</si>
  <si>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</si>
  <si>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</si>
  <si>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</si>
  <si>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</si>
  <si>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</si>
  <si>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</si>
  <si>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</si>
  <si>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</si>
  <si>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</si>
  <si>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</si>
  <si>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</si>
  <si>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</si>
  <si>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</si>
  <si>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</si>
  <si>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</si>
  <si>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</si>
  <si>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</si>
  <si>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</si>
  <si>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</si>
  <si>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</si>
  <si>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</si>
  <si>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</si>
  <si>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</si>
  <si>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</si>
  <si>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</si>
  <si>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</si>
  <si>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</si>
  <si>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</si>
  <si>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</si>
  <si>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</si>
  <si>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</si>
  <si>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</si>
  <si>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</si>
  <si>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</si>
  <si>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</si>
  <si>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</si>
  <si>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</si>
  <si>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</si>
  <si>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</si>
  <si>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</si>
  <si>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</si>
  <si>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</si>
  <si>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</si>
  <si>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</si>
  <si>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</si>
  <si>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</si>
  <si>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</si>
  <si>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</si>
  <si>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</si>
  <si>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</si>
  <si>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</si>
  <si>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</si>
  <si>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</si>
  <si>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</si>
  <si>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</si>
  <si>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</si>
  <si>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</si>
  <si>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</si>
  <si>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</si>
  <si>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</si>
  <si>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</si>
  <si>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</si>
  <si>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</si>
  <si>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</si>
  <si>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</si>
  <si>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</si>
  <si>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</si>
  <si>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</si>
  <si>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</si>
  <si>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</si>
  <si>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</si>
  <si>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</si>
  <si>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</si>
  <si>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</si>
  <si>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</si>
  <si>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</si>
  <si>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</si>
  <si>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</si>
  <si>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</si>
  <si>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</si>
  <si>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</si>
  <si>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</si>
  <si>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</si>
  <si>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</si>
  <si>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</si>
  <si>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</si>
  <si>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</si>
  <si>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</si>
  <si>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</si>
  <si>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</si>
  <si>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</si>
  <si>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</si>
  <si>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</si>
  <si>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</si>
  <si>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</si>
  <si>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</si>
  <si>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</si>
  <si>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</si>
  <si>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</si>
  <si>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</si>
  <si>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</si>
  <si>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</si>
  <si>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</si>
  <si>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</si>
  <si>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</si>
  <si>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</si>
  <si>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</si>
  <si>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</si>
  <si>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</si>
  <si>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</si>
  <si>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</si>
  <si>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</si>
  <si>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</si>
  <si>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</si>
  <si>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</si>
  <si>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</si>
  <si>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</si>
  <si>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</si>
  <si>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</si>
  <si>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</si>
  <si>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</si>
  <si>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</si>
  <si>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</si>
  <si>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</si>
  <si>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</si>
  <si>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</si>
  <si>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</si>
  <si>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</si>
  <si>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</si>
  <si>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</si>
  <si>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</si>
  <si>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</si>
  <si>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</si>
  <si>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</si>
  <si>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</si>
  <si>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</si>
  <si>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</si>
  <si>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</si>
  <si>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</si>
  <si>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</si>
  <si>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</si>
  <si>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</si>
  <si>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</si>
  <si>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</si>
  <si>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</si>
  <si>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</si>
  <si>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</si>
  <si>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</si>
  <si>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</si>
  <si>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</si>
  <si>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</si>
  <si>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</si>
  <si>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</si>
  <si>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</si>
  <si>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</si>
  <si>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</si>
  <si>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</si>
  <si>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</si>
  <si>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</si>
  <si>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</si>
  <si>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</si>
  <si>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</si>
  <si>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</si>
  <si>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</si>
  <si>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</si>
  <si>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</si>
  <si>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</si>
  <si>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</si>
  <si>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</si>
  <si>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</si>
  <si>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</si>
  <si>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</si>
  <si>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</si>
  <si>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</si>
  <si>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</si>
  <si>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</si>
  <si>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</si>
  <si>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</si>
  <si>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</si>
  <si>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</si>
  <si>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</si>
  <si>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</si>
  <si>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</si>
  <si>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</si>
  <si>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</si>
  <si>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</si>
  <si>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</si>
  <si>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</si>
  <si>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</si>
  <si>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</si>
  <si>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</si>
  <si>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</si>
  <si>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</si>
  <si>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</si>
  <si>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</si>
  <si>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</si>
  <si>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</si>
  <si>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</si>
  <si>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</si>
  <si>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</si>
  <si>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</si>
  <si>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</si>
  <si>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</si>
  <si>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</si>
  <si>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</si>
  <si>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</si>
  <si>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</si>
  <si>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</si>
  <si>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</si>
  <si>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</si>
  <si>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</si>
  <si>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</si>
  <si>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</si>
  <si>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</si>
  <si>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</si>
  <si>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</si>
  <si>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</si>
  <si>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</si>
  <si>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</si>
  <si>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</si>
  <si>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</si>
  <si>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</si>
  <si>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</si>
  <si>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</si>
  <si>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</si>
  <si>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</si>
  <si>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</si>
  <si>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</si>
  <si>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</si>
  <si>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</si>
  <si>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</si>
  <si>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</si>
  <si>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</si>
  <si>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</si>
  <si>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</si>
  <si>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</si>
  <si>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</si>
  <si>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</si>
  <si>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</si>
  <si>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</si>
  <si>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</si>
  <si>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</si>
  <si>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</si>
  <si>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</si>
  <si>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</si>
  <si>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</si>
  <si>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</si>
  <si>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</si>
  <si>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</si>
  <si>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</si>
  <si>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</si>
  <si>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</si>
  <si>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</si>
  <si>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</si>
  <si>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</si>
  <si>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</si>
  <si>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</si>
  <si>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</si>
  <si>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</si>
  <si>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</si>
  <si>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</si>
  <si>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</si>
  <si>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</si>
  <si>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</si>
  <si>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</si>
  <si>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</si>
  <si>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</si>
  <si>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</si>
  <si>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</si>
  <si>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</si>
  <si>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</si>
  <si>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</si>
  <si>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</si>
  <si>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</si>
  <si>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</si>
  <si>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</si>
  <si>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</si>
  <si>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</si>
  <si>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</si>
  <si>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</si>
  <si>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</si>
  <si>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</si>
  <si>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</si>
  <si>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</si>
  <si>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</si>
  <si>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</si>
  <si>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</si>
  <si>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</si>
  <si>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</si>
  <si>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</si>
  <si>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</si>
  <si>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</si>
  <si>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</si>
  <si>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</si>
  <si>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</si>
  <si>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</si>
  <si>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</si>
  <si>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</si>
  <si>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</si>
  <si>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</si>
  <si>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</si>
  <si>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</si>
  <si>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</si>
  <si>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</si>
  <si>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</si>
  <si>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</si>
  <si>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</si>
  <si>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</si>
  <si>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</si>
  <si>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</si>
  <si>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</si>
  <si>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</si>
  <si>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</si>
  <si>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</si>
  <si>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</si>
  <si>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</si>
  <si>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</si>
  <si>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</si>
  <si>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</si>
  <si>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</si>
  <si>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</si>
  <si>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</si>
  <si>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</si>
  <si>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</si>
  <si>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</si>
  <si>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</si>
  <si>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</si>
  <si>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</si>
  <si>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</si>
  <si>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</si>
  <si>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</si>
  <si>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</si>
  <si>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</si>
  <si>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</si>
  <si>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</si>
  <si>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</si>
  <si>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</si>
  <si>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</si>
  <si>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</si>
  <si>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</si>
  <si>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</si>
  <si>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</si>
  <si>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</si>
  <si>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</si>
  <si>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</si>
  <si>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</si>
  <si>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</si>
  <si>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</si>
  <si>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</si>
  <si>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</si>
  <si>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</si>
  <si>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</si>
  <si>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</si>
  <si>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</si>
  <si>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</si>
  <si>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</si>
  <si>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</si>
  <si>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</si>
  <si>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</si>
  <si>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</si>
  <si>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</si>
  <si>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</si>
  <si>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</si>
  <si>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</si>
  <si>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</si>
  <si>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</si>
  <si>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</si>
  <si>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</si>
  <si>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</si>
  <si>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</si>
  <si>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</si>
  <si>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</si>
  <si>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</si>
  <si>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</si>
  <si>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</si>
  <si>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</si>
  <si>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</si>
  <si>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</si>
  <si>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</si>
  <si>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</si>
  <si>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</si>
  <si>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</si>
  <si>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</si>
  <si>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</si>
  <si>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</si>
  <si>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</si>
  <si>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</si>
  <si>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</si>
  <si>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</si>
  <si>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</si>
  <si>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</si>
  <si>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</si>
  <si>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</si>
  <si>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</si>
  <si>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</si>
  <si>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</si>
  <si>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</si>
  <si>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</si>
  <si>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</si>
  <si>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</si>
  <si>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</si>
  <si>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</si>
  <si>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</si>
  <si>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</si>
  <si>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</si>
  <si>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</si>
  <si>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</si>
  <si>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</si>
  <si>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</si>
  <si>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</si>
  <si>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</si>
  <si>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</si>
  <si>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</si>
  <si>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</si>
  <si>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</si>
  <si>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</si>
  <si>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</si>
  <si>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</si>
  <si>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</si>
  <si>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</si>
  <si>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</si>
  <si>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</si>
  <si>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</si>
  <si>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</si>
  <si>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</si>
  <si>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</si>
  <si>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</si>
  <si>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</si>
  <si>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</si>
  <si>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</si>
  <si>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</si>
  <si>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</si>
  <si>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</si>
  <si>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</si>
  <si>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</si>
  <si>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</si>
  <si>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</si>
  <si>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</si>
  <si>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</si>
  <si>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</si>
  <si>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</si>
  <si>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</si>
  <si>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</si>
  <si>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</si>
  <si>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</si>
  <si>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</si>
  <si>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</si>
  <si>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</si>
  <si>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</si>
  <si>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</si>
  <si>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</si>
  <si>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</si>
  <si>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</si>
  <si>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</si>
  <si>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</si>
  <si>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</si>
  <si>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</si>
  <si>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</si>
  <si>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</si>
  <si>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</si>
  <si>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</si>
  <si>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</si>
  <si>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</si>
  <si>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</si>
  <si>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</si>
  <si>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</si>
  <si>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</si>
  <si>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</si>
  <si>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</si>
  <si>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</si>
  <si>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</si>
  <si>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</si>
  <si>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</si>
  <si>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</si>
  <si>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</si>
  <si>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</si>
  <si>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</si>
  <si>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</si>
  <si>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</si>
  <si>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</si>
  <si>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</si>
  <si>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</si>
  <si>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</si>
  <si>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</si>
  <si>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</si>
  <si>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</si>
  <si>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</si>
  <si>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</si>
  <si>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</si>
  <si>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</si>
  <si>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</si>
  <si>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</si>
  <si>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</si>
  <si>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</si>
  <si>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</si>
  <si>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</si>
  <si>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</si>
  <si>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</si>
  <si>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</si>
  <si>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</si>
  <si>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</si>
  <si>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</si>
  <si>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</si>
  <si>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</si>
  <si>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</si>
  <si>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</si>
  <si>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</si>
  <si>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</si>
  <si>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</si>
  <si>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</si>
  <si>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</si>
  <si>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</si>
  <si>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</si>
  <si>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</si>
  <si>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</si>
  <si>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</si>
  <si>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</si>
  <si>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</si>
  <si>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</si>
  <si>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</si>
  <si>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</si>
  <si>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</si>
  <si>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</si>
  <si>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</si>
  <si>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</si>
  <si>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</si>
  <si>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</si>
  <si>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</si>
  <si>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</si>
  <si>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</si>
  <si>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</si>
  <si>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</si>
  <si>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</si>
  <si>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</si>
  <si>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</si>
  <si>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</si>
  <si>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</si>
  <si>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</si>
  <si>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</si>
  <si>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</si>
  <si>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</si>
  <si>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</si>
  <si>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</si>
  <si>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</si>
  <si>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</si>
  <si>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</si>
  <si>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</si>
  <si>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</si>
  <si>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</si>
  <si>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</si>
  <si>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</si>
  <si>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</si>
  <si>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</si>
  <si>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</si>
  <si>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</si>
  <si>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</si>
  <si>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</si>
  <si>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</si>
  <si>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</si>
  <si>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</si>
  <si>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</si>
  <si>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</si>
  <si>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</si>
  <si>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</si>
  <si>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</si>
  <si>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</si>
  <si>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</si>
  <si>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</si>
  <si>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</si>
  <si>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</si>
  <si>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</si>
  <si>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</si>
  <si>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</si>
  <si>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</si>
  <si>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</si>
  <si>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</si>
  <si>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</si>
  <si>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</si>
  <si>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</si>
  <si>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</si>
  <si>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</si>
  <si>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</si>
  <si>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</si>
  <si>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</si>
  <si>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</si>
  <si>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</si>
  <si>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</si>
  <si>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</si>
  <si>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</si>
  <si>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</si>
  <si>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</si>
  <si>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</si>
  <si>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</si>
  <si>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</si>
  <si>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</si>
  <si>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</si>
  <si>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</si>
  <si>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</si>
  <si>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</si>
  <si>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</si>
  <si>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</si>
  <si>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</si>
  <si>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</si>
  <si>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</si>
  <si>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</si>
  <si>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</si>
  <si>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</si>
  <si>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</si>
  <si>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</si>
  <si>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</si>
  <si>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</si>
  <si>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</si>
  <si>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</si>
  <si>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</si>
  <si>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</si>
  <si>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</si>
  <si>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</si>
  <si>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</si>
  <si>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</si>
  <si>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</si>
  <si>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</si>
  <si>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</si>
  <si>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</si>
  <si>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</si>
  <si>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</si>
  <si>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</si>
  <si>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</si>
  <si>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</si>
  <si>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</si>
  <si>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</si>
  <si>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</si>
  <si>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</si>
  <si>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</si>
  <si>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</si>
  <si>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</si>
  <si>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</si>
  <si>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</si>
  <si>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</si>
  <si>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</si>
  <si>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</si>
  <si>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</si>
  <si>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</si>
  <si>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</si>
  <si>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</si>
  <si>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</si>
  <si>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</si>
  <si>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</si>
  <si>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</si>
  <si>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</si>
  <si>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</si>
  <si>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</si>
  <si>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</si>
  <si>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</si>
  <si>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</si>
  <si>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</si>
  <si>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</si>
  <si>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</si>
  <si>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</si>
  <si>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</si>
  <si>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</si>
  <si>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</si>
  <si>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</si>
  <si>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</si>
  <si>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</si>
  <si>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</si>
  <si>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</si>
  <si>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</si>
  <si>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</si>
  <si>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</si>
  <si>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</si>
  <si>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</si>
  <si>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</si>
  <si>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</si>
  <si>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</si>
  <si>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</si>
  <si>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</si>
  <si>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</si>
  <si>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</si>
  <si>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</si>
  <si>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</si>
  <si>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</si>
  <si>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</si>
  <si>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</si>
  <si>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</si>
  <si>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</si>
  <si>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</si>
  <si>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</si>
  <si>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</si>
  <si>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</si>
  <si>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</si>
  <si>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</si>
  <si>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</si>
  <si>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</si>
  <si>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</si>
  <si>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</si>
  <si>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</si>
  <si>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</si>
  <si>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</si>
  <si>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</si>
  <si>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</si>
  <si>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</si>
  <si>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</si>
  <si>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</si>
  <si>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</si>
  <si>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</si>
  <si>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</si>
  <si>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</si>
  <si>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</si>
  <si>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</si>
  <si>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</si>
  <si>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</si>
  <si>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</si>
  <si>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</si>
  <si>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</si>
  <si>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</si>
  <si>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</si>
  <si>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</si>
  <si>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</si>
  <si>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</si>
  <si>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</si>
  <si>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</si>
  <si>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</si>
  <si>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</si>
  <si>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</si>
  <si>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</si>
  <si>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</si>
  <si>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</si>
  <si>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</si>
  <si>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</si>
  <si>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</si>
  <si>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</si>
  <si>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</si>
  <si>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</si>
  <si>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</si>
  <si>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</si>
  <si>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</si>
  <si>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</si>
  <si>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</si>
  <si>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</si>
  <si>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</si>
  <si>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</si>
  <si>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</si>
  <si>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</si>
  <si>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</si>
  <si>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</si>
  <si>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</si>
  <si>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</si>
  <si>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</si>
  <si>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</si>
  <si>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</si>
  <si>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</si>
  <si>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</si>
  <si>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</si>
  <si>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</si>
  <si>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</si>
  <si>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</si>
  <si>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</si>
  <si>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</si>
  <si>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</si>
  <si>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</si>
  <si>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</si>
  <si>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</si>
  <si>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</si>
  <si>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</si>
  <si>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</si>
  <si>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</si>
  <si>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</si>
  <si>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</si>
  <si>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</si>
  <si>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</si>
  <si>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</si>
  <si>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</si>
  <si>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</si>
  <si>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</si>
  <si>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</si>
  <si>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</si>
  <si>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</si>
  <si>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</si>
  <si>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</si>
  <si>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</si>
  <si>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</si>
  <si>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</si>
  <si>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</si>
  <si>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</si>
  <si>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</si>
  <si>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</si>
  <si>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</si>
  <si>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</si>
  <si>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</si>
  <si>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</si>
  <si>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</si>
  <si>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</si>
  <si>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</si>
  <si>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</si>
  <si>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</si>
  <si>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</si>
  <si>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</si>
  <si>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</si>
  <si>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</si>
  <si>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</si>
  <si>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</si>
  <si>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</si>
  <si>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</si>
  <si>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</si>
  <si>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</si>
  <si>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</si>
  <si>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</si>
  <si>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</si>
  <si>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</si>
  <si>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</si>
  <si>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</si>
  <si>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</si>
  <si>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</si>
  <si>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</si>
  <si>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</si>
  <si>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</si>
  <si>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</si>
  <si>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</si>
  <si>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</si>
  <si>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</si>
  <si>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</si>
  <si>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</si>
  <si>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</si>
  <si>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</si>
  <si>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</si>
  <si>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</si>
  <si>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</si>
  <si>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</si>
  <si>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</si>
  <si>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</si>
  <si>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</si>
  <si>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</si>
  <si>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</si>
  <si>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</si>
  <si>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</si>
  <si>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</si>
  <si>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</si>
  <si>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</si>
  <si>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</si>
  <si>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</si>
  <si>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</si>
  <si>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</si>
  <si>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</si>
  <si>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</si>
  <si>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</si>
  <si>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</si>
  <si>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</si>
  <si>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</si>
  <si>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</si>
  <si>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</si>
  <si>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</si>
  <si>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</si>
  <si>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</si>
  <si>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</si>
  <si>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</si>
  <si>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</si>
  <si>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</si>
  <si>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</si>
  <si>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</si>
  <si>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</si>
  <si>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</si>
  <si>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</si>
  <si>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</si>
  <si>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</si>
  <si>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</si>
  <si>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</si>
  <si>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</si>
  <si>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</si>
  <si>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</si>
  <si>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</si>
  <si>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</si>
  <si>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</si>
  <si>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</si>
  <si>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</si>
  <si>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</si>
  <si>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</si>
  <si>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</si>
  <si>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</si>
  <si>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</si>
  <si>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</si>
  <si>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</si>
  <si>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</si>
  <si>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</si>
  <si>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</si>
  <si>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</si>
  <si>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</si>
  <si>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</si>
  <si>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</si>
  <si>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</si>
  <si>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</si>
  <si>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</si>
  <si>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</si>
  <si>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</si>
  <si>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</si>
  <si>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</si>
  <si>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</si>
  <si>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</si>
  <si>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</si>
  <si>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</si>
  <si>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</si>
  <si>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</si>
  <si>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</si>
  <si>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</si>
  <si>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</si>
  <si>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</si>
  <si>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</si>
  <si>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</si>
  <si>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</si>
  <si>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</si>
  <si>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</si>
  <si>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</si>
  <si>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</si>
  <si>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</si>
  <si>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</si>
  <si>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</si>
  <si>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</si>
  <si>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</si>
  <si>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</si>
  <si>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</si>
  <si>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</si>
  <si>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</si>
  <si>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</si>
  <si>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</si>
  <si>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</si>
  <si>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</si>
  <si>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</si>
  <si>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</si>
  <si>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</si>
  <si>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</si>
  <si>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</si>
  <si>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</si>
  <si>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</si>
  <si>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</si>
  <si>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</si>
  <si>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</si>
  <si>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</si>
  <si>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</si>
  <si>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</si>
  <si>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</si>
  <si>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</si>
  <si>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</si>
  <si>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</si>
  <si>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</si>
  <si>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</si>
  <si>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</si>
  <si>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</si>
  <si>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</si>
  <si>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</si>
  <si>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</si>
  <si>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</si>
  <si>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</si>
  <si>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</si>
  <si>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</si>
  <si>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</si>
  <si>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</si>
  <si>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</si>
  <si>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</si>
  <si>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</si>
  <si>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</si>
  <si>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</si>
  <si>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</si>
  <si>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</si>
  <si>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</si>
  <si>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</si>
  <si>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</si>
  <si>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</si>
  <si>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</si>
  <si>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</si>
  <si>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</si>
  <si>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</si>
  <si>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</si>
  <si>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</si>
  <si>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</si>
  <si>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</si>
  <si>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</si>
  <si>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</si>
  <si>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</si>
  <si>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</si>
  <si>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</si>
  <si>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</si>
  <si>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</si>
  <si>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</si>
  <si>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</si>
  <si>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</si>
  <si>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</si>
  <si>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</si>
  <si>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</si>
  <si>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</si>
  <si>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</si>
  <si>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</si>
  <si>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</si>
  <si>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</si>
  <si>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</si>
  <si>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</si>
  <si>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</si>
  <si>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</si>
  <si>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</si>
  <si>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</si>
  <si>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</si>
  <si>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</si>
  <si>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</si>
  <si>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</si>
  <si>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</si>
  <si>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</si>
  <si>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</si>
  <si>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</si>
  <si>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</si>
  <si>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</si>
  <si>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</si>
  <si>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</si>
  <si>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</si>
  <si>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</si>
  <si>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</si>
  <si>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</si>
  <si>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</si>
  <si>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</si>
  <si>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</si>
  <si>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</si>
  <si>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</si>
  <si>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</si>
  <si>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</si>
  <si>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</si>
  <si>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</si>
  <si>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</si>
  <si>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</si>
  <si>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</si>
  <si>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</si>
  <si>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</si>
  <si>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</si>
  <si>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</si>
  <si>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</si>
  <si>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</si>
  <si>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</si>
  <si>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</si>
  <si>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</si>
  <si>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</si>
  <si>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</si>
  <si>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</si>
  <si>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</si>
  <si>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</si>
  <si>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</si>
  <si>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</si>
  <si>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</si>
  <si>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</si>
  <si>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</si>
  <si>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</si>
  <si>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</si>
  <si>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</si>
  <si>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</si>
  <si>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</si>
  <si>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</si>
  <si>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</si>
  <si>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</si>
  <si>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</si>
  <si>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</si>
  <si>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</si>
  <si>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</si>
  <si>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</si>
  <si>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</si>
  <si>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</si>
  <si>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</si>
  <si>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</si>
  <si>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</si>
  <si>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</si>
  <si>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</si>
  <si>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</si>
  <si>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</si>
  <si>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</si>
  <si>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</si>
  <si>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</si>
  <si>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</si>
  <si>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</si>
  <si>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</si>
  <si>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</si>
  <si>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</si>
  <si>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</si>
  <si>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</si>
  <si>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</si>
  <si>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</si>
  <si>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</si>
  <si>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</si>
  <si>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</si>
  <si>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</si>
  <si>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</si>
  <si>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</si>
  <si>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</si>
  <si>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</si>
  <si>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</si>
  <si>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</si>
  <si>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</si>
  <si>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</si>
  <si>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</si>
  <si>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</si>
  <si>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</si>
  <si>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</si>
  <si>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</si>
  <si>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</si>
  <si>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</si>
  <si>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</si>
  <si>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</si>
  <si>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</si>
  <si>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</si>
  <si>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</si>
  <si>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</si>
  <si>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</si>
  <si>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</si>
  <si>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</si>
  <si>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</si>
  <si>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</si>
  <si>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</si>
  <si>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</si>
  <si>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</si>
  <si>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</si>
  <si>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</si>
  <si>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</si>
  <si>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</si>
  <si>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</si>
  <si>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</si>
  <si>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</si>
  <si>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</si>
  <si>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</si>
  <si>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</si>
  <si>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</si>
  <si>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</si>
  <si>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</si>
  <si>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</si>
  <si>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</si>
  <si>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</si>
  <si>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</si>
  <si>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</si>
  <si>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</si>
  <si>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</si>
  <si>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</si>
  <si>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</si>
  <si>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</si>
  <si>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</si>
  <si>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</si>
  <si>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</si>
  <si>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</si>
  <si>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</si>
  <si>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</si>
  <si>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</si>
  <si>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</si>
  <si>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</si>
  <si>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</si>
  <si>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</si>
  <si>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</si>
  <si>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</si>
  <si>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</si>
  <si>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</si>
  <si>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</si>
  <si>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</si>
  <si>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</si>
  <si>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</si>
  <si>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</si>
  <si>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</si>
  <si>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</si>
  <si>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</si>
  <si>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</si>
  <si>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</si>
  <si>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</si>
  <si>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</si>
  <si>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</si>
  <si>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</si>
  <si>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</si>
  <si>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</si>
  <si>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</si>
  <si>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</si>
  <si>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</si>
  <si>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</si>
  <si>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</si>
  <si>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</si>
  <si>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</si>
  <si>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</si>
  <si>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</si>
  <si>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</si>
  <si>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</si>
  <si>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</si>
  <si>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</si>
  <si>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</si>
  <si>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</si>
  <si>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</si>
  <si>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</si>
  <si>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</si>
  <si>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</si>
  <si>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</si>
  <si>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</si>
  <si>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</si>
  <si>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</si>
  <si>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</si>
  <si>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</si>
  <si>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</si>
  <si>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</si>
  <si>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</si>
  <si>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</si>
  <si>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</si>
  <si>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</si>
  <si>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</si>
  <si>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</si>
  <si>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</si>
  <si>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</si>
  <si>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</si>
  <si>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</si>
  <si>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</si>
  <si>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</si>
  <si>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</si>
  <si>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</si>
  <si>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</si>
  <si>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</si>
  <si>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</si>
  <si>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</si>
  <si>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</si>
  <si>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</si>
  <si>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</si>
  <si>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</si>
  <si>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</si>
  <si>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</si>
  <si>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</si>
  <si>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</si>
  <si>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</si>
  <si>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</si>
  <si>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</si>
  <si>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</si>
  <si>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</si>
  <si>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</si>
  <si>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</si>
  <si>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</si>
  <si>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</si>
  <si>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</si>
  <si>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</si>
  <si>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</si>
  <si>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</si>
  <si>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</si>
  <si>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</si>
  <si>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</si>
  <si>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</si>
  <si>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</si>
  <si>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</si>
  <si>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</si>
  <si>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</si>
  <si>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</si>
  <si>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</si>
  <si>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</si>
  <si>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</si>
  <si>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</si>
  <si>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</si>
  <si>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</si>
  <si>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</si>
  <si>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</si>
  <si>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</si>
  <si>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</si>
  <si>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</si>
  <si>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</si>
  <si>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</si>
  <si>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</si>
  <si>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</si>
  <si>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</si>
  <si>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</si>
  <si>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</si>
  <si>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</si>
  <si>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</si>
  <si>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</si>
  <si>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</si>
  <si>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</si>
  <si>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</si>
  <si>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</si>
  <si>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</si>
  <si>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</si>
  <si>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</si>
  <si>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</si>
  <si>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</si>
  <si>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</si>
  <si>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</si>
  <si>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</si>
  <si>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</si>
  <si>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</si>
  <si>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</si>
  <si>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</si>
  <si>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</si>
  <si>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</si>
  <si>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</si>
  <si>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</si>
  <si>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</si>
  <si>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</si>
  <si>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</si>
  <si>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</si>
  <si>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</si>
  <si>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</si>
  <si>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</si>
  <si>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</si>
  <si>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</si>
  <si>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</si>
  <si>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</si>
  <si>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</si>
  <si>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</si>
  <si>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</si>
  <si>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</si>
  <si>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</si>
  <si>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</si>
  <si>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</si>
  <si>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</si>
  <si>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</si>
  <si>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</si>
  <si>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</si>
  <si>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</si>
  <si>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</si>
  <si>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</si>
  <si>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</si>
  <si>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</si>
  <si>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</si>
  <si>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</si>
  <si>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</si>
  <si>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</si>
  <si>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</si>
  <si>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</si>
  <si>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</si>
  <si>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</si>
  <si>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</si>
  <si>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</si>
  <si>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</si>
  <si>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</si>
  <si>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</si>
  <si>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</si>
  <si>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</si>
  <si>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</si>
  <si>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</si>
  <si>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</si>
  <si>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</si>
  <si>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</si>
  <si>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</si>
  <si>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</si>
  <si>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</si>
  <si>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</si>
  <si>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</si>
  <si>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</si>
  <si>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</si>
  <si>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</si>
  <si>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</si>
  <si>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</si>
  <si>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</si>
  <si>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</si>
  <si>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</si>
  <si>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</si>
  <si>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</si>
  <si>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</si>
  <si>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</si>
  <si>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</si>
  <si>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</si>
  <si>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</si>
  <si>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</si>
  <si>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</si>
  <si>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</si>
  <si>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</si>
  <si>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</si>
  <si>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</si>
  <si>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</si>
  <si>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</si>
  <si>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</si>
  <si>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</si>
  <si>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</si>
  <si>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</si>
  <si>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</si>
  <si>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</si>
  <si>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</si>
  <si>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</si>
  <si>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</si>
  <si>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</si>
  <si>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</si>
  <si>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</si>
  <si>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</si>
  <si>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</si>
  <si>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</si>
  <si>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</si>
  <si>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</si>
  <si>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</si>
  <si>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</si>
  <si>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</si>
  <si>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</si>
  <si>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</si>
  <si>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</si>
  <si>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</si>
  <si>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</si>
  <si>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</si>
  <si>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</si>
  <si>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</si>
  <si>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</si>
  <si>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</si>
  <si>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</si>
  <si>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</si>
  <si>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</si>
  <si>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</si>
  <si>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</si>
  <si>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</si>
  <si>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</si>
  <si>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</si>
  <si>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</si>
  <si>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</si>
  <si>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</si>
  <si>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</si>
  <si>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</si>
  <si>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</si>
  <si>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</si>
  <si>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</si>
  <si>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</si>
  <si>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</si>
  <si>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</si>
  <si>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</si>
  <si>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</si>
  <si>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</si>
  <si>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</si>
  <si>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</si>
  <si>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</si>
  <si>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</si>
  <si>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</si>
  <si>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</si>
  <si>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</si>
  <si>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</si>
  <si>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</si>
  <si>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</si>
  <si>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</si>
  <si>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</si>
  <si>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</si>
  <si>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</si>
  <si>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</si>
  <si>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</si>
  <si>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</si>
  <si>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</si>
  <si>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</si>
  <si>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</si>
  <si>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</si>
  <si>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</si>
  <si>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</si>
  <si>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</si>
  <si>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</si>
  <si>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</si>
  <si>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</si>
  <si>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</si>
  <si>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</si>
  <si>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</si>
  <si>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</si>
  <si>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</si>
  <si>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</si>
  <si>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</si>
  <si>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</si>
  <si>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</si>
  <si>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</si>
  <si>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</si>
  <si>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</si>
  <si>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</si>
  <si>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</si>
  <si>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</si>
  <si>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</si>
  <si>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</si>
  <si>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</si>
  <si>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</si>
  <si>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</si>
  <si>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</si>
  <si>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</si>
  <si>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</si>
  <si>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</si>
  <si>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</si>
  <si>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</si>
  <si>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</si>
  <si>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</si>
  <si>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</si>
  <si>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</si>
  <si>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</si>
  <si>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</si>
  <si>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</si>
  <si>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</si>
  <si>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</si>
  <si>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</si>
  <si>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</si>
  <si>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</si>
  <si>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</si>
  <si>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</si>
  <si>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</si>
  <si>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</si>
  <si>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</si>
  <si>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</si>
  <si>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</si>
  <si>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</si>
  <si>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</si>
  <si>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</si>
  <si>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</si>
  <si>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</si>
  <si>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</si>
  <si>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</si>
  <si>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</si>
  <si>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</si>
  <si>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</si>
  <si>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</si>
  <si>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</si>
  <si>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</si>
  <si>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</si>
  <si>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</si>
  <si>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</si>
  <si>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</si>
  <si>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</si>
  <si>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</si>
  <si>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</si>
  <si>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</si>
  <si>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</si>
  <si>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</si>
  <si>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</si>
  <si>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</si>
  <si>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</si>
  <si>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</si>
  <si>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</si>
  <si>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</si>
  <si>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</si>
  <si>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</si>
  <si>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</si>
  <si>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</si>
  <si>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</si>
  <si>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</si>
  <si>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</si>
  <si>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</si>
  <si>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</si>
  <si>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</si>
  <si>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</si>
  <si>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</si>
  <si>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</si>
  <si>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</si>
  <si>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</si>
  <si>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</si>
  <si>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</si>
  <si>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</si>
  <si>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</si>
  <si>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</si>
  <si>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</si>
  <si>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</si>
  <si>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</si>
  <si>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</si>
  <si>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</si>
  <si>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</si>
  <si>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</si>
  <si>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</si>
  <si>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</si>
  <si>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</si>
  <si>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</si>
  <si>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</si>
  <si>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</si>
  <si>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</si>
  <si>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</si>
  <si>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</si>
  <si>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</si>
  <si>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</si>
  <si>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</si>
  <si>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</si>
  <si>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</si>
  <si>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</si>
  <si>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</si>
  <si>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</si>
  <si>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</si>
  <si>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</si>
  <si>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</si>
  <si>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</si>
  <si>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</si>
  <si>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</si>
  <si>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</si>
  <si>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</si>
  <si>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</si>
  <si>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</si>
  <si>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</si>
  <si>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</si>
  <si>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</si>
  <si>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</si>
  <si>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</si>
  <si>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</si>
  <si>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</si>
  <si>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</si>
  <si>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</si>
  <si>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</si>
  <si>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</si>
  <si>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</si>
  <si>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</si>
  <si>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</si>
  <si>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</si>
  <si>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</si>
  <si>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</si>
  <si>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</si>
  <si>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</si>
  <si>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</si>
  <si>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</si>
  <si>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</si>
  <si>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</si>
  <si>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</si>
  <si>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</si>
  <si>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</si>
  <si>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</si>
  <si>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</si>
  <si>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</si>
  <si>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</si>
  <si>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</si>
  <si>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</si>
  <si>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</si>
  <si>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</si>
  <si>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</si>
  <si>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</si>
  <si>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</si>
  <si>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</si>
  <si>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</si>
  <si>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</si>
  <si>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</si>
  <si>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</si>
  <si>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</si>
  <si>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</si>
  <si>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</si>
  <si>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</si>
  <si>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</si>
  <si>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</si>
  <si>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</si>
  <si>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</si>
  <si>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</si>
  <si>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</si>
  <si>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</si>
  <si>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</si>
  <si>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</si>
  <si>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</si>
  <si>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</si>
  <si>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</si>
  <si>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</si>
  <si>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</si>
  <si>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</si>
  <si>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</si>
  <si>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</si>
  <si>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</si>
  <si>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</si>
  <si>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</si>
  <si>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</si>
  <si>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</si>
  <si>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</si>
  <si>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</si>
  <si>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</si>
  <si>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</si>
  <si>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</si>
  <si>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</si>
  <si>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</si>
  <si>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</si>
  <si>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</si>
  <si>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</si>
  <si>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</si>
  <si>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</si>
  <si>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</si>
  <si>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</si>
  <si>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</si>
  <si>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</si>
  <si>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</si>
  <si>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</si>
  <si>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</si>
  <si>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</si>
  <si>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</si>
  <si>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</si>
  <si>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</si>
  <si>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</si>
  <si>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</si>
  <si>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</si>
  <si>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</si>
  <si>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</si>
  <si>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</si>
  <si>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</si>
  <si>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</si>
  <si>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</si>
  <si>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</si>
  <si>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</si>
  <si>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</si>
  <si>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</si>
  <si>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</si>
  <si>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</si>
  <si>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</si>
  <si>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</si>
  <si>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</si>
  <si>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</si>
  <si>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</si>
  <si>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</si>
  <si>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</si>
  <si>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</si>
  <si>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</si>
  <si>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</si>
  <si>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</si>
  <si>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</si>
  <si>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</si>
  <si>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</si>
  <si>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</si>
  <si>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</si>
  <si>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</si>
  <si>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</si>
  <si>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</si>
  <si>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</si>
  <si>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</si>
  <si>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</si>
  <si>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</si>
  <si>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</si>
  <si>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</si>
  <si>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</si>
  <si>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</si>
  <si>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</si>
  <si>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</si>
  <si>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</si>
  <si>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</si>
  <si>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</si>
  <si>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</si>
  <si>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</si>
  <si>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</si>
  <si>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</si>
  <si>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</si>
  <si>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</si>
  <si>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</si>
  <si>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</si>
  <si>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</si>
  <si>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</si>
  <si>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</si>
  <si>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</si>
  <si>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</si>
  <si>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</si>
  <si>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</si>
  <si>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</si>
  <si>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</si>
  <si>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</si>
  <si>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</si>
  <si>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</si>
  <si>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</si>
  <si>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</si>
  <si>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</si>
  <si>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</si>
  <si>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</si>
  <si>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</si>
  <si>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</si>
  <si>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</si>
  <si>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</si>
  <si>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</si>
  <si>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</si>
  <si>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</si>
  <si>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</si>
  <si>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</si>
  <si>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</si>
  <si>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</si>
  <si>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</si>
  <si>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</si>
  <si>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</si>
  <si>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</si>
  <si>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</si>
  <si>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</si>
  <si>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</si>
  <si>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</si>
  <si>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</si>
  <si>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</si>
  <si>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</si>
  <si>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</si>
  <si>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</si>
  <si>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</si>
  <si>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</si>
  <si>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</si>
  <si>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</si>
  <si>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</si>
  <si>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</si>
  <si>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</si>
  <si>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</si>
  <si>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</si>
  <si>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</si>
  <si>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</si>
  <si>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</si>
  <si>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</si>
  <si>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</si>
  <si>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</si>
  <si>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</si>
  <si>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</si>
  <si>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</si>
  <si>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</si>
  <si>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</si>
  <si>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</si>
  <si>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</si>
  <si>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</si>
  <si>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</si>
  <si>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</si>
  <si>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</si>
  <si>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</si>
  <si>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</si>
  <si>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</si>
  <si>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</si>
  <si>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</si>
  <si>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</si>
  <si>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</si>
  <si>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</si>
  <si>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</si>
  <si>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</si>
  <si>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</si>
  <si>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</si>
  <si>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</si>
  <si>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</si>
  <si>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</si>
  <si>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</si>
  <si>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</si>
  <si>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</si>
  <si>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</si>
  <si>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</si>
  <si>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</si>
  <si>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</si>
  <si>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</si>
  <si>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</si>
  <si>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</si>
  <si>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</si>
  <si>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</si>
  <si>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</si>
  <si>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</si>
  <si>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</si>
  <si>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</si>
  <si>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</si>
  <si>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</si>
  <si>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</si>
  <si>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</si>
  <si>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</si>
  <si>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</si>
  <si>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</si>
  <si>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</si>
  <si>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</si>
  <si>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</si>
  <si>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</si>
  <si>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</si>
  <si>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</si>
  <si>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</si>
  <si>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</si>
  <si>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</si>
  <si>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</si>
  <si>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</si>
  <si>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</si>
  <si>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</si>
  <si>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</si>
  <si>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</si>
  <si>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</si>
  <si>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</si>
  <si>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</si>
  <si>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</si>
  <si>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</si>
  <si>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</si>
  <si>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</si>
  <si>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</si>
  <si>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</si>
  <si>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</si>
  <si>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</si>
  <si>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</si>
  <si>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</si>
  <si>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</si>
  <si>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</si>
  <si>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</si>
  <si>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</si>
  <si>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</si>
  <si>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</si>
  <si>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</si>
  <si>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</si>
  <si>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</si>
  <si>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</si>
  <si>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</si>
  <si>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</si>
  <si>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</si>
  <si>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</si>
  <si>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</si>
  <si>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</si>
  <si>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</si>
  <si>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</si>
  <si>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</si>
  <si>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</si>
  <si>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</si>
  <si>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</si>
  <si>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</si>
  <si>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</si>
  <si>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</si>
  <si>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</si>
  <si>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</si>
  <si>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</si>
  <si>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</si>
  <si>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</si>
  <si>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</si>
  <si>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</si>
  <si>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</si>
  <si>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</si>
  <si>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</si>
  <si>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</si>
  <si>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</si>
  <si>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</si>
  <si>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</si>
  <si>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</si>
  <si>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</si>
  <si>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</si>
  <si>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</si>
  <si>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</si>
  <si>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</si>
  <si>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</si>
  <si>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</si>
  <si>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</si>
  <si>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</si>
  <si>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</si>
  <si>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</si>
  <si>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</si>
  <si>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</si>
  <si>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</si>
  <si>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</si>
  <si>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</si>
  <si>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</si>
  <si>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</si>
  <si>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</si>
  <si>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</si>
  <si>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</si>
  <si>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</si>
  <si>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</si>
  <si>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</si>
  <si>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</si>
  <si>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</si>
  <si>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</si>
  <si>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</si>
  <si>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</si>
  <si>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</si>
  <si>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</si>
  <si>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</si>
  <si>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</si>
  <si>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</si>
  <si>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</si>
  <si>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</si>
  <si>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</si>
  <si>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</si>
  <si>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</si>
  <si>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</si>
  <si>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</si>
  <si>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</si>
  <si>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</si>
  <si>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</si>
  <si>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</si>
  <si>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</si>
  <si>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</si>
  <si>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</si>
  <si>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</si>
  <si>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</si>
  <si>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</si>
  <si>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</si>
  <si>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</si>
  <si>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</si>
  <si>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</si>
  <si>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</si>
  <si>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</si>
  <si>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</si>
  <si>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</si>
  <si>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</si>
  <si>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</si>
  <si>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</si>
  <si>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</si>
  <si>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</si>
  <si>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</si>
  <si>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</si>
  <si>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</si>
  <si>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</si>
  <si>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</si>
  <si>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</si>
  <si>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</si>
  <si>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</si>
  <si>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</si>
  <si>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</si>
  <si>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</si>
  <si>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</si>
  <si>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</si>
  <si>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</si>
  <si>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</si>
  <si>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</si>
  <si>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</si>
  <si>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</si>
  <si>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</si>
  <si>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</si>
  <si>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</si>
  <si>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</si>
  <si>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</si>
  <si>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</si>
  <si>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</si>
  <si>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</si>
  <si>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</si>
  <si>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</si>
  <si>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</si>
  <si>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</si>
  <si>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</si>
  <si>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</si>
  <si>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</si>
  <si>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</si>
  <si>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</si>
  <si>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</si>
  <si>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</si>
  <si>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</si>
  <si>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</si>
  <si>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</si>
  <si>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</si>
  <si>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</si>
  <si>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</si>
  <si>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</si>
  <si>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</si>
  <si>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</si>
  <si>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</si>
  <si>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</si>
  <si>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</si>
  <si>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</si>
  <si>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</si>
  <si>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</si>
  <si>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</si>
  <si>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</si>
  <si>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</si>
  <si>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</si>
  <si>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</si>
  <si>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</si>
  <si>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</si>
  <si>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</si>
  <si>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</si>
  <si>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</si>
  <si>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</si>
  <si>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</si>
  <si>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</si>
  <si>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</si>
  <si>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</si>
  <si>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</si>
  <si>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</si>
  <si>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</si>
  <si>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</si>
  <si>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</si>
  <si>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</si>
  <si>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</si>
  <si>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</si>
  <si>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</si>
  <si>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</si>
  <si>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</si>
  <si>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</si>
  <si>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</si>
  <si>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</si>
  <si>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</si>
  <si>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</si>
  <si>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</si>
  <si>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</si>
  <si>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</si>
  <si>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</si>
  <si>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</si>
  <si>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</si>
  <si>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</si>
  <si>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</si>
  <si>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</si>
  <si>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</si>
  <si>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</si>
  <si>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</si>
  <si>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</si>
  <si>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</si>
  <si>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</si>
  <si>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</si>
  <si>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</si>
  <si>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</si>
  <si>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</si>
  <si>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</si>
  <si>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</si>
  <si>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</si>
  <si>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</si>
  <si>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</si>
  <si>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</si>
  <si>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</si>
  <si>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</si>
  <si>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</si>
  <si>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</si>
  <si>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</si>
  <si>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</si>
  <si>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</si>
  <si>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</si>
  <si>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</si>
  <si>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</si>
  <si>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</si>
  <si>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</si>
  <si>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</si>
  <si>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</si>
  <si>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</si>
  <si>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</si>
  <si>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</si>
  <si>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</si>
  <si>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</si>
  <si>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</si>
  <si>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</si>
  <si>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</si>
  <si>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</si>
  <si>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</si>
  <si>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</si>
  <si>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</si>
  <si>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</si>
  <si>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</si>
  <si>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</si>
  <si>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</si>
  <si>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</si>
  <si>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</si>
  <si>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</si>
  <si>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</si>
  <si>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</si>
  <si>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</si>
  <si>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</si>
  <si>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房地产市场价值</t>
  </si>
  <si>
    <t>北京市</t>
  </si>
  <si>
    <t>自然人</t>
  </si>
  <si>
    <t>住宅</t>
  </si>
  <si>
    <t>城镇住宅用地</t>
  </si>
  <si>
    <t>自定义容积率</t>
  </si>
  <si>
    <t>较好</t>
  </si>
  <si>
    <t>不临65条商业街</t>
  </si>
  <si>
    <t>与级别开发程度一致</t>
  </si>
  <si>
    <t>地下</t>
  </si>
  <si>
    <t>是</t>
  </si>
  <si>
    <t>中心城区以外</t>
  </si>
  <si>
    <t>成新度</t>
  </si>
  <si>
    <t>车位</t>
  </si>
  <si>
    <t>车位</t>
    <phoneticPr fontId="7" type="noConversion"/>
  </si>
  <si>
    <t>一般</t>
  </si>
  <si>
    <t>好</t>
  </si>
  <si>
    <t>未包含在土地购买价格中</t>
  </si>
  <si>
    <t>已包含在土地取得成本中</t>
  </si>
  <si>
    <t>利息：取LPR加浮动点数</t>
  </si>
  <si>
    <t>收益法 (元)</t>
  </si>
  <si>
    <t>押一</t>
  </si>
  <si>
    <t>钢混</t>
  </si>
  <si>
    <t>非生产用房</t>
  </si>
  <si>
    <t>成本法 (元)</t>
  </si>
  <si>
    <t>时间</t>
  </si>
  <si>
    <t>楼栋号</t>
  </si>
  <si>
    <t>单元号</t>
  </si>
  <si>
    <t>总楼层</t>
  </si>
  <si>
    <t>楼层号</t>
  </si>
  <si>
    <t>房间号</t>
  </si>
  <si>
    <t>许可证号</t>
  </si>
  <si>
    <t>物业类型</t>
  </si>
  <si>
    <t>户型</t>
  </si>
  <si>
    <t>成交面积(㎡)</t>
  </si>
  <si>
    <t>成交金额(万元)</t>
  </si>
  <si>
    <t>成交单价(元/㎡)</t>
  </si>
  <si>
    <t>地下车库</t>
  </si>
  <si>
    <t>3-167</t>
  </si>
  <si>
    <t>现：X京房权证市涉外字第001450号</t>
  </si>
  <si>
    <t>车库/车位</t>
  </si>
  <si>
    <t>其他</t>
  </si>
  <si>
    <t>2-161</t>
  </si>
  <si>
    <t>1-225</t>
  </si>
  <si>
    <t>2-064</t>
  </si>
  <si>
    <t>1-030</t>
    <phoneticPr fontId="134" type="noConversion"/>
  </si>
  <si>
    <t>现：X京房权证市涉外字第001450号</t>
    <phoneticPr fontId="134" type="noConversion"/>
  </si>
  <si>
    <t>http://bjjs.zjw.beijing.gov.cn/eportal/ui?pageId=320794&amp;projectID=5460222&amp;systemID=3&amp;srcId=1</t>
    <phoneticPr fontId="134" type="noConversion"/>
  </si>
  <si>
    <t>珠江帝景B区</t>
    <phoneticPr fontId="3" type="noConversion"/>
  </si>
  <si>
    <t>珠江帝景E区</t>
    <phoneticPr fontId="3" type="noConversion"/>
  </si>
  <si>
    <t>正常</t>
  </si>
  <si>
    <t>车位</t>
    <phoneticPr fontId="31" type="noConversion"/>
  </si>
  <si>
    <t>地下车位</t>
  </si>
  <si>
    <t>地下车位</t>
    <phoneticPr fontId="31" type="noConversion"/>
  </si>
  <si>
    <t>否</t>
  </si>
  <si>
    <t>否</t>
    <phoneticPr fontId="31" type="noConversion"/>
  </si>
  <si>
    <t>普通装修</t>
  </si>
  <si>
    <t>普通装修</t>
    <phoneticPr fontId="31" type="noConversion"/>
  </si>
  <si>
    <t>比较法-车位</t>
  </si>
  <si>
    <t>售价</t>
  </si>
  <si>
    <t>单套模式</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</si>
</sst>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8" fillId="6" borderId="1" xfId="0" applyNumberFormat="1" applyFont="1" applyFill="1" applyBorder="1" applyAlignment="1" applyProtection="1">
      <alignment horizontal="center" vertical="center"/>
      <protection locked="0"/>
    </xf>
    <xf numFmtId="0" fontId="0" fillId="0" borderId="0" xfId="0" applyNumberFormat="1" applyAlignment="1"/>
    <xf numFmtId="14" fontId="0" fillId="0" borderId="0" xfId="0" applyNumberFormat="1" applyAlignment="1"/>
    <xf numFmtId="0" fontId="95" fillId="0" borderId="0" xfId="0" applyNumberFormat="1" applyFont="1" applyAlignment="1"/>
    <xf numFmtId="0" fontId="269" fillId="0" borderId="0" xfId="19">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141948</xdr:colOff>
      <xdr:row>44</xdr:row>
      <xdr:rowOff>151695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57400"/>
          <a:ext cx="7419048" cy="5638095"/>
        </a:xfrm>
        <a:prstGeom prst="rect">
          <a:avLst/>
        </a:prstGeom>
      </xdr:spPr>
    </xdr:pic>
    <xdr:clientData/>
  </xdr:twoCellAnchor>
  <xdr:twoCellAnchor editAs="oneCell">
    <xdr:from>
      <xdr:col>7</xdr:col>
      <xdr:colOff>304800</xdr:colOff>
      <xdr:row>9</xdr:row>
      <xdr:rowOff>104775</xdr:rowOff>
    </xdr:from>
    <xdr:to>
      <xdr:col>13</xdr:col>
      <xdr:colOff>151881</xdr:colOff>
      <xdr:row>23</xdr:row>
      <xdr:rowOff>75904</xdr:rowOff>
    </xdr:to>
    <xdr:pic>
      <xdr:nvPicPr>
        <xdr:cNvPr id="3" name="图片 2"/>
        <xdr:cNvPicPr>
          <a:picLocks noChangeAspect="1"/>
        </xdr:cNvPicPr>
      </xdr:nvPicPr>
      <xdr:blipFill>
        <a:blip xmlns:r="http://schemas.openxmlformats.org/officeDocument/2006/relationships" r:embed="rId2"/>
        <a:stretch>
          <a:fillRect/>
        </a:stretch>
      </xdr:blipFill>
      <xdr:spPr>
        <a:xfrm>
          <a:off x="7581900" y="1647825"/>
          <a:ext cx="4152381"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jjs.zjw.beijing.gov.cn/eportal/ui?pageId=320794&amp;projectID=5460222&amp;systemID=3&amp;srcId=1"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2024年4月25日（评估专业人员实地查勘之日）</v>
      </c>
    </row>
    <row r="13" spans="1:2" s="1203" customFormat="1">
      <c r="A13" s="1201" t="s">
        <v>529</v>
      </c>
      <c r="B13" s="1202" t="str">
        <f>'预评函-1'!A18</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M10" sqref="M1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2580</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2581</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8" t="s">
        <v>2583</v>
      </c>
      <c r="J2" s="3498"/>
      <c r="K2" s="3498"/>
      <c r="L2" s="3498"/>
      <c r="M2" s="3498"/>
      <c r="N2" s="3498"/>
      <c r="O2" s="3498"/>
      <c r="P2" s="3498"/>
      <c r="Q2" s="3498"/>
      <c r="R2" s="3498"/>
    </row>
    <row r="3" spans="1:18">
      <c r="A3" s="3020" t="s">
        <v>2504</v>
      </c>
      <c r="B3" s="3021">
        <f>项目基本情况!D3</f>
        <v>45407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2.65</v>
      </c>
      <c r="D5" s="3025">
        <f>IF(ISERROR(ROUND(POWER(1+E5,A5-C5)*(POWER(1+E5,C5)-1)/(POWER(1+E5,A5)-1),3)),0,ROUND(POWER(1+E5,A5-C5)*(POWER(1+E5,C5)-1)/(POWER(1+E5,A5)-1),4))</f>
        <v>0.12470000000000001</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12.66</v>
      </c>
      <c r="D6" s="3025">
        <f>IF(ISERROR(ROUND(POWER(1+E6,A6-C6)*(POWER(1+E6,C6)-1)/(POWER(1+E6,A6)-1),3)),0,ROUND(POWER(1+E6,A6-C6)*(POWER(1+E6,C6)-1)/(POWER(1+E6,A6)-1),4))</f>
        <v>0.45550000000000002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32.67</v>
      </c>
      <c r="D7" s="3025">
        <f>IF(ISERROR(ROUND(POWER(1+E7,A7-C7)*(POWER(1+E7,C7)-1)/(POWER(1+E7,A7)-1),3)),0,ROUND(POWER(1+E7,A7-C7)*(POWER(1+E7,C7)-1)/(POWER(1+E7,A7)-1),4))</f>
        <v>0.77190000000000003</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0" sqref="O30:O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北京市房地产市场价值预评估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45407</v>
      </c>
      <c r="C3" s="2374" t="s">
        <v>2171</v>
      </c>
      <c r="D3" s="2373">
        <f>B3</f>
        <v>45407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t="s">
        <v>3382</v>
      </c>
      <c r="C9" s="2395"/>
      <c r="D9" s="3503"/>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3334</v>
      </c>
      <c r="B13" s="2407" t="s">
        <v>2190</v>
      </c>
      <c r="C13" s="856">
        <v>63247</v>
      </c>
      <c r="D13" s="856"/>
      <c r="E13" s="856"/>
      <c r="F13" s="856">
        <v>55942</v>
      </c>
      <c r="G13" s="856"/>
      <c r="H13" s="856"/>
      <c r="I13" s="856"/>
      <c r="J13" s="3062"/>
      <c r="K13" s="2613"/>
      <c r="L13" s="2613"/>
      <c r="M13" s="2439"/>
      <c r="N13" s="2450"/>
      <c r="O13" s="2439"/>
      <c r="P13" s="2439"/>
      <c r="Q13" s="2439"/>
      <c r="AD13" s="1745"/>
    </row>
    <row r="14" spans="1:30">
      <c r="A14" s="1081"/>
      <c r="B14" s="2407" t="s">
        <v>2191</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2192</v>
      </c>
      <c r="C15" s="2410">
        <f>IF(A13="出让",IF(C13="","",ROUNDDOWN(MIN((C13-$D$3)/365,C14),2)),C14)</f>
        <v>48.87</v>
      </c>
      <c r="D15" s="2410" t="str">
        <f>IF(A13="出让",IF(D13="","",ROUNDDOWN(MIN((D13-$D$3)/365,D14),2)),D14)</f>
        <v/>
      </c>
      <c r="E15" s="2410" t="str">
        <f>IF(A13="出让",IF(E13="","",ROUNDDOWN(MIN((E13-$D$3)/365,E14),2)),E14)</f>
        <v/>
      </c>
      <c r="F15" s="2410">
        <f>IF(A13="出让",IF(F13="","",ROUNDDOWN(MIN((F13-$D$3)/365,F14),2)),F14)</f>
        <v>28.86</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30.22</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296</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231</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30.22</v>
      </c>
      <c r="H5" s="13">
        <f t="shared" ref="H5:AT5" si="0">SUM(H13:H656)</f>
        <v>30.22</v>
      </c>
      <c r="I5" s="13">
        <f t="shared" si="0"/>
        <v>30.22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30.22</v>
      </c>
      <c r="BA5" s="15">
        <f t="shared" si="1"/>
        <v>30.22</v>
      </c>
      <c r="BB5" s="15">
        <f t="shared" si="1"/>
        <v>30.22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3335</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3392</v>
      </c>
      <c r="E13" s="13">
        <f>IF($C$3="是",ROUND($A$3*G13/$B$3,2),ROUND($A$3*(G13-AT13)/$B$3,2))</f>
        <v>0</v>
      </c>
      <c r="F13" s="29"/>
      <c r="G13" s="30">
        <f>H13+AC13+AT13</f>
        <v>30.22</v>
      </c>
      <c r="H13" s="17">
        <f>SUMIF(I$12:AB$12,"总值",I13:AB13)</f>
        <v>30.22</v>
      </c>
      <c r="I13" s="1626">
        <v>30.22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30.22</v>
      </c>
      <c r="BA13" s="13">
        <f>SUM(BB13:BK13)</f>
        <v>30.22</v>
      </c>
      <c r="BB13" s="13">
        <f>IF($D13="是",I13-J13,0)</f>
        <v>30.22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30.22</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30.22</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30.22</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30.22</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30.22</v>
      </c>
      <c r="F19" s="2795"/>
      <c r="G19" s="2796">
        <f>'数据-基础表'!I13</f>
        <v>30.22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30.22</v>
      </c>
      <c r="F27" s="1140">
        <f>IF(SUM(F19:F26)=E8,SUM(F19:F26),"地上面积有误")</f>
        <v>0</v>
      </c>
      <c r="G27" s="1142">
        <f>SUM(G19:G26)</f>
        <v>30.22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30.22</v>
      </c>
      <c r="F31" s="677">
        <f>F27+F30</f>
        <v>0</v>
      </c>
      <c r="G31" s="678">
        <f>G27+G30</f>
        <v>30.22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G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45407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车位</v>
      </c>
      <c r="B6" s="1713" t="str">
        <f>IF(A6=0,"","经营性")</f>
        <v>经营性</v>
      </c>
      <c r="C6" s="1714" t="s">
        <v>3335</v>
      </c>
      <c r="D6" s="858">
        <f>SUMIF(项目基本情况!C$12:I$12,C6,项目基本情况!C$14:I$14)</f>
        <v>50</v>
      </c>
      <c r="E6" s="857">
        <f>IF(B6="","",SUMIF(项目基本情况!C$12:I$12,C6,项目基本情况!C$13:I$13))</f>
        <v>55942</v>
      </c>
      <c r="F6" s="64">
        <f>SUMIF(项目基本情况!C$12:I$12,C6,项目基本情况!C$15:I$15)</f>
        <v>28.86</v>
      </c>
      <c r="G6" s="65">
        <f>IF(ISERROR(ROUND(POWER(1+H6,D6-F6)*(POWER(1+H6,F6)-1)/(POWER(1+H6,D6)-1),3)),0,ROUND(POWER(1+H6,D6-F6)*(POWER(1+H6,F6)-1)/(POWER(1+H6,D6)-1),3))</f>
        <v>0.78900000000000003</v>
      </c>
      <c r="H6" s="732">
        <v>0.04</v>
      </c>
      <c r="I6" s="732">
        <v>4.4999999999999998E-2</v>
      </c>
      <c r="J6" s="66">
        <v>0.05</v>
      </c>
      <c r="K6" s="1030">
        <f>SUMIF('数据-汇总表'!C$19:C$33,A6,'数据-汇总表'!E$19:E$33)</f>
        <v>30.22</v>
      </c>
      <c r="L6" s="733">
        <v>5000</v>
      </c>
      <c r="M6" s="67">
        <f t="shared" ref="M6:M14" si="0">ROUND(K6*L6/10000,0)</f>
        <v>15</v>
      </c>
      <c r="N6" s="731">
        <v>0.75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700</v>
      </c>
      <c r="V6" s="70">
        <v>3.5000000000000003E-2</v>
      </c>
      <c r="W6" s="70">
        <v>0.1</v>
      </c>
      <c r="X6" s="1040"/>
      <c r="Y6" s="71">
        <f>N6</f>
        <v>0.75</v>
      </c>
      <c r="Z6" s="72"/>
      <c r="AA6" s="66"/>
      <c r="AB6" s="66"/>
      <c r="AC6" s="1040"/>
      <c r="AD6" s="73"/>
      <c r="AE6" s="1041">
        <f ca="1">IF(AN6="",0,SUMIF(INDIRECT("'"&amp;AN6&amp;"'"&amp;"!E:E"),$AE$5,INDIRECT("'"&amp;AN6&amp;"'"&amp;"!F:F")))</f>
        <v>28.86</v>
      </c>
      <c r="AF6" s="1348"/>
      <c r="AG6" s="138">
        <f>IF(AF6="",0,AE6-AF6)</f>
        <v>0</v>
      </c>
      <c r="AH6" s="74">
        <v>1</v>
      </c>
      <c r="AI6" s="76">
        <v>12</v>
      </c>
      <c r="AJ6" s="77"/>
      <c r="AK6" s="78">
        <v>1.4999999999999999E-2</v>
      </c>
      <c r="AL6" s="79">
        <v>1E-3</v>
      </c>
      <c r="AM6" s="80">
        <v>0.01</v>
      </c>
      <c r="AN6" s="1715" t="s">
        <v>3402</v>
      </c>
      <c r="AO6" s="52">
        <f ca="1">SUMIF(INDIRECT("'"&amp;AN6&amp;"'"&amp;"!A:A"),"总价",INDIRECT("'"&amp;AN6&amp;"'"&amp;"!B:B"))</f>
        <v>20.013400000000001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0.04</v>
      </c>
      <c r="I16" s="91"/>
      <c r="J16" s="91"/>
      <c r="K16" s="92">
        <f>SUM(K6:K15)</f>
        <v>30.22</v>
      </c>
      <c r="L16" s="93">
        <f>ROUND(M16*10000/SUM(K6:K14),0)</f>
        <v>4964</v>
      </c>
      <c r="M16" s="93">
        <f>SUM(M6:M14)</f>
        <v>15</v>
      </c>
      <c r="N16" s="94">
        <f>ROUND(SUMPRODUCT(M6:M14,N6:N14)/M16,3)</f>
        <v>0.75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ROUND(1-(2024-2009)/60,2)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3401</v>
      </c>
      <c r="B40" s="1078">
        <f ca="1">IF(A40="利息：取LPR",存贷款利率!G1,存贷款利率!G1+C40)</f>
        <v>4.7500000000000001E-2</v>
      </c>
      <c r="C40" s="2814">
        <v>1.2999999999999999E-2</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45407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 zoomScale="85" zoomScaleNormal="100" zoomScaleSheetLayoutView="85" zoomScalePageLayoutView="80" workbookViewId="0">
      <selection activeCell="C8" sqref="C8:C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3395</v>
      </c>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3406</v>
      </c>
      <c r="D4" s="1756" t="s">
        <v>3440</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1" t="s">
        <v>1268</v>
      </c>
      <c r="B5" s="3616">
        <v>25</v>
      </c>
      <c r="C5" s="3619">
        <v>5</v>
      </c>
      <c r="D5" s="3607">
        <f>10-C5</f>
        <v>5</v>
      </c>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c r="D14" s="3607"/>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8" t="s">
        <v>2131</v>
      </c>
      <c r="F18" s="3639"/>
      <c r="G18" s="3639"/>
      <c r="H18" s="3639"/>
      <c r="I18" s="3639"/>
      <c r="K18" s="302" t="s">
        <v>1289</v>
      </c>
      <c r="L18" s="302">
        <f>IF(C1="",'数据-汇总表'!E3,SUMIF(项目类型,C1,'数据-汇总表'!E17:E26)+SUMIF(项目类型,C1,'数据-汇总表'!I17:I26))</f>
        <v>30.22</v>
      </c>
      <c r="M18" s="302">
        <f>IF(C1="",'数据-汇总表'!E3,SUMIF(项目类型,C1,'数据-汇总表'!E17:E26))</f>
        <v>30.22</v>
      </c>
    </row>
    <row r="19" spans="1:36" ht="15">
      <c r="A19" s="1761" t="s">
        <v>1290</v>
      </c>
      <c r="B19" s="1762" t="s">
        <v>1291</v>
      </c>
      <c r="C19" s="134">
        <f ca="1">SUMIF(INDIRECT("'"&amp;C4&amp;"'"&amp;"!A:A"),结果表!B19,INDIRECT("'"&amp;C4&amp;"'"&amp;"!B:B"))</f>
        <v>32.345199999999998</v>
      </c>
      <c r="D19" s="135">
        <f ca="1">SUMIF(INDIRECT("'"&amp;D4&amp;"'"&amp;"!A:A"),结果表!B19,INDIRECT("'"&amp;D4&amp;"'"&amp;"!B:B"))</f>
        <v>35</v>
      </c>
      <c r="E19" s="1761" t="s">
        <v>1292</v>
      </c>
      <c r="F19" s="1762" t="s">
        <v>1291</v>
      </c>
      <c r="G19" s="136">
        <f ca="1">ROUND(C19*$C$18+D19*$D$18,0)</f>
        <v>34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10703</v>
      </c>
      <c r="D20" s="138">
        <f ca="1">SUMIF(INDIRECT("'"&amp;D4&amp;"'"&amp;"!A:A"),结果表!B20,INDIRECT("'"&amp;D4&amp;"'"&amp;"!B:B"))</f>
        <v>11468</v>
      </c>
      <c r="E20" s="1764"/>
      <c r="F20" s="1026" t="s">
        <v>1295</v>
      </c>
      <c r="G20" s="139">
        <f ca="1">ROUND(C20*$C$18+D20*$D$18,0)</f>
        <v>11086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8.2077093355428454E-2</v>
      </c>
      <c r="E22" s="129"/>
      <c r="F22" s="129"/>
      <c r="G22" s="129"/>
      <c r="H22" s="129"/>
      <c r="I22" s="129"/>
    </row>
    <row r="23" spans="1:36" ht="13.5" thickBot="1">
      <c r="A23" s="1747"/>
      <c r="B23" s="1747"/>
      <c r="C23" s="1747"/>
      <c r="D23" s="1747"/>
      <c r="E23" s="129"/>
      <c r="F23" s="129"/>
      <c r="G23" s="129"/>
      <c r="H23" s="129"/>
      <c r="I23" s="129"/>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11086</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t="e">
        <f ca="1">ROUND(H101*F45,0)</f>
        <v>#REF!</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45407</v>
      </c>
      <c r="N47" s="3551"/>
      <c r="O47" s="3551"/>
    </row>
    <row r="48" spans="1:15" ht="25.5">
      <c r="A48" s="3611" t="s">
        <v>1338</v>
      </c>
      <c r="B48" s="3612"/>
      <c r="C48" s="361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9" t="s">
        <v>1340</v>
      </c>
      <c r="L48" s="3549"/>
      <c r="M48" s="3552" t="e">
        <f ca="1">H101</f>
        <v>#REF!</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抵押担保权已注销时的房地产抵押价值</v>
      </c>
      <c r="L49" s="3549"/>
      <c r="M49" s="3552" t="str">
        <f>IF(项目基本情况!E8="房地产抵押价值",H107,H109)</f>
        <v>——</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t="e">
        <f ca="1">ROUND(D45*'数据-取费表'!B41/(1+'数据-取费表'!C42),0)</f>
        <v>#REF!</v>
      </c>
      <c r="E52" s="2334" t="s">
        <v>1354</v>
      </c>
      <c r="F52" s="2554">
        <f>'数据-取费表'!B41</f>
        <v>5.6000000000000001E-2</v>
      </c>
      <c r="G52" s="2555"/>
      <c r="H52" s="2544"/>
      <c r="I52" s="1807"/>
      <c r="J52" s="2523">
        <v>1</v>
      </c>
      <c r="K52" s="3574" t="s">
        <v>1355</v>
      </c>
      <c r="L52" s="3574"/>
      <c r="M52" s="2525" t="b">
        <f>D48</f>
        <v>0</v>
      </c>
      <c r="N52" s="2523" t="str">
        <f>E48</f>
        <v>销售额×税（费）率</v>
      </c>
      <c r="O52" s="2526">
        <f>F48</f>
        <v>5.6000000000000001E-2</v>
      </c>
    </row>
    <row r="53" spans="1:35" ht="12" customHeight="1">
      <c r="A53" s="2335" t="s">
        <v>1356</v>
      </c>
      <c r="B53" s="3598" t="s">
        <v>2291</v>
      </c>
      <c r="C53" s="3599"/>
      <c r="D53" s="1087" t="e">
        <f ca="1">ROUND(D45*'数据-取费表'!B41/(1+'数据-取费表'!C42),0)</f>
        <v>#REF!</v>
      </c>
      <c r="E53" s="2334" t="s">
        <v>1354</v>
      </c>
      <c r="F53" s="2554">
        <f>'数据-取费表'!B41</f>
        <v>5.6000000000000001E-2</v>
      </c>
      <c r="G53" s="2555"/>
      <c r="H53" s="2544"/>
      <c r="I53" s="1807"/>
      <c r="J53" s="2523">
        <v>2</v>
      </c>
      <c r="K53" s="3574" t="s">
        <v>1357</v>
      </c>
      <c r="L53" s="3574"/>
      <c r="M53" s="2525" t="e">
        <f t="shared" ref="M53:O54" ca="1" si="0">D55</f>
        <v>#REF!</v>
      </c>
      <c r="N53" s="2523" t="str">
        <f t="shared" si="0"/>
        <v>销售额×税（费）率</v>
      </c>
      <c r="O53" s="2526" t="str">
        <f t="shared" si="0"/>
        <v>免征</v>
      </c>
    </row>
    <row r="54" spans="1:35" ht="12" customHeight="1">
      <c r="A54" s="2335" t="s">
        <v>1358</v>
      </c>
      <c r="B54" s="3598" t="s">
        <v>2292</v>
      </c>
      <c r="C54" s="3599"/>
      <c r="D54" s="1087" t="e">
        <f ca="1">C68</f>
        <v>#REF!</v>
      </c>
      <c r="E54" s="327" t="s">
        <v>1359</v>
      </c>
      <c r="F54" s="2554">
        <f>'数据-取费表'!B41</f>
        <v>5.6000000000000001E-2</v>
      </c>
      <c r="G54" s="2555"/>
      <c r="H54" s="2556"/>
      <c r="I54" s="1807"/>
      <c r="J54" s="2523">
        <v>3</v>
      </c>
      <c r="K54" s="3574" t="s">
        <v>1360</v>
      </c>
      <c r="L54" s="3574"/>
      <c r="M54" s="2525" t="e">
        <f t="shared" ca="1" si="0"/>
        <v>#REF!</v>
      </c>
      <c r="N54" s="2523" t="str">
        <f t="shared" si="0"/>
        <v>增值额×税（费）率</v>
      </c>
      <c r="O54" s="2527" t="str">
        <f t="shared" si="0"/>
        <v>免征</v>
      </c>
    </row>
    <row r="55" spans="1:35" ht="24" customHeight="1">
      <c r="A55" s="3634" t="s">
        <v>1361</v>
      </c>
      <c r="B55" s="3612"/>
      <c r="C55" s="3612"/>
      <c r="D55" s="2324" t="e">
        <f ca="1">IF(H55="个人住宅",0,ROUND(D45*I55,0))</f>
        <v>#REF!</v>
      </c>
      <c r="E55" s="2334" t="s">
        <v>1362</v>
      </c>
      <c r="F55" s="2554" t="str">
        <f>IF(H55="正常",I55,"免征")</f>
        <v>免征</v>
      </c>
      <c r="G55" s="2555"/>
      <c r="H55" s="2550"/>
      <c r="I55" s="165">
        <f>'数据-取费表'!B49</f>
        <v>5.0000000000000001E-4</v>
      </c>
      <c r="J55" s="2523">
        <f>IF(H59="非个人房产","",4)</f>
        <v>4</v>
      </c>
      <c r="K55" s="3574" t="str">
        <f>IF(H59="非个人房产","——","个人所得税")</f>
        <v>个人所得税</v>
      </c>
      <c r="L55" s="3574"/>
      <c r="M55" s="2528" t="e">
        <f ca="1">D59</f>
        <v>#REF!</v>
      </c>
      <c r="N55" s="2040" t="str">
        <f>E59</f>
        <v>差额计税</v>
      </c>
      <c r="O55" s="2529">
        <f>F59</f>
        <v>0.01</v>
      </c>
    </row>
    <row r="56" spans="1:35" ht="24.75">
      <c r="A56" s="3634" t="s">
        <v>1363</v>
      </c>
      <c r="B56" s="3612"/>
      <c r="C56" s="3612"/>
      <c r="D56" s="2324" t="e">
        <f ca="1">IF(H56="个人住宅",D57,D58)</f>
        <v>#REF!</v>
      </c>
      <c r="E56" s="2334" t="s">
        <v>1364</v>
      </c>
      <c r="F56" s="2554" t="str">
        <f>IF(H56="正常",F58,"免征")</f>
        <v>免征</v>
      </c>
      <c r="G56" s="2557" t="s">
        <v>1365</v>
      </c>
      <c r="H56" s="2558"/>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5</v>
      </c>
      <c r="K57" s="3574" t="s">
        <v>1367</v>
      </c>
      <c r="L57" s="2530" t="s">
        <v>1368</v>
      </c>
      <c r="M57" s="2531"/>
      <c r="N57" s="2532">
        <f ca="1">SUMIF(M52:M56,"&lt;9e307")</f>
        <v>0</v>
      </c>
      <c r="O57" s="2533"/>
      <c r="P57" s="2690" t="e">
        <f ca="1">N57/M49</f>
        <v>#VALUE!</v>
      </c>
    </row>
    <row r="58" spans="1:35" ht="24.75">
      <c r="A58" s="2335" t="s">
        <v>1352</v>
      </c>
      <c r="B58" s="3598" t="s">
        <v>1369</v>
      </c>
      <c r="C58" s="3597"/>
      <c r="D58" s="2324" t="e">
        <f ca="1">IF(H58="转让取得",C81,C97)</f>
        <v>#REF!</v>
      </c>
      <c r="E58" s="2334" t="s">
        <v>1364</v>
      </c>
      <c r="F58" s="302" t="s">
        <v>28</v>
      </c>
      <c r="G58" s="2555"/>
      <c r="H58" s="2558"/>
      <c r="I58" s="1808"/>
      <c r="J58" s="3574"/>
      <c r="K58" s="3574"/>
      <c r="L58" s="2530" t="s">
        <v>1370</v>
      </c>
      <c r="M58" s="2534"/>
      <c r="N58" s="2535" t="str">
        <f ca="1">NUMBERSTRING(INT(N57*10000),2)&amp;"元整"</f>
        <v>零元整</v>
      </c>
      <c r="O58" s="2536"/>
    </row>
    <row r="59" spans="1:35" ht="24.75" thickBot="1">
      <c r="A59" s="3578" t="s">
        <v>1371</v>
      </c>
      <c r="B59" s="3579"/>
      <c r="C59" s="357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6">
        <f>J57+1</f>
        <v>6</v>
      </c>
      <c r="K59" s="3574" t="s">
        <v>1372</v>
      </c>
      <c r="L59" s="2523" t="s">
        <v>1368</v>
      </c>
      <c r="M59" s="2537"/>
      <c r="N59" s="2538" t="e">
        <f ca="1">M49-N57</f>
        <v>#VALUE!</v>
      </c>
      <c r="O59" s="2539"/>
    </row>
    <row r="60" spans="1:35" ht="12" customHeight="1">
      <c r="A60" s="1809"/>
      <c r="B60" s="1747"/>
      <c r="C60" s="1747"/>
      <c r="D60" s="1747"/>
      <c r="E60" s="1578"/>
      <c r="F60" s="1808"/>
      <c r="G60" s="1808"/>
      <c r="H60" s="1810"/>
      <c r="I60" s="129"/>
      <c r="J60" s="3577"/>
      <c r="K60" s="3574"/>
      <c r="L60" s="2530" t="s">
        <v>1370</v>
      </c>
      <c r="M60" s="2534"/>
      <c r="N60" s="2535" t="e">
        <f ca="1">NUMBERSTRING(INT(N59*10000),2)&amp;"元整"</f>
        <v>#VALUE!</v>
      </c>
      <c r="O60" s="2536"/>
    </row>
    <row r="61" spans="1:35" ht="13.5" thickBot="1">
      <c r="A61" s="3633" t="s">
        <v>1373</v>
      </c>
      <c r="B61" s="3633"/>
      <c r="C61" s="3633"/>
      <c r="D61" s="3633"/>
      <c r="E61" s="3633"/>
      <c r="F61" s="1808"/>
      <c r="G61" s="1808"/>
      <c r="H61" s="1810"/>
      <c r="I61" s="129"/>
      <c r="J61" s="2523">
        <f>J59+1</f>
        <v>7</v>
      </c>
      <c r="K61" s="3574" t="s">
        <v>1374</v>
      </c>
      <c r="L61" s="3574"/>
      <c r="M61" s="2540"/>
      <c r="N61" s="2541" t="e">
        <f ca="1">ROUND(N59*10000/'数据-汇总表'!E3,0)</f>
        <v>#VALUE!</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5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0" t="s">
        <v>1419</v>
      </c>
      <c r="F91" s="3591"/>
      <c r="G91" s="359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 (元)</v>
      </c>
      <c r="D101" s="2586" t="str">
        <f>D4</f>
        <v>比较法-车位</v>
      </c>
      <c r="E101" s="3553" t="s">
        <v>1431</v>
      </c>
      <c r="F101" s="3554"/>
      <c r="G101" s="1827" t="s">
        <v>1432</v>
      </c>
      <c r="H101" s="2595" t="e">
        <f ca="1">H118</f>
        <v>#REF!</v>
      </c>
      <c r="I101" s="129"/>
    </row>
    <row r="102" spans="1:35" ht="18.75" customHeight="1">
      <c r="A102" s="3585" t="s">
        <v>1433</v>
      </c>
      <c r="B102" s="2584" t="s">
        <v>1432</v>
      </c>
      <c r="C102" s="2585">
        <f ca="1">IF(D32="楼面单价",ROUND(C19,0),C19)</f>
        <v>32.345199999999998</v>
      </c>
      <c r="D102" s="2586">
        <f ca="1">IF(D32="楼面单价",ROUND(D19,0),D19)</f>
        <v>35</v>
      </c>
      <c r="E102" s="3553"/>
      <c r="F102" s="3554"/>
      <c r="G102" s="1827" t="s">
        <v>1434</v>
      </c>
      <c r="H102" s="2555" t="e">
        <f ca="1">I118</f>
        <v>#REF!</v>
      </c>
      <c r="I102" s="129"/>
    </row>
    <row r="103" spans="1:35" ht="42.75" customHeight="1">
      <c r="A103" s="3585"/>
      <c r="B103" s="2584" t="s">
        <v>1434</v>
      </c>
      <c r="C103" s="2587">
        <f ca="1">C20</f>
        <v>10703</v>
      </c>
      <c r="D103" s="2588">
        <f ca="1">D20</f>
        <v>11468</v>
      </c>
      <c r="E103" s="3546" t="s">
        <v>1435</v>
      </c>
      <c r="F103" s="3547"/>
      <c r="G103" s="1828" t="s">
        <v>1436</v>
      </c>
      <c r="H103" s="2595">
        <f>IF(D36="正常操作",H104+H105+H106,H105+H106)</f>
        <v>0</v>
      </c>
      <c r="I103" s="129"/>
    </row>
    <row r="104" spans="1:35" ht="18.75" customHeight="1">
      <c r="A104" s="358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t="e">
        <f ca="1">IF(E107="——","——",H101-H103)</f>
        <v>#REF!</v>
      </c>
      <c r="I107" s="129"/>
    </row>
    <row r="108" spans="1:35" ht="18.75" customHeight="1">
      <c r="A108" s="129"/>
      <c r="B108" s="129"/>
      <c r="C108" s="129"/>
      <c r="D108" s="129"/>
      <c r="E108" s="3586"/>
      <c r="F108" s="3554"/>
      <c r="G108" s="1827" t="s">
        <v>1434</v>
      </c>
      <c r="H108" s="2555">
        <f ca="1">IF(H107=H101,H102,ROUND(H107*10000/'数据-汇总表'!E3,0))</f>
        <v>0</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30.22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1" t="s">
        <v>1452</v>
      </c>
      <c r="B119" s="3561"/>
      <c r="C119" s="3561"/>
      <c r="D119" s="3567" t="e">
        <f ca="1">NUMBERSTRING(INT(D118*10000),2)&amp;"元整"</f>
        <v>#REF!</v>
      </c>
      <c r="E119" s="3568"/>
      <c r="F119" s="3567" t="e">
        <f ca="1">NUMBERSTRING(INT(F118*10000),2)&amp;"元整"</f>
        <v>#REF!</v>
      </c>
      <c r="G119" s="3568"/>
      <c r="H119" s="3567" t="e">
        <f ca="1">NUMBERSTRING(INT(H118*10000),2)&amp;"元整"</f>
        <v>#REF!</v>
      </c>
      <c r="I119" s="3568"/>
    </row>
    <row r="120" spans="1:27" ht="18.75" customHeight="1">
      <c r="A120" s="3562" t="str">
        <f>IF(项目基本情况!B9="房地产市场价值","",MID(E103,3,LEN(E103)-2))</f>
        <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
      </c>
      <c r="B122" s="3573"/>
      <c r="C122" s="3573"/>
      <c r="D122" s="3562" t="e">
        <f ca="1">H107</f>
        <v>#REF!</v>
      </c>
      <c r="E122" s="3563"/>
      <c r="F122" s="3563"/>
      <c r="G122" s="3563"/>
      <c r="H122" s="3563"/>
      <c r="I122" s="3564"/>
      <c r="AA122" s="725"/>
    </row>
    <row r="123" spans="1:27" ht="18.75" customHeight="1">
      <c r="A123" s="3561" t="s">
        <v>1452</v>
      </c>
      <c r="B123" s="3561"/>
      <c r="C123" s="3561"/>
      <c r="D123" s="3567" t="e">
        <f ca="1">NUMBERSTRING(INT(D122*10000),2)&amp;"元整"</f>
        <v>#REF!</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6287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30.22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30.22</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15</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30.22</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1.4E-3</v>
      </c>
      <c r="D44" s="238"/>
      <c r="E44" s="238"/>
      <c r="F44" s="239"/>
      <c r="G44" s="3642"/>
    </row>
    <row r="45" spans="1:7" s="214" customFormat="1" ht="13.5" customHeight="1">
      <c r="A45" s="255" t="s">
        <v>1547</v>
      </c>
      <c r="B45" s="244" t="s">
        <v>1513</v>
      </c>
      <c r="C45" s="245">
        <f ca="1">C46</f>
        <v>3</v>
      </c>
      <c r="D45" s="235">
        <f ca="1">C47</f>
        <v>4.4999999999999997E-3</v>
      </c>
      <c r="E45" s="236" t="s">
        <v>1539</v>
      </c>
      <c r="F45" s="246">
        <f ca="1">F27</f>
        <v>0.15</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18</v>
      </c>
      <c r="D51" s="232"/>
      <c r="E51" s="232"/>
      <c r="F51" s="264"/>
      <c r="G51" s="234" t="s">
        <v>1560</v>
      </c>
    </row>
    <row r="52" spans="1:7" s="208" customFormat="1" ht="16.5" thickBot="1">
      <c r="A52" s="265" t="s">
        <v>1561</v>
      </c>
      <c r="B52" s="266"/>
      <c r="C52" s="267">
        <f ca="1">C31+C51</f>
        <v>19</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北京市房地产市场价值预评估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6" zoomScale="85" zoomScaleNormal="60" zoomScaleSheetLayoutView="85" workbookViewId="0">
      <selection activeCell="K30" sqref="K3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t="s">
        <v>3395</v>
      </c>
      <c r="E1" s="3433" t="s">
        <v>3442</v>
      </c>
      <c r="F1" s="1879" t="s">
        <v>3441</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35</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11468</v>
      </c>
      <c r="C3" s="354" t="s">
        <v>1768</v>
      </c>
      <c r="D3" s="353">
        <f>SUMIF('数据-汇总表'!$C19:$C33,D1,'数据-汇总表'!$E19:$E33)</f>
        <v>30.22</v>
      </c>
      <c r="E3" s="354" t="s">
        <v>1832</v>
      </c>
      <c r="F3" s="353">
        <f>SUMIF('数据-取费表'!A5:A15,D1,'数据-取费表'!AH5:AH15)</f>
        <v>1</v>
      </c>
      <c r="G3" s="908"/>
      <c r="H3" s="908"/>
      <c r="I3" s="908"/>
      <c r="J3" s="908"/>
      <c r="K3" s="910"/>
      <c r="L3" s="2734"/>
      <c r="M3" s="2735">
        <f>IF(C2="——",IF(B37="元/平方米",ROUND(C39*D3/10000,0),ROUND(F3*C39/10000,0)),IF(B37="元/平方米",ROUND(C39*D3/10000,0),ROUND(F3*C39/10000,0))-D2)</f>
        <v>35</v>
      </c>
      <c r="N3" s="2735"/>
      <c r="O3" s="2735"/>
      <c r="P3" s="1165"/>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4" t="s">
        <v>3431</v>
      </c>
      <c r="D5" s="3655"/>
      <c r="E5" s="3652" t="s">
        <v>3430</v>
      </c>
      <c r="F5" s="3653"/>
      <c r="G5" s="3658" t="str">
        <f>E5</f>
        <v>珠江帝景B区</v>
      </c>
      <c r="H5" s="3655"/>
      <c r="I5" s="3658" t="str">
        <f>E5</f>
        <v>珠江帝景B区</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f>车位案例!$A$2</f>
        <v>45350.333831018521</v>
      </c>
      <c r="F7" s="367">
        <f>SUMIF(48:48,YEAR(E7)&amp;"-"&amp;MONTH(E7),49:49)</f>
        <v>100</v>
      </c>
      <c r="G7" s="366">
        <f>车位案例!$A$3</f>
        <v>45301.333831018521</v>
      </c>
      <c r="H7" s="365">
        <f>SUMIF(48:48,YEAR(G7)&amp;"-"&amp;MONTH(G7),49:49)</f>
        <v>100</v>
      </c>
      <c r="I7" s="366">
        <f>车位案例!$A$4</f>
        <v>45286.333831018521</v>
      </c>
      <c r="J7" s="365">
        <f>SUMIF(48:48,YEAR(I7)&amp;"-"&amp;MONTH(I7),49:49)</f>
        <v>100</v>
      </c>
      <c r="K7" s="560"/>
      <c r="L7" s="2717"/>
      <c r="M7" s="2718"/>
      <c r="N7" s="2718"/>
      <c r="O7" s="2718"/>
      <c r="P7" s="3646" t="s">
        <v>1680</v>
      </c>
      <c r="Q7" s="3675"/>
      <c r="R7" s="701" t="s">
        <v>14</v>
      </c>
      <c r="S7" s="702">
        <f t="shared" ref="S7:S14" si="0">F7</f>
        <v>100</v>
      </c>
      <c r="T7" s="701" t="s">
        <v>14</v>
      </c>
      <c r="U7" s="702">
        <f t="shared" ref="U7:U14" si="1">H7</f>
        <v>100</v>
      </c>
      <c r="V7" s="701" t="s">
        <v>14</v>
      </c>
      <c r="W7" s="702">
        <f t="shared" ref="W7:W14" si="2">J7</f>
        <v>100</v>
      </c>
      <c r="X7" s="703"/>
      <c r="Y7" s="3646" t="s">
        <v>1680</v>
      </c>
      <c r="Z7" s="3647"/>
      <c r="AA7" s="704">
        <f>D7/F7</f>
        <v>1</v>
      </c>
      <c r="AB7" s="704">
        <f>D7/H7</f>
        <v>1</v>
      </c>
      <c r="AC7" s="704">
        <f>D7/J7</f>
        <v>1</v>
      </c>
    </row>
    <row r="8" spans="1:29" s="108" customFormat="1" ht="15.75" thickBot="1">
      <c r="A8" s="362" t="s">
        <v>1681</v>
      </c>
      <c r="B8" s="363"/>
      <c r="C8" s="368" t="s">
        <v>3432</v>
      </c>
      <c r="D8" s="365">
        <v>100</v>
      </c>
      <c r="E8" s="368" t="s">
        <v>3432</v>
      </c>
      <c r="F8" s="367">
        <f>SUMIF(51:51,E8,52:52)-SUMIF(51:51,C8,52:52)+100</f>
        <v>100</v>
      </c>
      <c r="G8" s="368" t="s">
        <v>3432</v>
      </c>
      <c r="H8" s="365">
        <f>SUMIF(51:51,G8,52:52)-SUMIF(51:51,C8,52:52)+100</f>
        <v>100</v>
      </c>
      <c r="I8" s="368" t="s">
        <v>3432</v>
      </c>
      <c r="J8" s="365">
        <f>SUMIF(51:51,I8,52:52)-SUMIF(51:51,C8,52:52)+100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6" si="3">D8/F8</f>
        <v>1</v>
      </c>
      <c r="AB8" s="704">
        <f t="shared" ref="AB8:AB36" si="4">D8/H8</f>
        <v>1</v>
      </c>
      <c r="AC8" s="704">
        <f t="shared" ref="AC8:AC36" si="5">D8/J8</f>
        <v>1</v>
      </c>
    </row>
    <row r="9" spans="1:29" s="108" customFormat="1">
      <c r="A9" s="60" t="s">
        <v>1684</v>
      </c>
      <c r="B9" s="588" t="s">
        <v>1685</v>
      </c>
      <c r="C9" s="3454" t="s">
        <v>3433</v>
      </c>
      <c r="D9" s="126">
        <v>100</v>
      </c>
      <c r="E9" s="373" t="s">
        <v>3395</v>
      </c>
      <c r="F9" s="126">
        <f>SUMIF(53:53,E9,54:54)-SUMIF(53:53,C9,54:54)+100</f>
        <v>100</v>
      </c>
      <c r="G9" s="371" t="s">
        <v>3395</v>
      </c>
      <c r="H9" s="126">
        <f>SUMIF(53:53,G9,54:54)-SUMIF(53:53,C9,54:54)+100</f>
        <v>100</v>
      </c>
      <c r="I9" s="371" t="s">
        <v>3395</v>
      </c>
      <c r="J9" s="126">
        <f>SUMIF(53:53,I9,54:54)-SUMIF(53:53,C9,54:54)+100</f>
        <v>100</v>
      </c>
      <c r="K9" s="560"/>
      <c r="L9" s="2717"/>
      <c r="M9" s="2718"/>
      <c r="N9" s="2718"/>
      <c r="O9" s="2718"/>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7"/>
      <c r="Q15" s="1352"/>
      <c r="R15" s="705"/>
      <c r="S15" s="706"/>
      <c r="T15" s="705"/>
      <c r="U15" s="706"/>
      <c r="V15" s="705"/>
      <c r="W15" s="706"/>
      <c r="X15" s="1355"/>
      <c r="Y15" s="367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7"/>
      <c r="Q17" s="1352"/>
      <c r="R17" s="705"/>
      <c r="S17" s="706"/>
      <c r="T17" s="705"/>
      <c r="U17" s="706"/>
      <c r="V17" s="705"/>
      <c r="W17" s="706"/>
      <c r="X17" s="1355"/>
      <c r="Y17" s="367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7"/>
      <c r="Q19" s="1352"/>
      <c r="R19" s="705"/>
      <c r="S19" s="706"/>
      <c r="T19" s="705"/>
      <c r="U19" s="706"/>
      <c r="V19" s="705"/>
      <c r="W19" s="706"/>
      <c r="X19" s="1355"/>
      <c r="Y19" s="367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7"/>
      <c r="Q21" s="1352"/>
      <c r="R21" s="705"/>
      <c r="S21" s="706"/>
      <c r="T21" s="705"/>
      <c r="U21" s="706"/>
      <c r="V21" s="705"/>
      <c r="W21" s="706"/>
      <c r="X21" s="1355"/>
      <c r="Y21" s="367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7"/>
      <c r="Q24" s="1352">
        <f t="shared" ref="Q24:Q36"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600" t="s">
        <v>1694</v>
      </c>
      <c r="B26" s="62" t="s">
        <v>1836</v>
      </c>
      <c r="C26" s="1972" t="str">
        <f>B1</f>
        <v>车库</v>
      </c>
      <c r="D26" s="399">
        <v>100</v>
      </c>
      <c r="E26" s="398" t="s">
        <v>3335</v>
      </c>
      <c r="F26" s="400">
        <f>SUMIF(79:79,E26,80:80)-SUMIF(79:79,C26,80:80)+100</f>
        <v>100</v>
      </c>
      <c r="G26" s="398" t="s">
        <v>3335</v>
      </c>
      <c r="H26" s="399">
        <f>SUMIF(79:79,G26,80:80)-SUMIF(79:79,C26,80:80)+100</f>
        <v>100</v>
      </c>
      <c r="I26" s="398" t="s">
        <v>3335</v>
      </c>
      <c r="J26" s="399">
        <f>SUMIF(79:79,I26,80:80)-SUMIF(79:79,C26,80:80)+100</f>
        <v>100</v>
      </c>
      <c r="K26" s="561"/>
      <c r="L26" s="2722"/>
      <c r="M26" s="2716"/>
      <c r="N26" s="2716"/>
      <c r="O26" s="2716"/>
      <c r="P26" s="3678"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79" t="s">
        <v>1696</v>
      </c>
      <c r="Z26" s="1356" t="str">
        <f t="shared" ref="Z26:Z36" si="15">Q26</f>
        <v>配套类型</v>
      </c>
      <c r="AA26" s="1353">
        <f t="shared" si="3"/>
        <v>1</v>
      </c>
      <c r="AB26" s="1353">
        <f t="shared" si="4"/>
        <v>1</v>
      </c>
      <c r="AC26" s="1353">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9"/>
      <c r="Q27" s="707" t="str">
        <f t="shared" si="11"/>
        <v>项目停车位配比</v>
      </c>
      <c r="R27" s="708" t="s">
        <v>14</v>
      </c>
      <c r="S27" s="709">
        <f t="shared" si="12"/>
        <v>100</v>
      </c>
      <c r="T27" s="708" t="s">
        <v>14</v>
      </c>
      <c r="U27" s="709">
        <f t="shared" si="13"/>
        <v>100</v>
      </c>
      <c r="V27" s="708" t="s">
        <v>14</v>
      </c>
      <c r="W27" s="709">
        <f t="shared" si="14"/>
        <v>100</v>
      </c>
      <c r="X27" s="710"/>
      <c r="Y27" s="3679"/>
      <c r="Z27" s="711" t="str">
        <f t="shared" si="15"/>
        <v>项目停车位配比</v>
      </c>
      <c r="AA27" s="1353">
        <f t="shared" si="3"/>
        <v>1</v>
      </c>
      <c r="AB27" s="1353">
        <f t="shared" si="4"/>
        <v>1</v>
      </c>
      <c r="AC27" s="1353">
        <f t="shared" si="5"/>
        <v>1</v>
      </c>
    </row>
    <row r="28" spans="1:29" ht="15">
      <c r="A28" s="604"/>
      <c r="B28" s="602" t="s">
        <v>1838</v>
      </c>
      <c r="C28" s="411" t="s">
        <v>3438</v>
      </c>
      <c r="D28" s="386">
        <v>100</v>
      </c>
      <c r="E28" s="411" t="s">
        <v>3438</v>
      </c>
      <c r="F28" s="412">
        <f>SUMIF(83:83,E28,84:84)-SUMIF(83:83,C28,84:84)+100</f>
        <v>100</v>
      </c>
      <c r="G28" s="411" t="s">
        <v>3438</v>
      </c>
      <c r="H28" s="386">
        <f>SUMIF(83:83,G28,84:84)-SUMIF(83:83,C28,84:84)+100</f>
        <v>100</v>
      </c>
      <c r="I28" s="411" t="s">
        <v>3438</v>
      </c>
      <c r="J28" s="386">
        <f>SUMIF(83:83,I28,84:84)-SUMIF(83:83,C28,84:84)+100</f>
        <v>100</v>
      </c>
      <c r="K28" s="561"/>
      <c r="L28" s="2722"/>
      <c r="M28" s="2716"/>
      <c r="N28" s="2716"/>
      <c r="O28" s="2716"/>
      <c r="P28" s="3679"/>
      <c r="Q28" s="1352" t="str">
        <f t="shared" si="11"/>
        <v>公共部分装修</v>
      </c>
      <c r="R28" s="705" t="s">
        <v>14</v>
      </c>
      <c r="S28" s="706">
        <f t="shared" si="12"/>
        <v>100</v>
      </c>
      <c r="T28" s="705" t="s">
        <v>14</v>
      </c>
      <c r="U28" s="706">
        <f t="shared" si="13"/>
        <v>100</v>
      </c>
      <c r="V28" s="705" t="s">
        <v>14</v>
      </c>
      <c r="W28" s="706">
        <f t="shared" si="14"/>
        <v>100</v>
      </c>
      <c r="X28" s="1355"/>
      <c r="Y28" s="3679"/>
      <c r="Z28" s="1356" t="str">
        <f t="shared" si="15"/>
        <v>公共部分装修</v>
      </c>
      <c r="AA28" s="1353">
        <f t="shared" si="3"/>
        <v>1</v>
      </c>
      <c r="AB28" s="1353">
        <f t="shared" si="4"/>
        <v>1</v>
      </c>
      <c r="AC28" s="1353">
        <f t="shared" si="5"/>
        <v>1</v>
      </c>
    </row>
    <row r="29" spans="1:29" ht="15">
      <c r="A29" s="604"/>
      <c r="B29" s="602" t="s">
        <v>1839</v>
      </c>
      <c r="C29" s="425">
        <v>0.75</v>
      </c>
      <c r="D29" s="386">
        <v>100</v>
      </c>
      <c r="E29" s="425">
        <v>0.67</v>
      </c>
      <c r="F29" s="412">
        <f>LOOKUP(E29,86:86,87:87)-LOOKUP(C29,86:86,87:87)+100</f>
        <v>90</v>
      </c>
      <c r="G29" s="425">
        <v>0.67</v>
      </c>
      <c r="H29" s="412">
        <f>LOOKUP(G29,86:86,87:87)-LOOKUP(C29,86:86,87:87)+100</f>
        <v>90</v>
      </c>
      <c r="I29" s="425">
        <f>E29</f>
        <v>0.67</v>
      </c>
      <c r="J29" s="386">
        <f>LOOKUP(I29,86:86,87:87)-LOOKUP(C29,86:86,87:87)+100</f>
        <v>90</v>
      </c>
      <c r="K29" s="561">
        <v>10</v>
      </c>
      <c r="L29" s="2722"/>
      <c r="M29" s="2716"/>
      <c r="N29" s="2716"/>
      <c r="O29" s="2716"/>
      <c r="P29" s="3679"/>
      <c r="Q29" s="1352" t="str">
        <f t="shared" si="11"/>
        <v>成新率</v>
      </c>
      <c r="R29" s="705" t="s">
        <v>14</v>
      </c>
      <c r="S29" s="706">
        <f t="shared" si="12"/>
        <v>90</v>
      </c>
      <c r="T29" s="705" t="s">
        <v>14</v>
      </c>
      <c r="U29" s="706">
        <f t="shared" si="13"/>
        <v>90</v>
      </c>
      <c r="V29" s="705" t="s">
        <v>14</v>
      </c>
      <c r="W29" s="706">
        <f t="shared" si="14"/>
        <v>90</v>
      </c>
      <c r="X29" s="1355"/>
      <c r="Y29" s="3679"/>
      <c r="Z29" s="1356" t="str">
        <f t="shared" si="15"/>
        <v>成新率</v>
      </c>
      <c r="AA29" s="1353">
        <f t="shared" si="3"/>
        <v>1.1111111111111112</v>
      </c>
      <c r="AB29" s="1353">
        <f t="shared" si="4"/>
        <v>1.1111111111111112</v>
      </c>
      <c r="AC29" s="1353">
        <f t="shared" si="5"/>
        <v>1.1111111111111112</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9"/>
      <c r="Q30" s="1352" t="str">
        <f t="shared" si="11"/>
        <v>物业等级</v>
      </c>
      <c r="R30" s="705" t="s">
        <v>14</v>
      </c>
      <c r="S30" s="706">
        <f t="shared" si="12"/>
        <v>100</v>
      </c>
      <c r="T30" s="705" t="s">
        <v>14</v>
      </c>
      <c r="U30" s="706">
        <f t="shared" si="13"/>
        <v>100</v>
      </c>
      <c r="V30" s="705" t="s">
        <v>14</v>
      </c>
      <c r="W30" s="706">
        <f t="shared" si="14"/>
        <v>100</v>
      </c>
      <c r="X30" s="1355"/>
      <c r="Y30" s="3679"/>
      <c r="Z30" s="1356" t="str">
        <f t="shared" si="15"/>
        <v>物业等级</v>
      </c>
      <c r="AA30" s="1353">
        <f t="shared" si="3"/>
        <v>1</v>
      </c>
      <c r="AB30" s="1353">
        <f t="shared" si="4"/>
        <v>1</v>
      </c>
      <c r="AC30" s="1353">
        <f t="shared" si="5"/>
        <v>1</v>
      </c>
    </row>
    <row r="31" spans="1:29" s="108" customFormat="1" ht="15">
      <c r="A31" s="606"/>
      <c r="B31" s="602" t="s">
        <v>1841</v>
      </c>
      <c r="C31" s="420">
        <f>'数据-汇总表'!E6</f>
        <v>30.22</v>
      </c>
      <c r="D31" s="127">
        <v>100</v>
      </c>
      <c r="E31" s="420">
        <f>车位案例!$J$2</f>
        <v>31.6</v>
      </c>
      <c r="F31" s="412">
        <f>LOOKUP(E31,91:91,92:92)-LOOKUP(C31,91:91,92:92)+100</f>
        <v>100</v>
      </c>
      <c r="G31" s="420">
        <f>车位案例!$J$3</f>
        <v>31.2</v>
      </c>
      <c r="H31" s="386">
        <f>LOOKUP(G31,91:91,92:92)-LOOKUP(C31,91:91,92:92)+100</f>
        <v>100</v>
      </c>
      <c r="I31" s="420">
        <f>车位案例!$J$4</f>
        <v>31.2</v>
      </c>
      <c r="J31" s="386">
        <f>LOOKUP(I31,91:91,92:92)-LOOKUP(C31,91:91,92:92)+100</f>
        <v>100</v>
      </c>
      <c r="K31" s="561">
        <v>1</v>
      </c>
      <c r="L31" s="2717"/>
      <c r="M31" s="2718"/>
      <c r="N31" s="2718"/>
      <c r="O31" s="2718"/>
      <c r="P31" s="3679"/>
      <c r="Q31" s="1343" t="str">
        <f t="shared" si="11"/>
        <v>停车位面积</v>
      </c>
      <c r="R31" s="701" t="s">
        <v>14</v>
      </c>
      <c r="S31" s="702">
        <f t="shared" si="12"/>
        <v>100</v>
      </c>
      <c r="T31" s="701" t="s">
        <v>14</v>
      </c>
      <c r="U31" s="702">
        <f t="shared" si="13"/>
        <v>100</v>
      </c>
      <c r="V31" s="701" t="s">
        <v>14</v>
      </c>
      <c r="W31" s="702">
        <f t="shared" si="14"/>
        <v>100</v>
      </c>
      <c r="X31" s="703"/>
      <c r="Y31" s="3679"/>
      <c r="Z31" s="52" t="str">
        <f t="shared" si="15"/>
        <v>停车位面积</v>
      </c>
      <c r="AA31" s="704">
        <f t="shared" si="3"/>
        <v>1</v>
      </c>
      <c r="AB31" s="704">
        <f t="shared" si="4"/>
        <v>1</v>
      </c>
      <c r="AC31" s="704">
        <f t="shared" si="5"/>
        <v>1</v>
      </c>
    </row>
    <row r="32" spans="1:29" ht="15">
      <c r="A32" s="604"/>
      <c r="B32" s="602" t="s">
        <v>1842</v>
      </c>
      <c r="C32" s="411" t="s">
        <v>3434</v>
      </c>
      <c r="D32" s="386">
        <v>100</v>
      </c>
      <c r="E32" s="411" t="s">
        <v>3434</v>
      </c>
      <c r="F32" s="412">
        <f>SUMIF(93:93,E32,94:94)-SUMIF(93:93,C32,94:94)+100</f>
        <v>100</v>
      </c>
      <c r="G32" s="411" t="s">
        <v>3434</v>
      </c>
      <c r="H32" s="386">
        <f>SUMIF(93:93,G32,94:94)-SUMIF(93:93,C32,94:94)+100</f>
        <v>100</v>
      </c>
      <c r="I32" s="411" t="s">
        <v>3434</v>
      </c>
      <c r="J32" s="386">
        <f>SUMIF(93:93,I32,94:94)-SUMIF(93:93,C32,94:94)+100</f>
        <v>100</v>
      </c>
      <c r="K32" s="561"/>
      <c r="L32" s="2722"/>
      <c r="M32" s="2716"/>
      <c r="N32" s="2716"/>
      <c r="O32" s="2716"/>
      <c r="P32" s="3679" t="s">
        <v>1696</v>
      </c>
      <c r="Q32" s="1352" t="str">
        <f t="shared" si="11"/>
        <v>车位类型</v>
      </c>
      <c r="R32" s="705" t="s">
        <v>14</v>
      </c>
      <c r="S32" s="706">
        <f t="shared" si="12"/>
        <v>100</v>
      </c>
      <c r="T32" s="705" t="s">
        <v>14</v>
      </c>
      <c r="U32" s="706">
        <f t="shared" si="13"/>
        <v>100</v>
      </c>
      <c r="V32" s="705" t="s">
        <v>14</v>
      </c>
      <c r="W32" s="706">
        <f t="shared" si="14"/>
        <v>100</v>
      </c>
      <c r="X32" s="1355"/>
      <c r="Y32" s="3679" t="s">
        <v>1696</v>
      </c>
      <c r="Z32" s="1356" t="str">
        <f t="shared" si="15"/>
        <v>车位类型</v>
      </c>
      <c r="AA32" s="1353">
        <f t="shared" si="3"/>
        <v>1</v>
      </c>
      <c r="AB32" s="1353">
        <f t="shared" si="4"/>
        <v>1</v>
      </c>
      <c r="AC32" s="1353">
        <f t="shared" si="5"/>
        <v>1</v>
      </c>
    </row>
    <row r="33" spans="1:29" ht="15">
      <c r="A33" s="604"/>
      <c r="B33" s="602" t="s">
        <v>1843</v>
      </c>
      <c r="C33" s="411" t="s">
        <v>3436</v>
      </c>
      <c r="D33" s="386">
        <v>100</v>
      </c>
      <c r="E33" s="411" t="s">
        <v>3436</v>
      </c>
      <c r="F33" s="412">
        <f>SUMIF(95:95,E33,96:96)-SUMIF(95:95,C33,96:96)+100</f>
        <v>100</v>
      </c>
      <c r="G33" s="411" t="s">
        <v>3436</v>
      </c>
      <c r="H33" s="386">
        <f>SUMIF(95:95,G33,96:96)-SUMIF(95:95,C33,96:96)+100</f>
        <v>100</v>
      </c>
      <c r="I33" s="411" t="s">
        <v>3436</v>
      </c>
      <c r="J33" s="386">
        <f>SUMIF(95:95,I33,96:96)-SUMIF(95:95,C33,96:96)+100</f>
        <v>100</v>
      </c>
      <c r="K33" s="561"/>
      <c r="L33" s="2722"/>
      <c r="M33" s="2716"/>
      <c r="N33" s="2716"/>
      <c r="O33" s="2716"/>
      <c r="P33" s="3679"/>
      <c r="Q33" s="1352" t="str">
        <f t="shared" si="11"/>
        <v>是否直接入户</v>
      </c>
      <c r="R33" s="705" t="s">
        <v>14</v>
      </c>
      <c r="S33" s="706">
        <f t="shared" si="12"/>
        <v>100</v>
      </c>
      <c r="T33" s="705" t="s">
        <v>14</v>
      </c>
      <c r="U33" s="706">
        <f t="shared" si="13"/>
        <v>100</v>
      </c>
      <c r="V33" s="705" t="s">
        <v>14</v>
      </c>
      <c r="W33" s="706">
        <f t="shared" si="14"/>
        <v>100</v>
      </c>
      <c r="X33" s="1355"/>
      <c r="Y33" s="367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9"/>
      <c r="Q35" s="707">
        <f t="shared" si="11"/>
        <v>111</v>
      </c>
      <c r="R35" s="708" t="s">
        <v>14</v>
      </c>
      <c r="S35" s="709">
        <f t="shared" si="12"/>
        <v>100</v>
      </c>
      <c r="T35" s="708" t="s">
        <v>14</v>
      </c>
      <c r="U35" s="709">
        <f t="shared" si="13"/>
        <v>100</v>
      </c>
      <c r="V35" s="708" t="s">
        <v>14</v>
      </c>
      <c r="W35" s="709">
        <f t="shared" si="14"/>
        <v>100</v>
      </c>
      <c r="X35" s="710"/>
      <c r="Y35" s="367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9"/>
      <c r="Q36" s="1352">
        <f t="shared" si="11"/>
        <v>111</v>
      </c>
      <c r="R36" s="705" t="s">
        <v>14</v>
      </c>
      <c r="S36" s="706">
        <f t="shared" si="12"/>
        <v>100</v>
      </c>
      <c r="T36" s="705" t="s">
        <v>14</v>
      </c>
      <c r="U36" s="706">
        <f t="shared" si="13"/>
        <v>100</v>
      </c>
      <c r="V36" s="705" t="s">
        <v>14</v>
      </c>
      <c r="W36" s="706">
        <f t="shared" si="14"/>
        <v>100</v>
      </c>
      <c r="X36" s="1355"/>
      <c r="Y36" s="3679"/>
      <c r="Z36" s="1356">
        <f t="shared" si="15"/>
        <v>111</v>
      </c>
      <c r="AA36" s="1353">
        <f t="shared" si="3"/>
        <v>1</v>
      </c>
      <c r="AB36" s="1353">
        <f t="shared" si="4"/>
        <v>1</v>
      </c>
      <c r="AC36" s="1353">
        <f t="shared" si="5"/>
        <v>1</v>
      </c>
    </row>
    <row r="37" spans="1:29" ht="15">
      <c r="A37" s="430" t="s">
        <v>1844</v>
      </c>
      <c r="B37" s="1973" t="s">
        <v>3356</v>
      </c>
      <c r="C37" s="1154" t="s">
        <v>0</v>
      </c>
      <c r="D37" s="1155"/>
      <c r="E37" s="1156">
        <f>车位案例!$L$2</f>
        <v>9810</v>
      </c>
      <c r="F37" s="1157"/>
      <c r="G37" s="1158">
        <f>车位案例!$L$3</f>
        <v>10577</v>
      </c>
      <c r="H37" s="1159"/>
      <c r="I37" s="1156">
        <f>车位案例!$L$4</f>
        <v>10577</v>
      </c>
      <c r="J37" s="1159"/>
      <c r="K37" s="568"/>
      <c r="L37" s="2724"/>
      <c r="M37" s="2725"/>
      <c r="N37" s="2716"/>
      <c r="O37" s="2725"/>
      <c r="P37" s="3661" t="str">
        <f>A37</f>
        <v>成交单价</v>
      </c>
      <c r="Q37" s="3661"/>
      <c r="R37" s="3680">
        <f>E37</f>
        <v>9810</v>
      </c>
      <c r="S37" s="3680"/>
      <c r="T37" s="3680">
        <f>G37</f>
        <v>10577</v>
      </c>
      <c r="U37" s="3680"/>
      <c r="V37" s="3680">
        <f>I37</f>
        <v>10577</v>
      </c>
      <c r="W37" s="3680"/>
      <c r="X37" s="690"/>
      <c r="Y37" s="712"/>
      <c r="Z37" s="690"/>
      <c r="AA37" s="690"/>
      <c r="AB37" s="690"/>
      <c r="AC37" s="690"/>
    </row>
    <row r="38" spans="1:29" ht="15.75" thickBot="1">
      <c r="A38" s="437" t="s">
        <v>1845</v>
      </c>
      <c r="B38" s="438" t="str">
        <f>B37</f>
        <v>元/平方米</v>
      </c>
      <c r="C38" s="1160">
        <f>R39</f>
        <v>11468</v>
      </c>
      <c r="D38" s="2317" t="s">
        <v>2138</v>
      </c>
      <c r="E38" s="1161">
        <f>R38</f>
        <v>10900</v>
      </c>
      <c r="F38" s="2318"/>
      <c r="G38" s="1160">
        <f>T38</f>
        <v>11752</v>
      </c>
      <c r="H38" s="2318"/>
      <c r="I38" s="1161">
        <f>V38</f>
        <v>11752</v>
      </c>
      <c r="J38" s="2318"/>
      <c r="K38" s="2320">
        <f>F38+H38+J38</f>
        <v>0</v>
      </c>
      <c r="L38" s="2724"/>
      <c r="M38" s="2725"/>
      <c r="N38" s="2725"/>
      <c r="O38" s="2725"/>
      <c r="P38" s="3661" t="str">
        <f>A38</f>
        <v>比较价值（元/平方米）</v>
      </c>
      <c r="Q38" s="3661"/>
      <c r="R38" s="3680">
        <f>IF(F1="售价",ROUND(PRODUCT(R37,AA7:AA36),0),ROUND(PRODUCT(R37,AA7:AA36),1))</f>
        <v>10900</v>
      </c>
      <c r="S38" s="3680"/>
      <c r="T38" s="3680">
        <f>IF(F1="售价",ROUND(PRODUCT(T37,AB7:AB36),0),ROUND(PRODUCT(T37,AB7:AB36),1))</f>
        <v>11752</v>
      </c>
      <c r="U38" s="3680"/>
      <c r="V38" s="3680">
        <f>IF(F1="售价",ROUND(PRODUCT(V37,AC7:AC36),0),ROUND(PRODUCT(V37,AC7:AC36),1))</f>
        <v>11752</v>
      </c>
      <c r="W38" s="3680"/>
      <c r="X38" s="690"/>
      <c r="Y38" s="690"/>
      <c r="Z38" s="690"/>
      <c r="AA38" s="690"/>
      <c r="AB38" s="690"/>
      <c r="AC38" s="690"/>
    </row>
    <row r="39" spans="1:29" ht="15.75" thickBot="1">
      <c r="A39" s="441" t="s">
        <v>1846</v>
      </c>
      <c r="B39" s="442"/>
      <c r="C39" s="1163">
        <f>R39</f>
        <v>11468</v>
      </c>
      <c r="D39" s="1163"/>
      <c r="E39" s="1163"/>
      <c r="F39" s="1163"/>
      <c r="G39" s="1163"/>
      <c r="H39" s="1163"/>
      <c r="I39" s="1163"/>
      <c r="J39" s="1163"/>
      <c r="K39" s="569"/>
      <c r="L39" s="2724"/>
      <c r="M39" s="2725"/>
      <c r="N39" s="2725"/>
      <c r="O39" s="2725"/>
      <c r="P39" s="3681" t="str">
        <f>A39</f>
        <v>估价对象XX用房的比较价值（楼面单价，元/平方米）</v>
      </c>
      <c r="Q39" s="3682"/>
      <c r="R39" s="3683">
        <f>IF(F1="售价",ROUND(IF(D38="简单平均",AVERAGE(R38:W38),R38*F38+T38*H38+V38*J38),0),ROUND(IF(D38="简单平均",AVERAGE(R38:V38),R38*F38+T38*H38+V38*J38),1))</f>
        <v>11468</v>
      </c>
      <c r="S39" s="3683"/>
      <c r="T39" s="3683"/>
      <c r="U39" s="3683"/>
      <c r="V39" s="3683"/>
      <c r="W39" s="368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f>IF(E37&lt;E38,E38/E37-1,E37/E38-1)</f>
        <v>0.11111111111111116</v>
      </c>
      <c r="F42" s="449" t="str">
        <f>IF(OR(E42&gt;=0.3,E42&lt;=-0.3),"超过30%","")</f>
        <v/>
      </c>
      <c r="G42" s="448">
        <f>IF(G37&lt;G38,G38/G37-1,G37/G38-1)</f>
        <v>0.11109010116290063</v>
      </c>
      <c r="H42" s="449" t="str">
        <f>IF(OR(G42&gt;=0.3,G42&lt;=-0.3),"超过30%","")</f>
        <v/>
      </c>
      <c r="I42" s="448">
        <f>IF(I37&lt;I38,I38/I37-1,I37/I38-1)</f>
        <v>0.11109010116290063</v>
      </c>
      <c r="J42" s="449" t="str">
        <f>IF(OR(I42&gt;=0.3,I42&lt;=-0.3),"超过30%","")</f>
        <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f>IF(E38&lt;G38,G38/E38-1,E38/G38-1)</f>
        <v>7.8165137614678804E-2</v>
      </c>
      <c r="F43" s="449" t="str">
        <f>IF(OR(E43&gt;=0.2,E43&lt;=-0.2),"超过20%","")</f>
        <v/>
      </c>
      <c r="G43" s="448">
        <f>IF(G38&lt;I38,I38/G38-1,G38/I38-1)</f>
        <v>0</v>
      </c>
      <c r="H43" s="449" t="str">
        <f>IF(OR(G43&gt;=0.2,G43&lt;=-0.2),"超过20%","")</f>
        <v/>
      </c>
      <c r="I43" s="448">
        <f>IF(I38&lt;E38,E38/I38-1,I38/E38-1)</f>
        <v>7.8165137614678804E-2</v>
      </c>
      <c r="J43" s="449" t="str">
        <f>IF(OR(I43&gt;=0.2,I43&lt;=-0.2),"超过20%","")</f>
        <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f>IF(E37&lt;G37,G37/E37-1,E37/G37-1)</f>
        <v>7.8185524974515808E-2</v>
      </c>
      <c r="F44" s="449" t="str">
        <f>IF(OR(E44&gt;=0.3,E44&lt;=-0.3),"超过30%","")</f>
        <v/>
      </c>
      <c r="G44" s="448">
        <f>IF(G37&lt;I37,I37/G37-1,G37/I37-1)</f>
        <v>0</v>
      </c>
      <c r="H44" s="449" t="str">
        <f>IF(OR(G44&gt;=0.3,G44&lt;=-0.3),"超过30%","")</f>
        <v/>
      </c>
      <c r="I44" s="448">
        <f>IF(I37&lt;E37,E37/I37-1,I37/E37-1)</f>
        <v>7.8185524974515808E-2</v>
      </c>
      <c r="J44" s="449" t="str">
        <f>IF(OR(I44&gt;=0.3,I44&lt;=-0.3),"超过30%","")</f>
        <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2024-4</v>
      </c>
      <c r="D48" s="1185">
        <f>EDATE(C48,-1)</f>
        <v>45352</v>
      </c>
      <c r="E48" s="1185">
        <f t="shared" ref="E48:O48" si="16">EDATE(D48,-1)</f>
        <v>45323</v>
      </c>
      <c r="F48" s="1185">
        <f t="shared" si="16"/>
        <v>45292</v>
      </c>
      <c r="G48" s="1185">
        <f t="shared" si="16"/>
        <v>45261</v>
      </c>
      <c r="H48" s="1185">
        <f t="shared" si="16"/>
        <v>45231</v>
      </c>
      <c r="I48" s="1185">
        <f t="shared" si="16"/>
        <v>45200</v>
      </c>
      <c r="J48" s="1185">
        <f t="shared" si="16"/>
        <v>45170</v>
      </c>
      <c r="K48" s="1185">
        <f t="shared" si="16"/>
        <v>45139</v>
      </c>
      <c r="L48" s="1185">
        <f t="shared" si="16"/>
        <v>45108</v>
      </c>
      <c r="M48" s="1185">
        <f t="shared" si="16"/>
        <v>45078</v>
      </c>
      <c r="N48" s="1185">
        <f t="shared" si="16"/>
        <v>45047</v>
      </c>
      <c r="O48" s="1185">
        <f t="shared" si="16"/>
        <v>45017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v>100</v>
      </c>
      <c r="E49" s="461">
        <v>100</v>
      </c>
      <c r="F49" s="461">
        <v>100</v>
      </c>
      <c r="G49" s="461">
        <v>100</v>
      </c>
      <c r="H49" s="461">
        <v>100</v>
      </c>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t="str">
        <f>C9</f>
        <v>车位</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3455" t="s">
        <v>3439</v>
      </c>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110</v>
      </c>
      <c r="E87" s="493">
        <f t="shared" ref="E87:M87" si="19">D87+$K$29</f>
        <v>120</v>
      </c>
      <c r="F87" s="493">
        <f t="shared" si="19"/>
        <v>130</v>
      </c>
      <c r="G87" s="493">
        <f t="shared" si="19"/>
        <v>140</v>
      </c>
      <c r="H87" s="493">
        <f t="shared" si="19"/>
        <v>150</v>
      </c>
      <c r="I87" s="493">
        <f t="shared" si="19"/>
        <v>160</v>
      </c>
      <c r="J87" s="493">
        <f t="shared" si="19"/>
        <v>170</v>
      </c>
      <c r="K87" s="493">
        <f t="shared" si="19"/>
        <v>180</v>
      </c>
      <c r="L87" s="493">
        <f t="shared" si="19"/>
        <v>190</v>
      </c>
      <c r="M87" s="493">
        <f t="shared" si="19"/>
        <v>200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0(含)-35</v>
      </c>
      <c r="D90" s="527" t="str">
        <f t="shared" ref="D90:L90" si="21">D91&amp;"(含)"&amp;"-"&amp;E91</f>
        <v>35(含)-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v>0</v>
      </c>
      <c r="D91" s="544">
        <v>35</v>
      </c>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v>100</v>
      </c>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3455" t="s">
        <v>3435</v>
      </c>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3456" t="s">
        <v>3437</v>
      </c>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7" priority="18" stopIfTrue="1" operator="containsText" text="超过">
      <formula>NOT(ISERROR(SEARCH("超过",F42)))</formula>
    </cfRule>
  </conditionalFormatting>
  <conditionalFormatting sqref="J44">
    <cfRule type="containsText" dxfId="166" priority="17" stopIfTrue="1" operator="containsText" text="超过">
      <formula>NOT(ISERROR(SEARCH("超过",J44)))</formula>
    </cfRule>
  </conditionalFormatting>
  <conditionalFormatting sqref="H44">
    <cfRule type="containsText" dxfId="165" priority="16" stopIfTrue="1" operator="containsText" text="超过">
      <formula>NOT(ISERROR(SEARCH("超过",H44)))</formula>
    </cfRule>
  </conditionalFormatting>
  <conditionalFormatting sqref="F44">
    <cfRule type="containsText" dxfId="164" priority="15" stopIfTrue="1" operator="containsText" text="超过">
      <formula>NOT(ISERROR(SEARCH("超过",F44)))</formula>
    </cfRule>
  </conditionalFormatting>
  <conditionalFormatting sqref="F43 H43 J43">
    <cfRule type="containsText" dxfId="163" priority="14" stopIfTrue="1" operator="containsText" text="超过">
      <formula>NOT(ISERROR(SEARCH("超过",F43)))</formula>
    </cfRule>
  </conditionalFormatting>
  <conditionalFormatting sqref="E42">
    <cfRule type="expression" dxfId="162" priority="13" stopIfTrue="1">
      <formula>$F$42="超过30%"</formula>
    </cfRule>
  </conditionalFormatting>
  <conditionalFormatting sqref="G44">
    <cfRule type="expression" dxfId="161" priority="12" stopIfTrue="1">
      <formula>$H$54+$H$44="超过30%"</formula>
    </cfRule>
  </conditionalFormatting>
  <conditionalFormatting sqref="E43">
    <cfRule type="expression" dxfId="160" priority="11" stopIfTrue="1">
      <formula>$F$43="超过20%"</formula>
    </cfRule>
  </conditionalFormatting>
  <conditionalFormatting sqref="E44">
    <cfRule type="expression" dxfId="159" priority="10" stopIfTrue="1">
      <formula>$F$44="超过30%"</formula>
    </cfRule>
  </conditionalFormatting>
  <conditionalFormatting sqref="G42">
    <cfRule type="expression" dxfId="158" priority="9" stopIfTrue="1">
      <formula>$H$52+$H$42="超过30%"</formula>
    </cfRule>
  </conditionalFormatting>
  <conditionalFormatting sqref="G43">
    <cfRule type="expression" dxfId="157" priority="8" stopIfTrue="1">
      <formula>$H$43="超过20%"</formula>
    </cfRule>
  </conditionalFormatting>
  <conditionalFormatting sqref="I42">
    <cfRule type="expression" dxfId="156" priority="7" stopIfTrue="1">
      <formula>$J$52+$J$42="超过30%"</formula>
    </cfRule>
  </conditionalFormatting>
  <conditionalFormatting sqref="I43">
    <cfRule type="expression" dxfId="155" priority="6" stopIfTrue="1">
      <formula>$J$53+$J$43="超过20%"</formula>
    </cfRule>
  </conditionalFormatting>
  <conditionalFormatting sqref="I44">
    <cfRule type="expression" dxfId="154" priority="5" stopIfTrue="1">
      <formula>$J$44="超过30%"</formula>
    </cfRule>
  </conditionalFormatting>
  <conditionalFormatting sqref="F38">
    <cfRule type="expression" dxfId="153" priority="4">
      <formula>$D$38="简单平均"</formula>
    </cfRule>
  </conditionalFormatting>
  <conditionalFormatting sqref="H38">
    <cfRule type="expression" dxfId="152" priority="3">
      <formula>$D$38="简单平均"</formula>
    </cfRule>
  </conditionalFormatting>
  <conditionalFormatting sqref="J38">
    <cfRule type="expression" dxfId="151" priority="2">
      <formula>$D$38="简单平均"</formula>
    </cfRule>
  </conditionalFormatting>
  <conditionalFormatting sqref="F7:F36 H7:H36 J7:J36">
    <cfRule type="cellIs" dxfId="15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
  <sheetViews>
    <sheetView topLeftCell="D16" workbookViewId="0">
      <selection activeCell="P45" sqref="P45"/>
    </sheetView>
  </sheetViews>
  <sheetFormatPr defaultRowHeight="13.5"/>
  <cols>
    <col min="1" max="1" width="16.25" customWidth="1"/>
    <col min="6" max="6" width="9.375" customWidth="1"/>
    <col min="7" max="7" width="33.875" customWidth="1"/>
    <col min="8" max="8" width="11.5" customWidth="1"/>
  </cols>
  <sheetData>
    <row r="1" spans="1:12" s="3450" customFormat="1">
      <c r="A1" s="3450" t="s">
        <v>3407</v>
      </c>
      <c r="B1" s="3450" t="s">
        <v>3408</v>
      </c>
      <c r="C1" s="3450" t="s">
        <v>3409</v>
      </c>
      <c r="D1" s="3450" t="s">
        <v>3410</v>
      </c>
      <c r="E1" s="3450" t="s">
        <v>3411</v>
      </c>
      <c r="F1" s="3450" t="s">
        <v>3412</v>
      </c>
      <c r="G1" s="3450" t="s">
        <v>3413</v>
      </c>
      <c r="H1" s="3450" t="s">
        <v>3414</v>
      </c>
      <c r="I1" s="3450" t="s">
        <v>3415</v>
      </c>
      <c r="J1" s="3450" t="s">
        <v>3416</v>
      </c>
      <c r="K1" s="3450" t="s">
        <v>3417</v>
      </c>
      <c r="L1" s="3450" t="s">
        <v>3418</v>
      </c>
    </row>
    <row r="2" spans="1:12" s="3450" customFormat="1">
      <c r="A2" s="3451">
        <v>45350.333831018521</v>
      </c>
      <c r="B2" s="3450" t="s">
        <v>3419</v>
      </c>
      <c r="C2" s="3450" t="s">
        <v>633</v>
      </c>
      <c r="D2" s="3450" t="s">
        <v>633</v>
      </c>
      <c r="E2" s="3450">
        <v>-1</v>
      </c>
      <c r="F2" s="3450" t="s">
        <v>3420</v>
      </c>
      <c r="G2" s="3452" t="s">
        <v>3428</v>
      </c>
      <c r="H2" s="3450" t="s">
        <v>3422</v>
      </c>
      <c r="I2" s="3450" t="s">
        <v>3423</v>
      </c>
      <c r="J2" s="3450">
        <v>31.6</v>
      </c>
      <c r="K2" s="3450">
        <v>31</v>
      </c>
      <c r="L2" s="3450">
        <v>9810</v>
      </c>
    </row>
    <row r="3" spans="1:12" s="3450" customFormat="1">
      <c r="A3" s="3451">
        <v>45301.333831018521</v>
      </c>
      <c r="B3" s="3450" t="s">
        <v>3419</v>
      </c>
      <c r="C3" s="3450" t="s">
        <v>633</v>
      </c>
      <c r="D3" s="3450" t="s">
        <v>633</v>
      </c>
      <c r="E3" s="3450">
        <v>-1</v>
      </c>
      <c r="F3" s="3450" t="s">
        <v>3424</v>
      </c>
      <c r="G3" s="3450" t="s">
        <v>3421</v>
      </c>
      <c r="H3" s="3450" t="s">
        <v>3422</v>
      </c>
      <c r="I3" s="3450" t="s">
        <v>3423</v>
      </c>
      <c r="J3" s="3450">
        <v>31.2</v>
      </c>
      <c r="K3" s="3450">
        <v>33</v>
      </c>
      <c r="L3" s="3450">
        <v>10577</v>
      </c>
    </row>
    <row r="4" spans="1:12" s="3450" customFormat="1">
      <c r="A4" s="3451">
        <v>45286.333831018521</v>
      </c>
      <c r="B4" s="3450" t="s">
        <v>3419</v>
      </c>
      <c r="C4" s="3450" t="s">
        <v>633</v>
      </c>
      <c r="D4" s="3450" t="s">
        <v>633</v>
      </c>
      <c r="E4" s="3450">
        <v>-1</v>
      </c>
      <c r="F4" s="3450" t="s">
        <v>3425</v>
      </c>
      <c r="G4" s="3450" t="s">
        <v>3421</v>
      </c>
      <c r="H4" s="3450" t="s">
        <v>3422</v>
      </c>
      <c r="I4" s="3450" t="s">
        <v>3423</v>
      </c>
      <c r="J4" s="3450">
        <v>31.2</v>
      </c>
      <c r="K4" s="3450">
        <v>33</v>
      </c>
      <c r="L4" s="3450">
        <v>10577</v>
      </c>
    </row>
    <row r="5" spans="1:12" s="3450" customFormat="1">
      <c r="A5" s="3451">
        <v>45286.333831018521</v>
      </c>
      <c r="B5" s="3450" t="s">
        <v>3419</v>
      </c>
      <c r="C5" s="3450" t="s">
        <v>633</v>
      </c>
      <c r="D5" s="3450" t="s">
        <v>633</v>
      </c>
      <c r="E5" s="3450">
        <v>-1</v>
      </c>
      <c r="F5" s="3450" t="s">
        <v>3426</v>
      </c>
      <c r="G5" s="3450" t="s">
        <v>3421</v>
      </c>
      <c r="H5" s="3450" t="s">
        <v>3422</v>
      </c>
      <c r="I5" s="3450" t="s">
        <v>3423</v>
      </c>
      <c r="J5" s="3450">
        <v>31.2</v>
      </c>
      <c r="K5" s="3450">
        <v>33</v>
      </c>
      <c r="L5" s="3450">
        <v>10577</v>
      </c>
    </row>
    <row r="6" spans="1:12" s="3450" customFormat="1">
      <c r="A6" s="3451">
        <v>45265.333831018521</v>
      </c>
      <c r="B6" s="3450" t="s">
        <v>3419</v>
      </c>
      <c r="C6" s="3450" t="s">
        <v>633</v>
      </c>
      <c r="D6" s="3450" t="s">
        <v>633</v>
      </c>
      <c r="E6" s="3450">
        <v>-1</v>
      </c>
      <c r="F6" s="3452" t="s">
        <v>3427</v>
      </c>
      <c r="G6" s="3450" t="s">
        <v>3421</v>
      </c>
      <c r="H6" s="3450" t="s">
        <v>3422</v>
      </c>
      <c r="I6" s="3450" t="s">
        <v>3423</v>
      </c>
      <c r="J6" s="3450">
        <v>31.2</v>
      </c>
      <c r="K6" s="3450">
        <v>32</v>
      </c>
      <c r="L6" s="3450">
        <v>10256</v>
      </c>
    </row>
    <row r="10" spans="1:12">
      <c r="A10" s="3453" t="s">
        <v>3429</v>
      </c>
    </row>
  </sheetData>
  <phoneticPr fontId="134" type="noConversion"/>
  <hyperlinks>
    <hyperlink ref="A10" r:id="rId1"/>
  </hyperlinks>
  <pageMargins left="0.7" right="0.7" top="0.75" bottom="0.75" header="0.3" footer="0.3"/>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85" zoomScaleNormal="70" zoomScaleSheetLayoutView="85" workbookViewId="0">
      <selection activeCell="F50" sqref="F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3395</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32.345199999999998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10703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110306.56</v>
      </c>
      <c r="D5" s="211" t="s">
        <v>1469</v>
      </c>
      <c r="E5" s="212" t="s">
        <v>1470</v>
      </c>
      <c r="F5" s="212" t="s">
        <v>1471</v>
      </c>
      <c r="G5" s="213"/>
    </row>
    <row r="6" spans="1:8" s="214" customFormat="1" ht="13.5" customHeight="1">
      <c r="A6" s="778" t="s">
        <v>1472</v>
      </c>
      <c r="B6" s="215" t="s">
        <v>1473</v>
      </c>
      <c r="C6" s="216">
        <f>基准地价修正!C42*基准地价修正!D42</f>
        <v>101176.56</v>
      </c>
      <c r="D6" s="217"/>
      <c r="E6" s="218"/>
      <c r="F6" s="218"/>
      <c r="G6" s="219"/>
    </row>
    <row r="7" spans="1:8" s="214" customFormat="1" ht="13.5" customHeight="1">
      <c r="A7" s="778" t="s">
        <v>1474</v>
      </c>
      <c r="B7" s="215" t="s">
        <v>1475</v>
      </c>
      <c r="C7" s="220">
        <f>ROUND(C6*F7,0)</f>
        <v>3086</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6044</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6044</v>
      </c>
      <c r="D10" s="845">
        <f ca="1">IF(B1="",'数据-汇总表'!E6,IF(INDIRECT("'数据-取费表'!c"&amp;$G$1)="住宅",INDIRECT("'数据-取费表'!s"&amp;$G$1),INDIRECT("'数据-取费表'!k"&amp;$G$1)+INDIRECT("'数据-取费表'!s"&amp;$G$1)))</f>
        <v>30.22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30.22</v>
      </c>
      <c r="E19" s="211">
        <f>'数据-取费表'!B31</f>
        <v>200</v>
      </c>
      <c r="F19" s="231"/>
      <c r="G19" s="1856" t="s">
        <v>3400</v>
      </c>
    </row>
    <row r="20" spans="1:7" s="214" customFormat="1" ht="13.5" customHeight="1">
      <c r="A20" s="255" t="s">
        <v>1574</v>
      </c>
      <c r="B20" s="210" t="s">
        <v>1575</v>
      </c>
      <c r="C20" s="232">
        <f ca="1">ROUND((C5+C19)*F20,0)</f>
        <v>3309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10885</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10728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157</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17042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17042</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155405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165455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151100</v>
      </c>
      <c r="D34" s="217"/>
      <c r="E34" s="220"/>
      <c r="F34" s="257"/>
      <c r="G34" s="219"/>
    </row>
    <row r="35" spans="1:7" ht="13.5" customHeight="1">
      <c r="A35" s="780" t="s">
        <v>351</v>
      </c>
      <c r="B35" s="215" t="s">
        <v>1527</v>
      </c>
      <c r="C35" s="220">
        <f ca="1">ROUND(C34*F35,0)</f>
        <v>6044</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6044</v>
      </c>
      <c r="D37" s="217">
        <f ca="1">D19</f>
        <v>30.22</v>
      </c>
      <c r="E37" s="249">
        <f>'数据-取费表'!B35</f>
        <v>200</v>
      </c>
      <c r="F37" s="259"/>
      <c r="G37" s="261"/>
    </row>
    <row r="38" spans="1:7" ht="13.5" customHeight="1">
      <c r="A38" s="780" t="s">
        <v>354</v>
      </c>
      <c r="B38" s="215" t="s">
        <v>1533</v>
      </c>
      <c r="C38" s="220">
        <f ca="1">ROUND(C34*F38,0)</f>
        <v>2267</v>
      </c>
      <c r="D38" s="220"/>
      <c r="E38" s="220"/>
      <c r="F38" s="259">
        <f>'数据-取费表'!B36</f>
        <v>1.4999999999999999E-2</v>
      </c>
      <c r="G38" s="219" t="s">
        <v>1528</v>
      </c>
    </row>
    <row r="39" spans="1:7" s="214" customFormat="1" ht="13.5" customHeight="1">
      <c r="A39" s="255" t="s">
        <v>1534</v>
      </c>
      <c r="B39" s="210" t="s">
        <v>1535</v>
      </c>
      <c r="C39" s="232">
        <f ca="1">ROUND(C33*F20,0)</f>
        <v>4964</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8095</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7859</v>
      </c>
      <c r="D42" s="238"/>
      <c r="E42" s="238"/>
      <c r="F42" s="239"/>
      <c r="G42" s="3640" t="s">
        <v>1591</v>
      </c>
    </row>
    <row r="43" spans="1:7" ht="13.5" customHeight="1">
      <c r="A43" s="780" t="s">
        <v>347</v>
      </c>
      <c r="B43" s="215" t="s">
        <v>1545</v>
      </c>
      <c r="C43" s="238">
        <f ca="1">ROUND(IF('数据-取费表'!B22&lt;=1,C39*F22*'数据-取费表'!B20/2,C39*(POWER((1+F22),'数据-取费表'!B20/2)-1)),0)</f>
        <v>236</v>
      </c>
      <c r="D43" s="238"/>
      <c r="E43" s="238"/>
      <c r="F43" s="239"/>
      <c r="G43" s="3641"/>
    </row>
    <row r="44" spans="1:7" ht="13.5" customHeight="1">
      <c r="A44" s="780" t="s">
        <v>348</v>
      </c>
      <c r="B44" s="215" t="s">
        <v>1546</v>
      </c>
      <c r="C44" s="238">
        <f ca="1">ROUND(IF('数据-取费表'!B22&lt;=1,C40*F22*'数据-取费表'!B20/2,C40*(POWER((1+F22),'数据-取费表'!B20/2)-1)),4)</f>
        <v>1.4E-3</v>
      </c>
      <c r="D44" s="238"/>
      <c r="E44" s="238"/>
      <c r="F44" s="239"/>
      <c r="G44" s="3642"/>
    </row>
    <row r="45" spans="1:7" s="214" customFormat="1" ht="13.5" customHeight="1">
      <c r="A45" s="255" t="s">
        <v>1547</v>
      </c>
      <c r="B45" s="244" t="s">
        <v>1513</v>
      </c>
      <c r="C45" s="245">
        <f ca="1">C46</f>
        <v>25563</v>
      </c>
      <c r="D45" s="235">
        <f ca="1">C47</f>
        <v>4.4999999999999997E-3</v>
      </c>
      <c r="E45" s="236" t="s">
        <v>1539</v>
      </c>
      <c r="F45" s="246">
        <f ca="1">F27</f>
        <v>0.15</v>
      </c>
      <c r="G45" s="247" t="s">
        <v>1548</v>
      </c>
    </row>
    <row r="46" spans="1:7" s="214" customFormat="1" ht="13.5" customHeight="1">
      <c r="A46" s="780" t="s">
        <v>346</v>
      </c>
      <c r="B46" s="248" t="s">
        <v>1549</v>
      </c>
      <c r="C46" s="249">
        <f ca="1">ROUND((C33+C39)*F27,0)</f>
        <v>25563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224063</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168047</v>
      </c>
      <c r="D51" s="232"/>
      <c r="E51" s="232"/>
      <c r="F51" s="264"/>
      <c r="G51" s="234" t="s">
        <v>1560</v>
      </c>
    </row>
    <row r="52" spans="1:7" s="208" customFormat="1" ht="16.5" thickBot="1">
      <c r="A52" s="265" t="s">
        <v>1561</v>
      </c>
      <c r="B52" s="266"/>
      <c r="C52" s="267">
        <f ca="1">C31+C51</f>
        <v>323452</v>
      </c>
      <c r="D52" s="266"/>
      <c r="E52" s="266"/>
      <c r="F52" s="266"/>
      <c r="G52" s="268"/>
    </row>
    <row r="55" spans="1:7" ht="15">
      <c r="B55" s="270" t="s">
        <v>1562</v>
      </c>
      <c r="C55" s="271"/>
    </row>
    <row r="56" spans="1:7">
      <c r="B56" s="273" t="s">
        <v>802</v>
      </c>
      <c r="C56" s="275">
        <f ca="1">1-C57</f>
        <v>0.48</v>
      </c>
    </row>
    <row r="57" spans="1:7">
      <c r="B57" s="273" t="s">
        <v>803</v>
      </c>
      <c r="C57" s="274">
        <f ca="1">ROUND(C51/C52,3)</f>
        <v>0.52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-331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30.22</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0</v>
      </c>
      <c r="D6" s="155" t="s">
        <v>2109</v>
      </c>
      <c r="E6" s="302" t="s">
        <v>696</v>
      </c>
      <c r="F6" s="303">
        <f ca="1">INDIRECT("'数据-取费表'!u"&amp;$G$1)</f>
        <v>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9" priority="56">
      <formula>$L$48&gt;$J$51</formula>
    </cfRule>
  </conditionalFormatting>
  <conditionalFormatting sqref="I55 I60">
    <cfRule type="expression" dxfId="148" priority="57">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C42" sqref="C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t="s">
        <v>3385</v>
      </c>
      <c r="F2" s="2000" t="s">
        <v>1937</v>
      </c>
      <c r="G2" s="2001" t="str">
        <f>IF(E2="商业",项目基本情况!B37,IF(E2="办公",项目基本情况!C37,IF(E2="住宅",项目基本情况!D37,IF(E2="工业",项目基本情况!E37,项目基本情况!F37))))</f>
        <v>三级</v>
      </c>
      <c r="H2" s="2000" t="s">
        <v>1938</v>
      </c>
      <c r="I2" s="2001" t="str">
        <f>IF(E2="商业",项目基本情况!B38,IF(E2="办公",项目基本情况!C38,IF(E2="住宅",项目基本情况!D38,IF(E2="工业",项目基本情况!E38,项目基本情况!F38))))</f>
        <v>Ⅲ—15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3386</v>
      </c>
      <c r="F3" s="2004" t="s">
        <v>3387</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25090</v>
      </c>
      <c r="N3" s="866">
        <f>SUMPRODUCT((因素修正幅度!B30:B54=I2)*(因素修正幅度!C3:G3=E2)*(因素修正幅度!C30:G54))</f>
        <v>9.8000000000000004E-2</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696"/>
      <c r="B4" s="3697"/>
      <c r="C4" s="3697"/>
      <c r="D4" s="3698"/>
      <c r="E4" s="3698"/>
      <c r="F4" s="3698"/>
      <c r="G4" s="3698"/>
      <c r="H4" s="3698"/>
      <c r="I4" s="3698"/>
      <c r="J4" s="369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0</v>
      </c>
      <c r="D5" s="1339">
        <f>ROUND(C6*C17+C20,0)</f>
        <v>25090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25090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3240</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三级</v>
      </c>
      <c r="Y7" s="1214" t="s">
        <v>1956</v>
      </c>
      <c r="Z7" s="1215">
        <f>G3</f>
        <v>2.5</v>
      </c>
      <c r="AA7" s="1216"/>
      <c r="AB7" s="1216"/>
      <c r="AC7" s="1217"/>
      <c r="AD7" s="1218"/>
      <c r="AE7" s="1218"/>
      <c r="AF7" s="1218"/>
      <c r="AG7" s="1218"/>
      <c r="AH7" s="1218"/>
      <c r="AI7" s="1218"/>
      <c r="AJ7" s="1219"/>
    </row>
    <row r="8" spans="1:36" ht="25.5">
      <c r="A8" s="3299"/>
      <c r="B8" s="170" t="s">
        <v>1957</v>
      </c>
      <c r="C8" s="2026" t="s">
        <v>3389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93" t="s">
        <v>1960</v>
      </c>
      <c r="X8" s="36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95"/>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9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3241</v>
      </c>
      <c r="B12" s="3305" t="s">
        <v>3242</v>
      </c>
      <c r="C12" s="3306"/>
      <c r="D12" s="3307" t="s">
        <v>3243</v>
      </c>
      <c r="E12" s="3308" t="s">
        <v>3244</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3245</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3246</v>
      </c>
      <c r="G14" s="3312" t="s">
        <v>3246</v>
      </c>
      <c r="H14" s="3312" t="s">
        <v>3246</v>
      </c>
      <c r="I14" s="3312" t="s">
        <v>3246</v>
      </c>
      <c r="J14" s="3312" t="s">
        <v>3246</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3247</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3248</v>
      </c>
      <c r="B17" s="3321" t="s">
        <v>3249</v>
      </c>
      <c r="C17" s="3331">
        <f>ROUND(IF(OR(E2="工业",E2="公共服务"),1,IF(AND(E18=0,E19=0),1,IF(AND(E18=J24,E19=G19),0.8,IF(E19=0,1+E17*(-0.2),1+E17*G17*(-0.2))))),4)</f>
        <v>1</v>
      </c>
      <c r="D17" s="3322" t="s">
        <v>3250</v>
      </c>
      <c r="E17" s="3331">
        <f>ROUND(G18/I18,2)</f>
        <v>0</v>
      </c>
      <c r="F17" s="3322" t="s">
        <v>3253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3251</v>
      </c>
      <c r="E18" s="3329"/>
      <c r="F18" s="3324" t="s">
        <v>3254</v>
      </c>
      <c r="G18" s="3328">
        <f>ROUND(1-(1/(POWER(1+G24,E18))),4)</f>
        <v>0</v>
      </c>
      <c r="H18" s="3324" t="s">
        <v>3256</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3252</v>
      </c>
      <c r="E19" s="3338"/>
      <c r="F19" s="3339" t="s">
        <v>3255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00" t="s">
        <v>3257</v>
      </c>
      <c r="B20" s="167" t="s">
        <v>1994</v>
      </c>
      <c r="C20" s="3325">
        <f>ROUND(IF(F21="与级别开发程度一致",0,(G21-E21)/C21),0)</f>
        <v>0</v>
      </c>
      <c r="D20" s="3341" t="s">
        <v>1998</v>
      </c>
      <c r="E20" s="3342"/>
      <c r="F20" s="3706" t="s">
        <v>1995</v>
      </c>
      <c r="G20" s="370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0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1.0727</v>
      </c>
      <c r="D23" s="2054" t="s">
        <v>2002</v>
      </c>
      <c r="E23" s="761">
        <v>44197</v>
      </c>
      <c r="F23" s="2054" t="s">
        <v>2003</v>
      </c>
      <c r="G23" s="762">
        <f>'数据-取费表'!B2</f>
        <v>45407</v>
      </c>
      <c r="H23" s="3343" t="s">
        <v>3258</v>
      </c>
      <c r="I23" s="3344" t="str">
        <f>IF(H23="季度增幅（自定义）",SUMIF(N25:N28,E2,O25:O28),"")</f>
        <v/>
      </c>
      <c r="J23" s="3446" t="s">
        <v>3393</v>
      </c>
      <c r="K23" s="1125"/>
      <c r="L23" s="2055" t="s">
        <v>2004</v>
      </c>
      <c r="M23" s="1328">
        <f>ROUND(SUMIF(地价!B2:G2,E2,地价!B16:G16),0)</f>
        <v>687</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4.7500000000000001E-2</v>
      </c>
      <c r="M36" s="3358">
        <f ca="1">ROUND($L$36*(1+M31),3)</f>
        <v>5.8999999999999997E-2</v>
      </c>
      <c r="N36" s="3358">
        <f ca="1">ROUND($L$36*(1+N31),3)</f>
        <v>5.7000000000000002E-2</v>
      </c>
      <c r="O36" s="3358">
        <f ca="1">ROUND($L$36*(1+O31),3)</f>
        <v>5.5E-2</v>
      </c>
      <c r="P36" s="3358">
        <f ca="1">ROUND($L$36*(1+P31),3)</f>
        <v>5.1999999999999998E-2</v>
      </c>
      <c r="Q36" s="3358">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0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3268</v>
      </c>
      <c r="L37" s="3357">
        <f ca="1">L36+K38</f>
        <v>5.2499999999999998E-2</v>
      </c>
      <c r="M37" s="3358">
        <f ca="1">ROUND($L$37*(1+M31),3)</f>
        <v>6.6000000000000003E-2</v>
      </c>
      <c r="N37" s="3358">
        <f t="shared" ref="N37:Q37" ca="1" si="3">ROUND($L$37*(1+N31),3)</f>
        <v>6.3E-2</v>
      </c>
      <c r="O37" s="3358">
        <f t="shared" ca="1" si="3"/>
        <v>0.06</v>
      </c>
      <c r="P37" s="3358">
        <f t="shared" ca="1" si="3"/>
        <v>5.8000000000000003E-2</v>
      </c>
      <c r="Q37" s="3358">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0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05"/>
      <c r="B39" s="2041" t="s">
        <v>3261</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5580</v>
      </c>
      <c r="D41" s="2098"/>
      <c r="E41" s="171">
        <f t="shared" si="4"/>
        <v>0</v>
      </c>
      <c r="F41" s="175">
        <f>SUMIF(修正!A57:A68,G2,修正!F57:F68)</f>
        <v>0.25</v>
      </c>
      <c r="G41" s="171">
        <f>ROUND(IF(E2="工业",C41*$M$42,C41*$M$41),0)</f>
        <v>1395</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3348</v>
      </c>
      <c r="D42" s="2103">
        <f>'数据-基础表'!I13</f>
        <v>30.22</v>
      </c>
      <c r="E42" s="187">
        <f t="shared" si="4"/>
        <v>10</v>
      </c>
      <c r="F42" s="767">
        <f>SUMIF(修正!A57:A68,G2,修正!G57:G68)</f>
        <v>0.15</v>
      </c>
      <c r="G42" s="187">
        <f>ROUND(IF(E2="工业",C42*$M$42,C42*$M$41),0)</f>
        <v>837</v>
      </c>
      <c r="H42" s="187">
        <f t="shared" si="5"/>
        <v>30.22</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0.8276</v>
      </c>
      <c r="D44" s="171" t="s">
        <v>1999</v>
      </c>
      <c r="E44" s="2153">
        <f>G24</f>
        <v>0.05</v>
      </c>
      <c r="F44" s="171" t="s">
        <v>2008</v>
      </c>
      <c r="G44" s="183">
        <f>项目基本情况!F15</f>
        <v>28.86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1.0021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3388</v>
      </c>
      <c r="D72" s="1065">
        <f t="shared" ref="D72:D80" si="17">SUMIF($J$71:$N$71,C72,J72:N72)</f>
        <v>4.0000000000000002E-4</v>
      </c>
      <c r="E72" s="744">
        <f>ROUND(SUM(D72:D80),4)</f>
        <v>2.0999999999999999E-3</v>
      </c>
      <c r="F72" s="1814">
        <f>IF(E2="住宅",SUMIF(L1:L12,G2,N1:N12),"——")</f>
        <v>9.8000000000000004E-2</v>
      </c>
      <c r="G72" s="3449">
        <f t="shared" ref="G72:H80" si="18">IFERROR(ROUNDDOWN($F$72*H72/2,4),"——")</f>
        <v>4.0000000000000002E-4</v>
      </c>
      <c r="H72" s="1066">
        <f t="shared" si="18"/>
        <v>9.7999999999999997E-3</v>
      </c>
      <c r="I72" s="3367">
        <v>0.2</v>
      </c>
      <c r="J72" s="1064">
        <f t="shared" ref="J72:J80" si="19">K72+$G72</f>
        <v>8.0000000000000004E-4</v>
      </c>
      <c r="K72" s="1064">
        <f t="shared" ref="K72:K80" si="20">$L72+$G72</f>
        <v>4.0000000000000002E-4</v>
      </c>
      <c r="L72" s="1064">
        <v>0</v>
      </c>
      <c r="M72" s="1064">
        <f t="shared" ref="M72:N80" si="21">L72-$G72</f>
        <v>-4.0000000000000002E-4</v>
      </c>
      <c r="N72" s="1064">
        <f t="shared" si="21"/>
        <v>-8.0000000000000004E-4</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3388</v>
      </c>
      <c r="D73" s="1065">
        <f t="shared" si="17"/>
        <v>5.9999999999999995E-4</v>
      </c>
      <c r="E73" s="747"/>
      <c r="F73" s="1814"/>
      <c r="G73" s="3449">
        <f t="shared" si="18"/>
        <v>5.9999999999999995E-4</v>
      </c>
      <c r="H73" s="1066">
        <f t="shared" si="18"/>
        <v>1.2699999999999999E-2</v>
      </c>
      <c r="I73" s="3367">
        <v>0.26</v>
      </c>
      <c r="J73" s="1064">
        <f t="shared" si="19"/>
        <v>1.1999999999999999E-3</v>
      </c>
      <c r="K73" s="1064">
        <f t="shared" si="20"/>
        <v>5.9999999999999995E-4</v>
      </c>
      <c r="L73" s="1064">
        <v>0</v>
      </c>
      <c r="M73" s="1064">
        <f t="shared" si="21"/>
        <v>-5.9999999999999995E-4</v>
      </c>
      <c r="N73" s="1064">
        <f t="shared" si="21"/>
        <v>-1.1999999999999999E-3</v>
      </c>
      <c r="AA73" s="1120"/>
      <c r="AB73" s="1120"/>
      <c r="AC73" s="1120"/>
      <c r="AD73" s="1120"/>
      <c r="AE73" s="1120"/>
      <c r="AF73" s="1120"/>
      <c r="AG73" s="1120"/>
      <c r="AH73" s="1120"/>
      <c r="AI73" s="1120"/>
      <c r="AJ73" s="1120"/>
      <c r="AK73" s="1120"/>
    </row>
    <row r="74" spans="1:37" s="1997" customFormat="1" ht="36">
      <c r="A74" s="3369" t="s">
        <v>3271</v>
      </c>
      <c r="B74" s="2134">
        <f>估价对象房地状况!C19</f>
        <v>0</v>
      </c>
      <c r="C74" s="2044" t="s">
        <v>3388</v>
      </c>
      <c r="D74" s="1065">
        <f t="shared" si="17"/>
        <v>2.0000000000000001E-4</v>
      </c>
      <c r="E74" s="747"/>
      <c r="F74" s="1814"/>
      <c r="G74" s="3449">
        <f t="shared" si="18"/>
        <v>2.0000000000000001E-4</v>
      </c>
      <c r="H74" s="1066">
        <f t="shared" si="18"/>
        <v>4.8999999999999998E-3</v>
      </c>
      <c r="I74" s="3367">
        <v>0.1</v>
      </c>
      <c r="J74" s="1064">
        <f t="shared" si="19"/>
        <v>4.0000000000000002E-4</v>
      </c>
      <c r="K74" s="1064">
        <f t="shared" si="20"/>
        <v>2.0000000000000001E-4</v>
      </c>
      <c r="L74" s="1064">
        <v>0</v>
      </c>
      <c r="M74" s="1064">
        <f t="shared" si="21"/>
        <v>-2.0000000000000001E-4</v>
      </c>
      <c r="N74" s="1064">
        <f t="shared" si="21"/>
        <v>-4.0000000000000002E-4</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3397</v>
      </c>
      <c r="D75" s="1065">
        <f t="shared" si="17"/>
        <v>0</v>
      </c>
      <c r="E75" s="747"/>
      <c r="F75" s="1814"/>
      <c r="G75" s="3449">
        <f t="shared" si="18"/>
        <v>1E-4</v>
      </c>
      <c r="H75" s="1066">
        <f t="shared" si="18"/>
        <v>2.3999999999999998E-3</v>
      </c>
      <c r="I75" s="3367">
        <v>0.05</v>
      </c>
      <c r="J75" s="1064">
        <f t="shared" si="19"/>
        <v>2.0000000000000001E-4</v>
      </c>
      <c r="K75" s="1064">
        <f t="shared" si="20"/>
        <v>1E-4</v>
      </c>
      <c r="L75" s="1064">
        <v>0</v>
      </c>
      <c r="M75" s="1064">
        <f t="shared" si="21"/>
        <v>-1E-4</v>
      </c>
      <c r="N75" s="1064">
        <f t="shared" si="21"/>
        <v>-2.0000000000000001E-4</v>
      </c>
      <c r="O75" s="1119"/>
      <c r="P75" s="1119"/>
      <c r="Q75" s="1997"/>
      <c r="Z75" s="1998"/>
      <c r="AA75" s="2053"/>
      <c r="AG75" s="1121"/>
      <c r="AK75" s="2053"/>
    </row>
    <row r="76" spans="1:37" ht="25.5">
      <c r="A76" s="2130" t="s">
        <v>2059</v>
      </c>
      <c r="B76" s="1326" t="str">
        <f>估价对象房地状况!C21</f>
        <v>估价对象所在区域公共配套设施齐备情况</v>
      </c>
      <c r="C76" s="2044" t="s">
        <v>3388</v>
      </c>
      <c r="D76" s="1065">
        <f t="shared" si="17"/>
        <v>1E-4</v>
      </c>
      <c r="E76" s="747"/>
      <c r="F76" s="1814"/>
      <c r="G76" s="3449">
        <f t="shared" si="18"/>
        <v>1E-4</v>
      </c>
      <c r="H76" s="1066">
        <f t="shared" si="18"/>
        <v>3.8999999999999998E-3</v>
      </c>
      <c r="I76" s="3367">
        <v>0.08</v>
      </c>
      <c r="J76" s="1064">
        <f t="shared" si="19"/>
        <v>2.0000000000000001E-4</v>
      </c>
      <c r="K76" s="1064">
        <f t="shared" si="20"/>
        <v>1E-4</v>
      </c>
      <c r="L76" s="1064">
        <v>0</v>
      </c>
      <c r="M76" s="1064">
        <f t="shared" si="21"/>
        <v>-1E-4</v>
      </c>
      <c r="N76" s="1064">
        <f t="shared" si="21"/>
        <v>-2.0000000000000001E-4</v>
      </c>
      <c r="O76" s="1119"/>
      <c r="P76" s="1119"/>
      <c r="Z76" s="1998"/>
      <c r="AA76" s="2053"/>
      <c r="AG76" s="1121"/>
      <c r="AK76" s="2053"/>
    </row>
    <row r="77" spans="1:37" ht="25.5">
      <c r="A77" s="2130" t="s">
        <v>2060</v>
      </c>
      <c r="B77" s="1326" t="str">
        <f>估价对象房地状况!C22</f>
        <v>估价对象所在区域基础设施水平</v>
      </c>
      <c r="C77" s="2044" t="s">
        <v>3398</v>
      </c>
      <c r="D77" s="1065">
        <f t="shared" si="17"/>
        <v>4.0000000000000002E-4</v>
      </c>
      <c r="E77" s="747"/>
      <c r="F77" s="1814"/>
      <c r="G77" s="3449">
        <f t="shared" si="18"/>
        <v>2.0000000000000001E-4</v>
      </c>
      <c r="H77" s="1066">
        <f t="shared" si="18"/>
        <v>4.4000000000000003E-3</v>
      </c>
      <c r="I77" s="3367">
        <v>0.09</v>
      </c>
      <c r="J77" s="1064">
        <f t="shared" si="19"/>
        <v>4.0000000000000002E-4</v>
      </c>
      <c r="K77" s="1064">
        <f t="shared" si="20"/>
        <v>2.0000000000000001E-4</v>
      </c>
      <c r="L77" s="1064">
        <v>0</v>
      </c>
      <c r="M77" s="1064">
        <f t="shared" si="21"/>
        <v>-2.0000000000000001E-4</v>
      </c>
      <c r="N77" s="1064">
        <f t="shared" si="21"/>
        <v>-4.0000000000000002E-4</v>
      </c>
      <c r="O77" s="1119"/>
      <c r="P77" s="1119"/>
      <c r="Z77" s="1998"/>
      <c r="AA77" s="2053"/>
      <c r="AG77" s="1121"/>
      <c r="AK77" s="2053"/>
    </row>
    <row r="78" spans="1:37" ht="24">
      <c r="A78" s="2130" t="s">
        <v>2057</v>
      </c>
      <c r="B78" s="2136" t="s">
        <v>2058</v>
      </c>
      <c r="C78" s="2044" t="s">
        <v>3388</v>
      </c>
      <c r="D78" s="1065">
        <f t="shared" si="17"/>
        <v>1E-4</v>
      </c>
      <c r="E78" s="747"/>
      <c r="F78" s="1814"/>
      <c r="G78" s="3449">
        <f t="shared" si="18"/>
        <v>1E-4</v>
      </c>
      <c r="H78" s="1066">
        <f t="shared" si="18"/>
        <v>2.3999999999999998E-3</v>
      </c>
      <c r="I78" s="3367">
        <v>0.05</v>
      </c>
      <c r="J78" s="1064">
        <f t="shared" si="19"/>
        <v>2.0000000000000001E-4</v>
      </c>
      <c r="K78" s="1064">
        <f t="shared" si="20"/>
        <v>1E-4</v>
      </c>
      <c r="L78" s="1064">
        <v>0</v>
      </c>
      <c r="M78" s="1064">
        <f t="shared" si="21"/>
        <v>-1E-4</v>
      </c>
      <c r="N78" s="1064">
        <f t="shared" si="21"/>
        <v>-2.0000000000000001E-4</v>
      </c>
      <c r="O78" s="1997"/>
      <c r="P78" s="1997"/>
      <c r="Z78" s="1998"/>
      <c r="AA78" s="2053"/>
      <c r="AG78" s="1121"/>
      <c r="AK78" s="2053"/>
    </row>
    <row r="79" spans="1:37" ht="25.5">
      <c r="A79" s="2130" t="s">
        <v>2061</v>
      </c>
      <c r="B79" s="2133" t="str">
        <f>估价对象房地状况!C20</f>
        <v>区域自然环境：；人文环境；综合评价环境状况一般</v>
      </c>
      <c r="C79" s="2044" t="s">
        <v>3388</v>
      </c>
      <c r="D79" s="1065">
        <f t="shared" si="17"/>
        <v>2.0000000000000001E-4</v>
      </c>
      <c r="E79" s="747"/>
      <c r="F79" s="1814"/>
      <c r="G79" s="3449">
        <f t="shared" si="18"/>
        <v>2.0000000000000001E-4</v>
      </c>
      <c r="H79" s="1066">
        <f t="shared" si="18"/>
        <v>5.7999999999999996E-3</v>
      </c>
      <c r="I79" s="3367">
        <v>0.12</v>
      </c>
      <c r="J79" s="1064">
        <f t="shared" si="19"/>
        <v>4.0000000000000002E-4</v>
      </c>
      <c r="K79" s="1064">
        <f t="shared" si="20"/>
        <v>2.0000000000000001E-4</v>
      </c>
      <c r="L79" s="1064">
        <v>0</v>
      </c>
      <c r="M79" s="1064">
        <f t="shared" si="21"/>
        <v>-2.0000000000000001E-4</v>
      </c>
      <c r="N79" s="1064">
        <f t="shared" si="21"/>
        <v>-4.0000000000000002E-4</v>
      </c>
      <c r="Z79" s="1998"/>
      <c r="AA79" s="2053"/>
      <c r="AG79" s="1121"/>
      <c r="AK79" s="2053"/>
    </row>
    <row r="80" spans="1:37" ht="24.75" thickBot="1">
      <c r="A80" s="2138" t="s">
        <v>2068</v>
      </c>
      <c r="B80" s="2142"/>
      <c r="C80" s="2044" t="s">
        <v>3388</v>
      </c>
      <c r="D80" s="1065">
        <f t="shared" si="17"/>
        <v>1E-4</v>
      </c>
      <c r="E80" s="748"/>
      <c r="F80" s="1814"/>
      <c r="G80" s="3449">
        <f t="shared" si="18"/>
        <v>1E-4</v>
      </c>
      <c r="H80" s="1066">
        <f t="shared" si="18"/>
        <v>2.3999999999999998E-3</v>
      </c>
      <c r="I80" s="3368">
        <v>0.05</v>
      </c>
      <c r="J80" s="1064">
        <f t="shared" si="19"/>
        <v>2.0000000000000001E-4</v>
      </c>
      <c r="K80" s="1064">
        <f t="shared" si="20"/>
        <v>1E-4</v>
      </c>
      <c r="L80" s="1064">
        <v>0</v>
      </c>
      <c r="M80" s="1064">
        <f t="shared" si="21"/>
        <v>-1E-4</v>
      </c>
      <c r="N80" s="1064">
        <f t="shared" si="21"/>
        <v>-2.0000000000000001E-4</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3272</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3275</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3271</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3276</v>
      </c>
      <c r="B96" s="3385" t="s">
        <v>3287</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3277</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3278</v>
      </c>
      <c r="B98" s="3386" t="s">
        <v>3288</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02" t="s">
        <v>3296</v>
      </c>
      <c r="B103" s="3702"/>
      <c r="C103" s="3702"/>
      <c r="D103" s="3702"/>
      <c r="E103" s="3702"/>
      <c r="F103" s="3702"/>
      <c r="G103" s="3702"/>
      <c r="H103" s="3702"/>
      <c r="I103" s="3702"/>
      <c r="J103" s="3702"/>
      <c r="K103" s="3390"/>
      <c r="L103" s="3390"/>
      <c r="M103" s="3390"/>
      <c r="N103" s="3390"/>
    </row>
    <row r="104" spans="1:14">
      <c r="A104" s="3703" t="s">
        <v>3297</v>
      </c>
      <c r="B104" s="3703" t="s">
        <v>3298</v>
      </c>
      <c r="C104" s="3391" t="s">
        <v>3299</v>
      </c>
      <c r="D104" s="3392"/>
      <c r="E104" s="3392"/>
      <c r="F104" s="3392"/>
      <c r="G104" s="3392"/>
      <c r="H104" s="3392"/>
      <c r="I104" s="3392"/>
      <c r="J104" s="3393"/>
      <c r="K104" s="3394"/>
      <c r="L104" s="3394"/>
      <c r="M104" s="3394"/>
      <c r="N104" s="3394"/>
    </row>
    <row r="105" spans="1:14">
      <c r="A105" s="3703"/>
      <c r="B105" s="3703"/>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689"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9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9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9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9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90"/>
      <c r="B111" s="3395" t="s">
        <v>3270</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9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92" t="s">
        <v>3313</v>
      </c>
      <c r="B113" s="3692"/>
      <c r="C113" s="3692"/>
      <c r="D113" s="3692"/>
      <c r="E113" s="3692"/>
      <c r="F113" s="3692"/>
      <c r="G113" s="3692"/>
      <c r="H113" s="3692"/>
      <c r="I113" s="3692"/>
      <c r="J113" s="369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2.5</v>
      </c>
      <c r="C116" s="3400" t="s">
        <v>3315</v>
      </c>
      <c r="D116" s="3401">
        <f>SUMPRODUCT((A118:A122=F116)*(B117:M117=H116)*B118:M122)</f>
        <v>0.90080000000000005</v>
      </c>
      <c r="E116" s="2000" t="s">
        <v>3316</v>
      </c>
      <c r="F116" s="3402" t="str">
        <f>E2</f>
        <v>住宅</v>
      </c>
      <c r="G116" s="2000" t="s">
        <v>3317</v>
      </c>
      <c r="H116" s="3402" t="str">
        <f>G2</f>
        <v>三级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3331</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3332</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3333</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4" priority="7" stopIfTrue="1" operator="notEqual">
      <formula>"——"</formula>
    </cfRule>
  </conditionalFormatting>
  <conditionalFormatting sqref="F61">
    <cfRule type="cellIs" dxfId="143" priority="6" stopIfTrue="1" operator="notEqual">
      <formula>"——"</formula>
    </cfRule>
  </conditionalFormatting>
  <conditionalFormatting sqref="F72">
    <cfRule type="cellIs" dxfId="142" priority="5" stopIfTrue="1" operator="notEqual">
      <formula>"——"</formula>
    </cfRule>
  </conditionalFormatting>
  <conditionalFormatting sqref="F83">
    <cfRule type="cellIs" dxfId="141" priority="4" stopIfTrue="1" operator="notEqual">
      <formula>"——"</formula>
    </cfRule>
  </conditionalFormatting>
  <conditionalFormatting sqref="H50:H58 H61:H69 H72:H80 H83:H91">
    <cfRule type="cellIs" dxfId="140" priority="3" operator="notEqual">
      <formula>"——"</formula>
    </cfRule>
  </conditionalFormatting>
  <conditionalFormatting sqref="H93:H101">
    <cfRule type="cellIs" dxfId="139" priority="2" operator="notEqual">
      <formula>"——"</formula>
    </cfRule>
  </conditionalFormatting>
  <conditionalFormatting sqref="G72:G80">
    <cfRule type="cellIs" dxfId="1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3395</v>
      </c>
      <c r="D1" s="1362" t="s">
        <v>43</v>
      </c>
      <c r="E1" s="1363" t="s">
        <v>678</v>
      </c>
      <c r="F1" s="1062">
        <f ca="1">J53</f>
        <v>28.86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20.013400000000001</v>
      </c>
      <c r="C2" s="1387" t="s">
        <v>879</v>
      </c>
      <c r="D2" s="1471">
        <f ca="1">C40+J29+L46</f>
        <v>200134</v>
      </c>
      <c r="E2" s="1388" t="s">
        <v>880</v>
      </c>
      <c r="F2" s="1389"/>
      <c r="G2" s="2706"/>
      <c r="H2" s="2695"/>
      <c r="I2" s="2695"/>
      <c r="J2" s="2695"/>
      <c r="K2" s="2696"/>
      <c r="L2" s="2695"/>
      <c r="M2" s="2695"/>
    </row>
    <row r="3" spans="1:37" ht="18" customHeight="1" thickBot="1">
      <c r="A3" s="1390" t="s">
        <v>881</v>
      </c>
      <c r="B3" s="1391">
        <f ca="1">IF(ISERROR(D2/F43),0,ROUND(D2/F43,0))</f>
        <v>6623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7569</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7560</v>
      </c>
      <c r="D6" s="155" t="s">
        <v>2106</v>
      </c>
      <c r="E6" s="302" t="s">
        <v>696</v>
      </c>
      <c r="F6" s="303">
        <f ca="1">INDIRECT("'数据-取费表'!u"&amp;$G$1)</f>
        <v>700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9</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168047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151100</v>
      </c>
      <c r="D14" s="1345" t="s">
        <v>708</v>
      </c>
      <c r="E14" s="1342"/>
      <c r="F14" s="319"/>
      <c r="G14" s="1384"/>
      <c r="H14" s="982" t="s">
        <v>398</v>
      </c>
      <c r="I14" s="302" t="s">
        <v>709</v>
      </c>
      <c r="J14" s="21">
        <f ca="1">C29</f>
        <v>224063</v>
      </c>
      <c r="K14" s="12"/>
      <c r="L14" s="807"/>
      <c r="M14" s="808"/>
    </row>
    <row r="15" spans="1:37" s="1397" customFormat="1" ht="18" customHeight="1" thickBot="1">
      <c r="A15" s="982" t="s">
        <v>399</v>
      </c>
      <c r="B15" s="302" t="s">
        <v>710</v>
      </c>
      <c r="C15" s="21">
        <f ca="1">ROUND(C14*F15,0)</f>
        <v>6044</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3361</v>
      </c>
      <c r="K16" s="1087" t="s">
        <v>715</v>
      </c>
      <c r="L16" s="1088"/>
      <c r="M16" s="1072"/>
    </row>
    <row r="17" spans="1:37" s="1397" customFormat="1" ht="18" customHeight="1">
      <c r="A17" s="982" t="s">
        <v>681</v>
      </c>
      <c r="B17" s="302" t="s">
        <v>716</v>
      </c>
      <c r="C17" s="21">
        <f ca="1">ROUND(F17*(F43+INDIRECT("'数据-取费表'!S"&amp;$G$1)),0)</f>
        <v>6044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2267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165455</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4964</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3361</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8095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-3361</v>
      </c>
      <c r="K25" s="1095" t="s">
        <v>753</v>
      </c>
      <c r="L25" s="1096"/>
      <c r="M25" s="1097"/>
    </row>
    <row r="26" spans="1:37" ht="18" customHeight="1">
      <c r="A26" s="982" t="s">
        <v>397</v>
      </c>
      <c r="B26" s="302" t="s">
        <v>754</v>
      </c>
      <c r="C26" s="21">
        <f ca="1">ROUND((C19+C20)*F26,0)</f>
        <v>25563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224063</v>
      </c>
      <c r="D29" s="1092"/>
      <c r="E29" s="1090"/>
      <c r="F29" s="1093"/>
      <c r="G29" s="1396"/>
      <c r="H29" s="334" t="s">
        <v>396</v>
      </c>
      <c r="I29" s="335" t="s">
        <v>768</v>
      </c>
      <c r="J29" s="336">
        <f ca="1">ROUND(J26/(1+F40)^F41,0)</f>
        <v>0</v>
      </c>
      <c r="K29" s="337" t="s">
        <v>769</v>
      </c>
      <c r="L29" s="338"/>
      <c r="M29" s="339">
        <f ca="1">INDIRECT("'数据-取费表'!k"&amp;$G$1)</f>
        <v>30.22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4109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504</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3361</v>
      </c>
      <c r="D36" s="1344" t="s">
        <v>771</v>
      </c>
      <c r="E36" s="302" t="s">
        <v>712</v>
      </c>
      <c r="F36" s="328">
        <f ca="1">INDIRECT("'数据-取费表'!Ak"&amp;$G$1)</f>
        <v>1.4999999999999999E-2</v>
      </c>
      <c r="G36" s="1384"/>
      <c r="H36" s="2700"/>
      <c r="I36" s="1398"/>
      <c r="J36" s="1399"/>
      <c r="K36" s="2544"/>
      <c r="L36" s="2700"/>
      <c r="M36" s="2700"/>
    </row>
    <row r="37" spans="1:18" ht="18" customHeight="1">
      <c r="A37" s="982" t="s">
        <v>437</v>
      </c>
      <c r="B37" s="302" t="s">
        <v>742</v>
      </c>
      <c r="C37" s="21">
        <f ca="1">ROUND(C13*F37,0)</f>
        <v>168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3460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83845</v>
      </c>
      <c r="D40" s="324" t="s">
        <v>758</v>
      </c>
      <c r="E40" s="302" t="s">
        <v>759</v>
      </c>
      <c r="F40" s="312">
        <f ca="1">INDIRECT("'数据-取费表'!I"&amp;$G$1)</f>
        <v>4.4999999999999998E-2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28.86</v>
      </c>
      <c r="G41" s="1384"/>
      <c r="H41" s="1191"/>
      <c r="I41" s="1398"/>
      <c r="J41" s="1399"/>
      <c r="K41" s="2544"/>
      <c r="L41" s="1191"/>
      <c r="M41" s="1191"/>
    </row>
    <row r="42" spans="1:18" ht="18" customHeight="1">
      <c r="A42" s="308"/>
      <c r="B42" s="309"/>
      <c r="C42" s="310"/>
      <c r="D42" s="327"/>
      <c r="E42" s="302" t="s">
        <v>766</v>
      </c>
      <c r="F42" s="312">
        <f ca="1">INDIRECT("'数据-取费表'!v"&amp;$G$1)</f>
        <v>3.5000000000000003E-2</v>
      </c>
      <c r="G42" s="1384"/>
      <c r="H42" s="1191"/>
      <c r="I42" s="1398"/>
      <c r="J42" s="1399"/>
      <c r="K42" s="2544"/>
      <c r="L42" s="1191"/>
      <c r="M42" s="1191"/>
    </row>
    <row r="43" spans="1:18" ht="18" customHeight="1" thickBot="1">
      <c r="A43" s="334" t="s">
        <v>396</v>
      </c>
      <c r="B43" s="335" t="s">
        <v>776</v>
      </c>
      <c r="C43" s="336">
        <f ca="1">ROUND(C40/F43,0)</f>
        <v>2774</v>
      </c>
      <c r="D43" s="337" t="s">
        <v>777</v>
      </c>
      <c r="E43" s="338" t="s">
        <v>778</v>
      </c>
      <c r="F43" s="339">
        <f ca="1">INDIRECT("'数据-取费表'!k"&amp;$G$1)</f>
        <v>30.22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f ca="1">ROUND((C68-C40)/10000,4)</f>
        <v>-14.0251</v>
      </c>
      <c r="D45" s="3432" t="s">
        <v>3355</v>
      </c>
      <c r="E45" s="1400"/>
      <c r="F45" s="1400"/>
      <c r="O45" s="1403" t="s">
        <v>808</v>
      </c>
      <c r="P45" s="1461"/>
      <c r="Q45" s="1461"/>
      <c r="R45" s="1461"/>
    </row>
    <row r="46" spans="1:18" s="1384" customFormat="1" ht="13.5" thickBot="1">
      <c r="A46" s="1404" t="s">
        <v>809</v>
      </c>
      <c r="C46" s="1405">
        <f ca="1">ROUND(C45,0)</f>
        <v>-14</v>
      </c>
      <c r="D46" s="1406" t="str">
        <f>C2</f>
        <v>万元</v>
      </c>
      <c r="I46" s="1407" t="s">
        <v>810</v>
      </c>
      <c r="J46" s="1408"/>
      <c r="K46" s="1409"/>
      <c r="L46" s="1410">
        <f ca="1">IF(M47="住宅",0,IF(L48&gt;J51,L60,J60))</f>
        <v>116289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3404</v>
      </c>
      <c r="K47" s="1416" t="s">
        <v>816</v>
      </c>
      <c r="L47" s="1417">
        <f ca="1">INDIRECT("'数据-取费表'!d"&amp;$G$1)</f>
        <v>50</v>
      </c>
      <c r="M47" s="1380" t="str">
        <f>IF(ISNUMBER(FIND("住宅",C1)),"住宅","非住宅")</f>
        <v>非住宅</v>
      </c>
      <c r="O47" s="1418" t="s">
        <v>403</v>
      </c>
      <c r="P47" s="1419" t="s">
        <v>817</v>
      </c>
      <c r="Q47" s="1420">
        <f ca="1">C40+J29</f>
        <v>83845</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28.86</v>
      </c>
      <c r="O48" s="1418" t="s">
        <v>404</v>
      </c>
      <c r="P48" s="1419" t="s">
        <v>821</v>
      </c>
      <c r="Q48" s="1420">
        <f ca="1">J60</f>
        <v>116289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224063</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0.51900000000000002</v>
      </c>
      <c r="R50" s="1420"/>
    </row>
    <row r="51" spans="1:18" s="1384" customFormat="1" ht="13.5"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-111813</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28.86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28.86</v>
      </c>
      <c r="K53" s="3684" t="s">
        <v>837</v>
      </c>
      <c r="L53" s="3685"/>
      <c r="O53" s="1418" t="s">
        <v>409</v>
      </c>
      <c r="P53" s="1419" t="s">
        <v>838</v>
      </c>
      <c r="Q53" s="1420">
        <f ca="1">Q47+Q48</f>
        <v>200134</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0.51900000000000002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168047</v>
      </c>
      <c r="D56" s="1447"/>
      <c r="E56" s="1448"/>
      <c r="F56" s="1440"/>
      <c r="I56" s="1449" t="s">
        <v>842</v>
      </c>
      <c r="J56" s="1450"/>
      <c r="K56" s="1421" t="s">
        <v>843</v>
      </c>
      <c r="L56" s="1424" t="str">
        <f ca="1">IF(L48&lt;J51,"——",L48-J51)</f>
        <v>——</v>
      </c>
      <c r="O56" s="1418" t="s">
        <v>403</v>
      </c>
      <c r="P56" s="1419" t="s">
        <v>817</v>
      </c>
      <c r="Q56" s="1420">
        <f ca="1">C40+J29</f>
        <v>83845</v>
      </c>
      <c r="R56" s="1420" t="s">
        <v>818</v>
      </c>
    </row>
    <row r="57" spans="1:18" s="1384" customFormat="1" ht="24.75" thickBot="1">
      <c r="A57" s="1451"/>
      <c r="B57" s="950" t="s">
        <v>767</v>
      </c>
      <c r="C57" s="238">
        <f ca="1">C29</f>
        <v>224063</v>
      </c>
      <c r="D57" s="1452"/>
      <c r="E57" s="1453"/>
      <c r="F57" s="1454"/>
      <c r="I57" s="1455" t="s">
        <v>844</v>
      </c>
      <c r="J57" s="1456">
        <f ca="1">IF(OR(M47="住宅",J51&lt;L48,J56="是"),"——",J51-L48)</f>
        <v>31.14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3529</v>
      </c>
      <c r="D58" s="960" t="s">
        <v>715</v>
      </c>
      <c r="E58" s="961"/>
      <c r="F58" s="962"/>
      <c r="I58" s="1455" t="s">
        <v>848</v>
      </c>
      <c r="J58" s="1457">
        <f ca="1">IF(J55&lt;0.4,0.4,J55)</f>
        <v>0.51900000000000002</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116289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116289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83845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3361</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168</v>
      </c>
      <c r="D65" s="964" t="s">
        <v>743</v>
      </c>
      <c r="E65" s="950" t="s">
        <v>744</v>
      </c>
      <c r="F65" s="330">
        <f t="shared" ca="1" si="0"/>
        <v>1E-3</v>
      </c>
      <c r="I65" s="1462" t="s">
        <v>867</v>
      </c>
      <c r="J65" s="1463">
        <v>40</v>
      </c>
      <c r="K65" s="1463">
        <v>30</v>
      </c>
      <c r="L65" s="1463">
        <v>50</v>
      </c>
      <c r="M65" s="1465">
        <v>0.02</v>
      </c>
      <c r="O65" s="1418" t="s">
        <v>403</v>
      </c>
      <c r="P65" s="1419" t="s">
        <v>868</v>
      </c>
      <c r="Q65" s="1420">
        <f ca="1">C40+J29</f>
        <v>83845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-3529</v>
      </c>
      <c r="D67" s="963" t="s">
        <v>753</v>
      </c>
      <c r="E67" s="968"/>
      <c r="F67" s="969"/>
      <c r="O67" s="1428" t="s">
        <v>405</v>
      </c>
      <c r="P67" s="1419" t="s">
        <v>850</v>
      </c>
      <c r="Q67" s="1466">
        <f ca="1">L51</f>
        <v>-111813</v>
      </c>
      <c r="R67" s="1420" t="s">
        <v>870</v>
      </c>
    </row>
    <row r="68" spans="1:18" s="1384" customFormat="1" ht="16.5" thickBot="1">
      <c r="A68" s="947" t="s">
        <v>395</v>
      </c>
      <c r="B68" s="948" t="s">
        <v>774</v>
      </c>
      <c r="C68" s="301">
        <f ca="1">ROUND(C67*(1-((1+F70)/(1+F68))^F69)/(F68-F70),0)</f>
        <v>-56406</v>
      </c>
      <c r="D68" s="965" t="s">
        <v>758</v>
      </c>
      <c r="E68" s="950" t="s">
        <v>759</v>
      </c>
      <c r="F68" s="312">
        <f ca="1">F40</f>
        <v>4.4999999999999998E-2</v>
      </c>
      <c r="O68" s="1428" t="s">
        <v>406</v>
      </c>
      <c r="P68" s="1467" t="s">
        <v>871</v>
      </c>
      <c r="Q68" s="1420">
        <f ca="1">ROUND(Q69-Q70*Q71,0)</f>
        <v>-4942</v>
      </c>
      <c r="R68" s="1420" t="s">
        <v>414</v>
      </c>
    </row>
    <row r="69" spans="1:18" s="1384" customFormat="1" ht="13.5" thickBot="1">
      <c r="A69" s="951"/>
      <c r="B69" s="952"/>
      <c r="C69" s="306"/>
      <c r="D69" s="970" t="s">
        <v>762</v>
      </c>
      <c r="E69" s="950" t="s">
        <v>763</v>
      </c>
      <c r="F69" s="333">
        <f ca="1">F41</f>
        <v>28.86</v>
      </c>
      <c r="O69" s="1428" t="s">
        <v>411</v>
      </c>
      <c r="P69" s="1467" t="s">
        <v>872</v>
      </c>
      <c r="Q69" s="1420">
        <f ca="1">C39</f>
        <v>3460</v>
      </c>
      <c r="R69" s="1420" t="s">
        <v>818</v>
      </c>
    </row>
    <row r="70" spans="1:18" s="1384" customFormat="1" ht="13.5" thickBot="1">
      <c r="A70" s="954"/>
      <c r="B70" s="955"/>
      <c r="C70" s="310"/>
      <c r="D70" s="966"/>
      <c r="E70" s="950" t="s">
        <v>766</v>
      </c>
      <c r="F70" s="1054"/>
      <c r="O70" s="1428" t="s">
        <v>412</v>
      </c>
      <c r="P70" s="1467" t="s">
        <v>873</v>
      </c>
      <c r="Q70" s="1420">
        <f ca="1">C13</f>
        <v>168047</v>
      </c>
      <c r="R70" s="1420" t="s">
        <v>818</v>
      </c>
    </row>
    <row r="71" spans="1:18" s="1384" customFormat="1" ht="13.5" thickBot="1">
      <c r="A71" s="971" t="s">
        <v>396</v>
      </c>
      <c r="B71" s="972" t="s">
        <v>776</v>
      </c>
      <c r="C71" s="336">
        <f ca="1">ROUND(C68/F71,0)</f>
        <v>-1867</v>
      </c>
      <c r="D71" s="973" t="s">
        <v>777</v>
      </c>
      <c r="E71" s="974" t="s">
        <v>778</v>
      </c>
      <c r="F71" s="339">
        <f ca="1">F43</f>
        <v>30.22</v>
      </c>
      <c r="O71" s="1428" t="s">
        <v>413</v>
      </c>
      <c r="P71" s="1467" t="s">
        <v>874</v>
      </c>
      <c r="Q71" s="1431">
        <f ca="1">C76</f>
        <v>0.05</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8402</v>
      </c>
      <c r="D75" s="1384"/>
      <c r="E75" s="1384"/>
      <c r="F75" s="1384"/>
      <c r="K75" s="1402"/>
      <c r="L75" s="1384"/>
      <c r="O75" s="1418" t="s">
        <v>409</v>
      </c>
      <c r="P75" s="1419" t="s">
        <v>838</v>
      </c>
      <c r="Q75" s="1420">
        <f ca="1">Q65+Q66</f>
        <v>83845</v>
      </c>
      <c r="R75" s="1420" t="s">
        <v>410</v>
      </c>
    </row>
    <row r="76" spans="1:18">
      <c r="B76" s="342" t="s">
        <v>796</v>
      </c>
      <c r="C76" s="343">
        <f ca="1">INDIRECT("'数据-取费表'!j"&amp;$G$1)</f>
        <v>0.05</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-1.4279999999999999</v>
      </c>
    </row>
    <row r="80" spans="1:18">
      <c r="B80" s="340" t="s">
        <v>800</v>
      </c>
      <c r="C80" s="274">
        <f ca="1">ROUND(C75/C39,3)</f>
        <v>2.4279999999999999</v>
      </c>
    </row>
    <row r="81" spans="2:3">
      <c r="B81" s="270" t="s">
        <v>801</v>
      </c>
      <c r="C81" s="238"/>
    </row>
    <row r="82" spans="2:3">
      <c r="B82" s="273" t="s">
        <v>802</v>
      </c>
      <c r="C82" s="275">
        <f ca="1">1-C83</f>
        <v>-1.004</v>
      </c>
    </row>
    <row r="83" spans="2:3">
      <c r="B83" s="273" t="s">
        <v>803</v>
      </c>
      <c r="C83" s="274">
        <f ca="1">ROUND(C13/C40,3)</f>
        <v>2.004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3361</v>
      </c>
      <c r="E2" s="3444"/>
      <c r="F2" s="2846"/>
      <c r="G2" s="2847"/>
      <c r="H2" s="2848"/>
      <c r="I2" s="2849"/>
      <c r="J2" s="3708" t="s">
        <v>2320</v>
      </c>
      <c r="K2" s="3709"/>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0" t="s">
        <v>2330</v>
      </c>
      <c r="K3" s="3711"/>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0" t="s">
        <v>2332</v>
      </c>
      <c r="K4" s="3711"/>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2" t="s">
        <v>2336</v>
      </c>
      <c r="B6" s="3713"/>
      <c r="C6" s="3714"/>
      <c r="D6" s="2870"/>
      <c r="E6" s="2871"/>
      <c r="F6" s="2872"/>
      <c r="G6" s="2873"/>
      <c r="H6" s="2848"/>
      <c r="I6" s="2849"/>
      <c r="J6" s="3715">
        <v>1</v>
      </c>
      <c r="K6" s="3716"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5"/>
      <c r="K7" s="3717"/>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9" t="s">
        <v>2350</v>
      </c>
      <c r="C8" s="3720"/>
      <c r="D8" s="2889" t="s">
        <v>2351</v>
      </c>
      <c r="E8" s="2890" t="s">
        <v>2352</v>
      </c>
      <c r="F8" s="2891" t="s">
        <v>2353</v>
      </c>
      <c r="G8" s="2892"/>
      <c r="H8" s="2848"/>
      <c r="I8" s="2849"/>
      <c r="J8" s="3715"/>
      <c r="K8" s="3717"/>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9" t="s">
        <v>2356</v>
      </c>
      <c r="C9" s="3720"/>
      <c r="D9" s="2889">
        <f>ROUND(D6*E9,0)</f>
        <v>0</v>
      </c>
      <c r="E9" s="2893"/>
      <c r="F9" s="2894" t="s">
        <v>2357</v>
      </c>
      <c r="G9" s="2873"/>
      <c r="H9" s="2848"/>
      <c r="I9" s="2849"/>
      <c r="J9" s="3715"/>
      <c r="K9" s="3717"/>
      <c r="L9" s="2883" t="s">
        <v>2358</v>
      </c>
      <c r="M9" s="2884"/>
      <c r="N9" s="2860"/>
      <c r="O9" s="2885"/>
      <c r="P9" s="2885"/>
      <c r="Q9" s="2886">
        <v>365</v>
      </c>
      <c r="R9" s="2887">
        <f t="shared" si="0"/>
        <v>0</v>
      </c>
      <c r="S9" s="2841"/>
      <c r="T9" s="2841"/>
      <c r="U9" s="2841"/>
      <c r="V9" s="2849"/>
    </row>
    <row r="10" spans="1:22" s="2853" customFormat="1" ht="13.15" customHeight="1">
      <c r="A10" s="2888">
        <v>2</v>
      </c>
      <c r="B10" s="3719" t="s">
        <v>2359</v>
      </c>
      <c r="C10" s="3720"/>
      <c r="D10" s="2889">
        <f>ROUND(D6*E10,0)</f>
        <v>0</v>
      </c>
      <c r="E10" s="2893"/>
      <c r="F10" s="2894" t="s">
        <v>2360</v>
      </c>
      <c r="G10" s="2873"/>
      <c r="H10" s="2848"/>
      <c r="I10" s="2849"/>
      <c r="J10" s="3715"/>
      <c r="K10" s="3717"/>
      <c r="L10" s="2883" t="s">
        <v>2361</v>
      </c>
      <c r="M10" s="2884"/>
      <c r="N10" s="2860"/>
      <c r="O10" s="2885"/>
      <c r="P10" s="2885"/>
      <c r="Q10" s="2886">
        <v>365</v>
      </c>
      <c r="R10" s="2887">
        <f t="shared" si="0"/>
        <v>0</v>
      </c>
      <c r="S10" s="2841"/>
      <c r="T10" s="2841"/>
      <c r="U10" s="2841"/>
      <c r="V10" s="2849"/>
    </row>
    <row r="11" spans="1:22" s="2853" customFormat="1" ht="13.15" customHeight="1">
      <c r="A11" s="2888">
        <v>3</v>
      </c>
      <c r="B11" s="3719" t="s">
        <v>2362</v>
      </c>
      <c r="C11" s="3720"/>
      <c r="D11" s="2889">
        <f>D12+D14+D15+D16</f>
        <v>0</v>
      </c>
      <c r="E11" s="2895" t="e">
        <f>D11/D6</f>
        <v>#DIV/0!</v>
      </c>
      <c r="F11" s="2891"/>
      <c r="G11" s="2892"/>
      <c r="H11" s="2848"/>
      <c r="I11" s="2849"/>
      <c r="J11" s="3715"/>
      <c r="K11" s="3717"/>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1" t="s">
        <v>2365</v>
      </c>
      <c r="C12" s="3722"/>
      <c r="D12" s="2897">
        <f>ROUND(D13*1.2%*(1-30%),0)</f>
        <v>0</v>
      </c>
      <c r="E12" s="2898">
        <v>1.2E-2</v>
      </c>
      <c r="F12" s="2891" t="s">
        <v>2366</v>
      </c>
      <c r="G12" s="2892"/>
      <c r="H12" s="2848"/>
      <c r="I12" s="2849"/>
      <c r="J12" s="3715"/>
      <c r="K12" s="3717"/>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5"/>
      <c r="K13" s="3717"/>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1" t="s">
        <v>2371</v>
      </c>
      <c r="C14" s="3722"/>
      <c r="D14" s="2897">
        <f>ROUND(E14*B5/10000,0)</f>
        <v>0</v>
      </c>
      <c r="E14" s="2886"/>
      <c r="F14" s="2891" t="s">
        <v>2372</v>
      </c>
      <c r="G14" s="2892"/>
      <c r="H14" s="2848"/>
      <c r="I14" s="2849"/>
      <c r="J14" s="3715"/>
      <c r="K14" s="3718"/>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1" t="s">
        <v>2375</v>
      </c>
      <c r="C15" s="3722"/>
      <c r="D15" s="2897">
        <f>ROUND(D6*E15,0)</f>
        <v>0</v>
      </c>
      <c r="E15" s="2898">
        <v>5.5E-2</v>
      </c>
      <c r="F15" s="2891" t="s">
        <v>2376</v>
      </c>
      <c r="G15" s="2873"/>
      <c r="H15" s="2848"/>
      <c r="I15" s="2849"/>
      <c r="J15" s="3715">
        <v>2</v>
      </c>
      <c r="K15" s="3716"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1" t="s">
        <v>2384</v>
      </c>
      <c r="C16" s="3722"/>
      <c r="D16" s="2908">
        <f>D6*E16</f>
        <v>0</v>
      </c>
      <c r="E16" s="2909"/>
      <c r="F16" s="2894" t="s">
        <v>2385</v>
      </c>
      <c r="G16" s="2873"/>
      <c r="H16" s="2848"/>
      <c r="I16" s="2849"/>
      <c r="J16" s="3715"/>
      <c r="K16" s="3717"/>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3" t="s">
        <v>2387</v>
      </c>
      <c r="C17" s="3724"/>
      <c r="D17" s="2911">
        <f>ROUND(D6*E17,0)</f>
        <v>0</v>
      </c>
      <c r="E17" s="2912"/>
      <c r="F17" s="2913" t="s">
        <v>2388</v>
      </c>
      <c r="G17" s="2873"/>
      <c r="H17" s="2848"/>
      <c r="I17" s="2849"/>
      <c r="J17" s="3715"/>
      <c r="K17" s="3717"/>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5"/>
      <c r="K18" s="3717"/>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5"/>
      <c r="K19" s="3718"/>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5">
        <v>3</v>
      </c>
      <c r="K20" s="3716"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5"/>
      <c r="K21" s="3717"/>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5"/>
      <c r="K22" s="3717"/>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5"/>
      <c r="K23" s="3717"/>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5"/>
      <c r="K24" s="3718"/>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8" t="s">
        <v>2320</v>
      </c>
      <c r="K32" s="3709"/>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0" t="s">
        <v>2330</v>
      </c>
      <c r="K33" s="3711"/>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0" t="s">
        <v>2332</v>
      </c>
      <c r="K34" s="3711"/>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5">
        <v>1</v>
      </c>
      <c r="K36" s="3716"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5"/>
      <c r="K37" s="3717"/>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5"/>
      <c r="K38" s="3717"/>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5"/>
      <c r="K39" s="3717"/>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5"/>
      <c r="K40" s="3718"/>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20.013400000000001</v>
      </c>
      <c r="C2" s="1872" t="s">
        <v>1651</v>
      </c>
      <c r="D2" s="1873" t="s">
        <v>1652</v>
      </c>
      <c r="E2" s="2607">
        <f>SUM(E6:E13)</f>
        <v>30.22</v>
      </c>
      <c r="F2" s="2707"/>
      <c r="G2" s="1489"/>
      <c r="H2" s="1489"/>
      <c r="I2" s="1489"/>
      <c r="J2" s="1489"/>
      <c r="K2" s="1489"/>
      <c r="L2" s="1489"/>
      <c r="M2" s="1489"/>
      <c r="N2" s="1489"/>
      <c r="O2" s="1489"/>
      <c r="P2" s="1489"/>
      <c r="Q2" s="1489"/>
      <c r="R2" s="1489"/>
      <c r="S2" s="1489"/>
    </row>
    <row r="3" spans="1:22" ht="15.75">
      <c r="A3" s="1870" t="s">
        <v>686</v>
      </c>
      <c r="B3" s="2601">
        <f ca="1">ROUND(B2*10000/E2,0)</f>
        <v>6623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7" t="s">
        <v>1654</v>
      </c>
      <c r="C5" s="3728"/>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20.013400000000001</v>
      </c>
      <c r="C6" s="1872" t="s">
        <v>1651</v>
      </c>
      <c r="D6" s="2709"/>
      <c r="E6" s="2606">
        <f>IF(OR(A6=0,F6="否"),0,'数据-取费表'!K6+'数据-取费表'!S6)</f>
        <v>30.22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30.22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2" t="s">
        <v>1667</v>
      </c>
      <c r="D4" s="3663"/>
      <c r="E4" s="3664" t="s">
        <v>1668</v>
      </c>
      <c r="F4" s="3665"/>
      <c r="G4" s="3662" t="s">
        <v>1669</v>
      </c>
      <c r="H4" s="3663"/>
      <c r="I4" s="3662" t="s">
        <v>1670</v>
      </c>
      <c r="J4" s="3663"/>
      <c r="K4" s="1889" t="s">
        <v>1671</v>
      </c>
      <c r="L4" s="2715"/>
      <c r="M4" s="2716"/>
      <c r="N4" s="2716"/>
      <c r="O4" s="2716"/>
      <c r="P4" s="3666" t="s">
        <v>1672</v>
      </c>
      <c r="Q4" s="3667"/>
      <c r="R4" s="3648" t="s">
        <v>1668</v>
      </c>
      <c r="S4" s="3649"/>
      <c r="T4" s="3648" t="s">
        <v>1669</v>
      </c>
      <c r="U4" s="3649"/>
      <c r="V4" s="3674" t="s">
        <v>1670</v>
      </c>
      <c r="W4" s="3674"/>
      <c r="X4" s="1355"/>
      <c r="Y4" s="3648" t="s">
        <v>1672</v>
      </c>
      <c r="Z4" s="3649"/>
      <c r="AA4" s="3643" t="s">
        <v>1668</v>
      </c>
      <c r="AB4" s="3643" t="s">
        <v>1669</v>
      </c>
      <c r="AC4" s="3643" t="s">
        <v>1670</v>
      </c>
    </row>
    <row r="5" spans="1:29" ht="15">
      <c r="A5" s="358"/>
      <c r="B5" s="359"/>
      <c r="C5" s="3658" t="s">
        <v>1673</v>
      </c>
      <c r="D5" s="3655"/>
      <c r="E5" s="3729" t="s">
        <v>1674</v>
      </c>
      <c r="F5" s="3653"/>
      <c r="G5" s="3658" t="s">
        <v>1675</v>
      </c>
      <c r="H5" s="3655"/>
      <c r="I5" s="3658" t="s">
        <v>1676</v>
      </c>
      <c r="J5" s="3655"/>
      <c r="K5" s="1890"/>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1890"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46" t="s">
        <v>1680</v>
      </c>
      <c r="Q7" s="3675"/>
      <c r="R7" s="701" t="s">
        <v>20</v>
      </c>
      <c r="S7" s="702">
        <f t="shared" ref="S7:S15" si="0">F7</f>
        <v>0</v>
      </c>
      <c r="T7" s="701" t="s">
        <v>20</v>
      </c>
      <c r="U7" s="702">
        <f t="shared" ref="U7:U15" si="1">H7</f>
        <v>0</v>
      </c>
      <c r="V7" s="701" t="s">
        <v>20</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46" t="s">
        <v>1683</v>
      </c>
      <c r="Q8" s="3647"/>
      <c r="R8" s="701" t="s">
        <v>20</v>
      </c>
      <c r="S8" s="702">
        <f t="shared" si="0"/>
        <v>100</v>
      </c>
      <c r="T8" s="701" t="s">
        <v>20</v>
      </c>
      <c r="U8" s="702">
        <f t="shared" si="1"/>
        <v>100</v>
      </c>
      <c r="V8" s="701" t="s">
        <v>20</v>
      </c>
      <c r="W8" s="702">
        <f t="shared" si="2"/>
        <v>100</v>
      </c>
      <c r="X8" s="703"/>
      <c r="Y8" s="3646" t="s">
        <v>1683</v>
      </c>
      <c r="Z8" s="36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0"/>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0"/>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0"/>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0"/>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67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67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67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67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67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67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67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67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67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67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67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67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67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2" t="s">
        <v>1696</v>
      </c>
      <c r="Q32" s="1352" t="str">
        <f t="shared" si="11"/>
        <v>建筑类型</v>
      </c>
      <c r="R32" s="705" t="s">
        <v>18</v>
      </c>
      <c r="S32" s="706">
        <f t="shared" si="12"/>
        <v>100</v>
      </c>
      <c r="T32" s="705" t="s">
        <v>18</v>
      </c>
      <c r="U32" s="706">
        <f t="shared" si="13"/>
        <v>100</v>
      </c>
      <c r="V32" s="705" t="s">
        <v>18</v>
      </c>
      <c r="W32" s="706">
        <f t="shared" si="14"/>
        <v>100</v>
      </c>
      <c r="X32" s="1355"/>
      <c r="Y32" s="367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3"/>
      <c r="Q33" s="707" t="str">
        <f t="shared" si="11"/>
        <v>项目建筑规模</v>
      </c>
      <c r="R33" s="708" t="s">
        <v>18</v>
      </c>
      <c r="S33" s="709" t="e">
        <f t="shared" si="12"/>
        <v>#N/A</v>
      </c>
      <c r="T33" s="708" t="s">
        <v>18</v>
      </c>
      <c r="U33" s="709" t="e">
        <f t="shared" si="13"/>
        <v>#N/A</v>
      </c>
      <c r="V33" s="708" t="s">
        <v>18</v>
      </c>
      <c r="W33" s="709" t="e">
        <f t="shared" si="14"/>
        <v>#N/A</v>
      </c>
      <c r="X33" s="710"/>
      <c r="Y33" s="367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3"/>
      <c r="Q34" s="1352" t="str">
        <f t="shared" si="11"/>
        <v>建筑结构</v>
      </c>
      <c r="R34" s="705" t="s">
        <v>18</v>
      </c>
      <c r="S34" s="706">
        <f t="shared" si="12"/>
        <v>100</v>
      </c>
      <c r="T34" s="705" t="s">
        <v>18</v>
      </c>
      <c r="U34" s="706">
        <f t="shared" si="13"/>
        <v>100</v>
      </c>
      <c r="V34" s="705" t="s">
        <v>18</v>
      </c>
      <c r="W34" s="706">
        <f t="shared" si="14"/>
        <v>100</v>
      </c>
      <c r="X34" s="1355"/>
      <c r="Y34" s="367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3"/>
      <c r="Q35" s="1352" t="str">
        <f t="shared" si="11"/>
        <v>建筑品质</v>
      </c>
      <c r="R35" s="705" t="s">
        <v>18</v>
      </c>
      <c r="S35" s="706">
        <f t="shared" si="12"/>
        <v>100</v>
      </c>
      <c r="T35" s="705" t="s">
        <v>18</v>
      </c>
      <c r="U35" s="706">
        <f t="shared" si="13"/>
        <v>100</v>
      </c>
      <c r="V35" s="705" t="s">
        <v>18</v>
      </c>
      <c r="W35" s="706">
        <f t="shared" si="14"/>
        <v>100</v>
      </c>
      <c r="X35" s="1355"/>
      <c r="Y35" s="367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3"/>
      <c r="Q36" s="1352" t="str">
        <f t="shared" si="11"/>
        <v>公共部分装修</v>
      </c>
      <c r="R36" s="705" t="s">
        <v>18</v>
      </c>
      <c r="S36" s="706">
        <f t="shared" si="12"/>
        <v>100</v>
      </c>
      <c r="T36" s="705" t="s">
        <v>18</v>
      </c>
      <c r="U36" s="706">
        <f t="shared" si="13"/>
        <v>100</v>
      </c>
      <c r="V36" s="705" t="s">
        <v>18</v>
      </c>
      <c r="W36" s="706">
        <f t="shared" si="14"/>
        <v>100</v>
      </c>
      <c r="X36" s="1355"/>
      <c r="Y36" s="367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3"/>
      <c r="Q37" s="1343" t="str">
        <f t="shared" si="11"/>
        <v>成新度</v>
      </c>
      <c r="R37" s="701" t="s">
        <v>18</v>
      </c>
      <c r="S37" s="702" t="e">
        <f t="shared" si="12"/>
        <v>#N/A</v>
      </c>
      <c r="T37" s="701" t="s">
        <v>18</v>
      </c>
      <c r="U37" s="702" t="e">
        <f t="shared" si="13"/>
        <v>#N/A</v>
      </c>
      <c r="V37" s="701" t="s">
        <v>18</v>
      </c>
      <c r="W37" s="702" t="e">
        <f t="shared" si="14"/>
        <v>#N/A</v>
      </c>
      <c r="X37" s="703"/>
      <c r="Y37" s="367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3" t="s">
        <v>1696</v>
      </c>
      <c r="Q38" s="1352" t="str">
        <f t="shared" si="11"/>
        <v>物业管理</v>
      </c>
      <c r="R38" s="705" t="s">
        <v>18</v>
      </c>
      <c r="S38" s="706">
        <f t="shared" si="12"/>
        <v>100</v>
      </c>
      <c r="T38" s="705" t="s">
        <v>18</v>
      </c>
      <c r="U38" s="706">
        <f t="shared" si="13"/>
        <v>100</v>
      </c>
      <c r="V38" s="705" t="s">
        <v>18</v>
      </c>
      <c r="W38" s="706">
        <f t="shared" si="14"/>
        <v>100</v>
      </c>
      <c r="X38" s="1355"/>
      <c r="Y38" s="367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3"/>
      <c r="Q39" s="1352" t="str">
        <f t="shared" si="11"/>
        <v>市政基础设施</v>
      </c>
      <c r="R39" s="705" t="s">
        <v>18</v>
      </c>
      <c r="S39" s="706">
        <f t="shared" si="12"/>
        <v>100</v>
      </c>
      <c r="T39" s="705" t="s">
        <v>18</v>
      </c>
      <c r="U39" s="706">
        <f t="shared" si="13"/>
        <v>100</v>
      </c>
      <c r="V39" s="705" t="s">
        <v>18</v>
      </c>
      <c r="W39" s="706">
        <f t="shared" si="14"/>
        <v>100</v>
      </c>
      <c r="X39" s="1355"/>
      <c r="Y39" s="367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3"/>
      <c r="Q40" s="1352" t="str">
        <f t="shared" si="11"/>
        <v>房型</v>
      </c>
      <c r="R40" s="705" t="s">
        <v>18</v>
      </c>
      <c r="S40" s="706">
        <f t="shared" si="12"/>
        <v>100</v>
      </c>
      <c r="T40" s="705" t="s">
        <v>18</v>
      </c>
      <c r="U40" s="706">
        <f t="shared" si="13"/>
        <v>100</v>
      </c>
      <c r="V40" s="705" t="s">
        <v>18</v>
      </c>
      <c r="W40" s="706">
        <f t="shared" si="14"/>
        <v>100</v>
      </c>
      <c r="X40" s="1355"/>
      <c r="Y40" s="367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3"/>
      <c r="Q41" s="707" t="str">
        <f t="shared" si="11"/>
        <v>单套/主力户型建筑面积</v>
      </c>
      <c r="R41" s="708" t="s">
        <v>18</v>
      </c>
      <c r="S41" s="709">
        <f t="shared" si="12"/>
        <v>100</v>
      </c>
      <c r="T41" s="708" t="s">
        <v>18</v>
      </c>
      <c r="U41" s="709">
        <f t="shared" si="13"/>
        <v>100</v>
      </c>
      <c r="V41" s="708" t="s">
        <v>18</v>
      </c>
      <c r="W41" s="709">
        <f t="shared" si="14"/>
        <v>100</v>
      </c>
      <c r="X41" s="710"/>
      <c r="Y41" s="367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3"/>
      <c r="Q42" s="1352" t="str">
        <f t="shared" si="11"/>
        <v>内部装修</v>
      </c>
      <c r="R42" s="705" t="s">
        <v>18</v>
      </c>
      <c r="S42" s="706">
        <f t="shared" si="12"/>
        <v>100</v>
      </c>
      <c r="T42" s="705" t="s">
        <v>18</v>
      </c>
      <c r="U42" s="706">
        <f t="shared" si="13"/>
        <v>100</v>
      </c>
      <c r="V42" s="705" t="s">
        <v>18</v>
      </c>
      <c r="W42" s="706">
        <f t="shared" si="14"/>
        <v>100</v>
      </c>
      <c r="X42" s="1355"/>
      <c r="Y42" s="367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3"/>
      <c r="Q43" s="1352" t="str">
        <f t="shared" si="11"/>
        <v>内部装修维护情况</v>
      </c>
      <c r="R43" s="705" t="s">
        <v>18</v>
      </c>
      <c r="S43" s="706">
        <f t="shared" si="12"/>
        <v>100</v>
      </c>
      <c r="T43" s="705" t="s">
        <v>18</v>
      </c>
      <c r="U43" s="706">
        <f t="shared" si="13"/>
        <v>100</v>
      </c>
      <c r="V43" s="705" t="s">
        <v>18</v>
      </c>
      <c r="W43" s="706">
        <f t="shared" si="14"/>
        <v>100</v>
      </c>
      <c r="X43" s="1355"/>
      <c r="Y43" s="367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3"/>
      <c r="Q44" s="1343">
        <f t="shared" si="11"/>
        <v>111</v>
      </c>
      <c r="R44" s="701" t="s">
        <v>18</v>
      </c>
      <c r="S44" s="702">
        <f t="shared" si="12"/>
        <v>100</v>
      </c>
      <c r="T44" s="701" t="s">
        <v>18</v>
      </c>
      <c r="U44" s="702">
        <f t="shared" si="13"/>
        <v>100</v>
      </c>
      <c r="V44" s="701" t="s">
        <v>18</v>
      </c>
      <c r="W44" s="702">
        <f t="shared" si="14"/>
        <v>100</v>
      </c>
      <c r="X44" s="703"/>
      <c r="Y44" s="367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3"/>
      <c r="Q45" s="1352">
        <f t="shared" si="11"/>
        <v>111</v>
      </c>
      <c r="R45" s="705" t="s">
        <v>18</v>
      </c>
      <c r="S45" s="706">
        <f t="shared" si="12"/>
        <v>100</v>
      </c>
      <c r="T45" s="705" t="s">
        <v>18</v>
      </c>
      <c r="U45" s="706">
        <f t="shared" si="13"/>
        <v>100</v>
      </c>
      <c r="V45" s="705" t="s">
        <v>18</v>
      </c>
      <c r="W45" s="706">
        <f t="shared" si="14"/>
        <v>100</v>
      </c>
      <c r="X45" s="1355"/>
      <c r="Y45" s="367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4"/>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1" t="str">
        <f>A47</f>
        <v>成交单价（元/平方米）</v>
      </c>
      <c r="Q47" s="3661"/>
      <c r="R47" s="3680">
        <f>E47</f>
        <v>0</v>
      </c>
      <c r="S47" s="3680"/>
      <c r="T47" s="3680">
        <f>G47</f>
        <v>0</v>
      </c>
      <c r="U47" s="3680"/>
      <c r="V47" s="3680">
        <f>I47</f>
        <v>0</v>
      </c>
      <c r="W47" s="368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1" t="str">
        <f>A48</f>
        <v>比较价值（元/平方米）</v>
      </c>
      <c r="Q48" s="3661"/>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2024-4</v>
      </c>
      <c r="D58" s="1185">
        <f>EDATE(C58,-1)</f>
        <v>45352</v>
      </c>
      <c r="E58" s="1185">
        <f>EDATE(D58,-1)</f>
        <v>45323</v>
      </c>
      <c r="F58" s="1185">
        <f t="shared" ref="F58:O58" si="19">EDATE(E58,-1)</f>
        <v>45292</v>
      </c>
      <c r="G58" s="1185">
        <f t="shared" si="19"/>
        <v>45261</v>
      </c>
      <c r="H58" s="1185">
        <f t="shared" si="19"/>
        <v>45231</v>
      </c>
      <c r="I58" s="1185">
        <f t="shared" si="19"/>
        <v>45200</v>
      </c>
      <c r="J58" s="1185">
        <f t="shared" si="19"/>
        <v>45170</v>
      </c>
      <c r="K58" s="1185">
        <f t="shared" si="19"/>
        <v>45139</v>
      </c>
      <c r="L58" s="1185">
        <f t="shared" si="19"/>
        <v>45108</v>
      </c>
      <c r="M58" s="1185">
        <f t="shared" si="19"/>
        <v>45078</v>
      </c>
      <c r="N58" s="1185">
        <f t="shared" si="19"/>
        <v>45047</v>
      </c>
      <c r="O58" s="1185">
        <f t="shared" si="19"/>
        <v>45017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估价对象为北京市房地产,属开发建设的，该项目尚在开发建设中。根据《国有土地使用证》[]，估价对象（分摊）出让国有建设用地使用权面积为0平方米，规划建筑面积为30.22平方米。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2024年4月25日（评估专业人员实地查勘之日）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7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7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74"/>
      <c r="AC6" s="3645"/>
    </row>
    <row r="7" spans="1:29" s="108" customFormat="1" ht="15.75" thickBot="1">
      <c r="A7" s="362" t="s">
        <v>1679</v>
      </c>
      <c r="B7" s="363"/>
      <c r="C7" s="364">
        <f>'数据-取费表'!B2</f>
        <v>45407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0"/>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67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67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67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67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67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67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67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67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67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67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2" t="s">
        <v>1696</v>
      </c>
      <c r="Q32" s="1352" t="str">
        <f t="shared" si="11"/>
        <v>商业类型</v>
      </c>
      <c r="R32" s="705" t="s">
        <v>14</v>
      </c>
      <c r="S32" s="706">
        <f t="shared" si="12"/>
        <v>100</v>
      </c>
      <c r="T32" s="705" t="s">
        <v>14</v>
      </c>
      <c r="U32" s="706">
        <f t="shared" si="13"/>
        <v>100</v>
      </c>
      <c r="V32" s="705" t="s">
        <v>14</v>
      </c>
      <c r="W32" s="706">
        <f t="shared" si="14"/>
        <v>100</v>
      </c>
      <c r="X32" s="1355"/>
      <c r="Y32" s="367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3"/>
      <c r="Q33" s="707" t="str">
        <f t="shared" si="11"/>
        <v>项目建筑规模</v>
      </c>
      <c r="R33" s="708" t="s">
        <v>14</v>
      </c>
      <c r="S33" s="709" t="e">
        <f t="shared" si="12"/>
        <v>#N/A</v>
      </c>
      <c r="T33" s="708" t="s">
        <v>14</v>
      </c>
      <c r="U33" s="709" t="e">
        <f t="shared" si="13"/>
        <v>#N/A</v>
      </c>
      <c r="V33" s="708" t="s">
        <v>14</v>
      </c>
      <c r="W33" s="709" t="e">
        <f t="shared" si="14"/>
        <v>#N/A</v>
      </c>
      <c r="X33" s="710"/>
      <c r="Y33" s="367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3"/>
      <c r="Q34" s="1352" t="str">
        <f t="shared" si="11"/>
        <v>建筑结构</v>
      </c>
      <c r="R34" s="705" t="s">
        <v>14</v>
      </c>
      <c r="S34" s="706">
        <f t="shared" si="12"/>
        <v>100</v>
      </c>
      <c r="T34" s="705" t="s">
        <v>14</v>
      </c>
      <c r="U34" s="706">
        <f t="shared" si="13"/>
        <v>100</v>
      </c>
      <c r="V34" s="705" t="s">
        <v>14</v>
      </c>
      <c r="W34" s="706">
        <f t="shared" si="14"/>
        <v>100</v>
      </c>
      <c r="X34" s="1355"/>
      <c r="Y34" s="367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3"/>
      <c r="Q35" s="1352" t="str">
        <f t="shared" si="11"/>
        <v>公共部分装修</v>
      </c>
      <c r="R35" s="705" t="s">
        <v>14</v>
      </c>
      <c r="S35" s="706">
        <f t="shared" si="12"/>
        <v>100</v>
      </c>
      <c r="T35" s="705" t="s">
        <v>14</v>
      </c>
      <c r="U35" s="706">
        <f t="shared" si="13"/>
        <v>100</v>
      </c>
      <c r="V35" s="705" t="s">
        <v>14</v>
      </c>
      <c r="W35" s="706">
        <f t="shared" si="14"/>
        <v>100</v>
      </c>
      <c r="X35" s="1355"/>
      <c r="Y35" s="367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3"/>
      <c r="Q36" s="1352" t="str">
        <f t="shared" si="11"/>
        <v>成新度</v>
      </c>
      <c r="R36" s="705" t="s">
        <v>14</v>
      </c>
      <c r="S36" s="706" t="e">
        <f t="shared" si="12"/>
        <v>#N/A</v>
      </c>
      <c r="T36" s="705" t="s">
        <v>14</v>
      </c>
      <c r="U36" s="706" t="e">
        <f t="shared" si="13"/>
        <v>#N/A</v>
      </c>
      <c r="V36" s="705" t="s">
        <v>14</v>
      </c>
      <c r="W36" s="706" t="e">
        <f t="shared" si="14"/>
        <v>#N/A</v>
      </c>
      <c r="X36" s="1355"/>
      <c r="Y36" s="367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3"/>
      <c r="Q37" s="1343" t="str">
        <f t="shared" si="11"/>
        <v>市政基础设施</v>
      </c>
      <c r="R37" s="701" t="s">
        <v>14</v>
      </c>
      <c r="S37" s="702">
        <f t="shared" si="12"/>
        <v>100</v>
      </c>
      <c r="T37" s="701" t="s">
        <v>14</v>
      </c>
      <c r="U37" s="702">
        <f t="shared" si="13"/>
        <v>100</v>
      </c>
      <c r="V37" s="701" t="s">
        <v>14</v>
      </c>
      <c r="W37" s="702">
        <f t="shared" si="14"/>
        <v>100</v>
      </c>
      <c r="X37" s="703"/>
      <c r="Y37" s="367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3" t="s">
        <v>1696</v>
      </c>
      <c r="Q38" s="1352" t="str">
        <f t="shared" si="11"/>
        <v>业态</v>
      </c>
      <c r="R38" s="705" t="s">
        <v>14</v>
      </c>
      <c r="S38" s="706">
        <f t="shared" si="12"/>
        <v>100</v>
      </c>
      <c r="T38" s="705" t="s">
        <v>14</v>
      </c>
      <c r="U38" s="706">
        <f t="shared" si="13"/>
        <v>100</v>
      </c>
      <c r="V38" s="705" t="s">
        <v>14</v>
      </c>
      <c r="W38" s="706">
        <f t="shared" si="14"/>
        <v>100</v>
      </c>
      <c r="X38" s="1355"/>
      <c r="Y38" s="367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3"/>
      <c r="Q39" s="1352" t="str">
        <f t="shared" si="11"/>
        <v>层高</v>
      </c>
      <c r="R39" s="705" t="s">
        <v>14</v>
      </c>
      <c r="S39" s="706">
        <f t="shared" si="12"/>
        <v>100</v>
      </c>
      <c r="T39" s="705" t="s">
        <v>14</v>
      </c>
      <c r="U39" s="706">
        <f t="shared" si="13"/>
        <v>100</v>
      </c>
      <c r="V39" s="705" t="s">
        <v>14</v>
      </c>
      <c r="W39" s="706">
        <f t="shared" si="14"/>
        <v>100</v>
      </c>
      <c r="X39" s="1355"/>
      <c r="Y39" s="367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3"/>
      <c r="Q40" s="1352" t="str">
        <f t="shared" si="11"/>
        <v>单套建筑面积</v>
      </c>
      <c r="R40" s="705" t="s">
        <v>14</v>
      </c>
      <c r="S40" s="706">
        <f t="shared" si="12"/>
        <v>100</v>
      </c>
      <c r="T40" s="705" t="s">
        <v>14</v>
      </c>
      <c r="U40" s="706">
        <f t="shared" si="13"/>
        <v>100</v>
      </c>
      <c r="V40" s="705" t="s">
        <v>14</v>
      </c>
      <c r="W40" s="706">
        <f t="shared" si="14"/>
        <v>100</v>
      </c>
      <c r="X40" s="1355"/>
      <c r="Y40" s="367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3"/>
      <c r="Q41" s="707" t="str">
        <f t="shared" si="11"/>
        <v>进深比</v>
      </c>
      <c r="R41" s="708" t="s">
        <v>14</v>
      </c>
      <c r="S41" s="709">
        <f t="shared" si="12"/>
        <v>100</v>
      </c>
      <c r="T41" s="708" t="s">
        <v>14</v>
      </c>
      <c r="U41" s="709">
        <f t="shared" si="13"/>
        <v>100</v>
      </c>
      <c r="V41" s="708" t="s">
        <v>14</v>
      </c>
      <c r="W41" s="709">
        <f t="shared" si="14"/>
        <v>100</v>
      </c>
      <c r="X41" s="710"/>
      <c r="Y41" s="367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3"/>
      <c r="Q42" s="1352" t="str">
        <f t="shared" si="11"/>
        <v>内部装修</v>
      </c>
      <c r="R42" s="705" t="s">
        <v>14</v>
      </c>
      <c r="S42" s="706">
        <f t="shared" si="12"/>
        <v>100</v>
      </c>
      <c r="T42" s="705" t="s">
        <v>14</v>
      </c>
      <c r="U42" s="706">
        <f t="shared" si="13"/>
        <v>100</v>
      </c>
      <c r="V42" s="705" t="s">
        <v>14</v>
      </c>
      <c r="W42" s="706">
        <f t="shared" si="14"/>
        <v>100</v>
      </c>
      <c r="X42" s="1355"/>
      <c r="Y42" s="367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3"/>
      <c r="Q43" s="1352" t="str">
        <f t="shared" si="11"/>
        <v>内部装修维护情况</v>
      </c>
      <c r="R43" s="705" t="s">
        <v>14</v>
      </c>
      <c r="S43" s="706">
        <f t="shared" si="12"/>
        <v>100</v>
      </c>
      <c r="T43" s="705" t="s">
        <v>14</v>
      </c>
      <c r="U43" s="706">
        <f t="shared" si="13"/>
        <v>100</v>
      </c>
      <c r="V43" s="705" t="s">
        <v>14</v>
      </c>
      <c r="W43" s="706">
        <f t="shared" si="14"/>
        <v>100</v>
      </c>
      <c r="X43" s="1355"/>
      <c r="Y43" s="367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3"/>
      <c r="Q44" s="1343">
        <f t="shared" si="11"/>
        <v>111</v>
      </c>
      <c r="R44" s="701" t="s">
        <v>14</v>
      </c>
      <c r="S44" s="702">
        <f t="shared" si="12"/>
        <v>100</v>
      </c>
      <c r="T44" s="701" t="s">
        <v>14</v>
      </c>
      <c r="U44" s="702">
        <f t="shared" si="13"/>
        <v>100</v>
      </c>
      <c r="V44" s="701" t="s">
        <v>14</v>
      </c>
      <c r="W44" s="702">
        <f t="shared" si="14"/>
        <v>100</v>
      </c>
      <c r="X44" s="703"/>
      <c r="Y44" s="367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3"/>
      <c r="Q45" s="1352">
        <f t="shared" si="11"/>
        <v>111</v>
      </c>
      <c r="R45" s="705" t="s">
        <v>14</v>
      </c>
      <c r="S45" s="706">
        <f t="shared" si="12"/>
        <v>100</v>
      </c>
      <c r="T45" s="705" t="s">
        <v>14</v>
      </c>
      <c r="U45" s="706">
        <f t="shared" si="13"/>
        <v>100</v>
      </c>
      <c r="V45" s="705" t="s">
        <v>14</v>
      </c>
      <c r="W45" s="706">
        <f t="shared" si="14"/>
        <v>100</v>
      </c>
      <c r="X45" s="1355"/>
      <c r="Y45" s="367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4"/>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1" t="str">
        <f>A47</f>
        <v>成交单价（元/平方米）</v>
      </c>
      <c r="Q47" s="3661"/>
      <c r="R47" s="3674">
        <f>E47</f>
        <v>0</v>
      </c>
      <c r="S47" s="3674"/>
      <c r="T47" s="3674">
        <f>G47</f>
        <v>0</v>
      </c>
      <c r="U47" s="3674"/>
      <c r="V47" s="3674">
        <f>I47</f>
        <v>0</v>
      </c>
      <c r="W47" s="367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1" t="str">
        <f>A48</f>
        <v>比较价值（元/平方米）</v>
      </c>
      <c r="Q48" s="3661"/>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731" t="e">
        <f>IF(F1="售价",ROUND(IF(D48="简单平均",AVERAGE(R48:V48),R48*F48+T48*H48+V48*J48),0),ROUND(IF(D48="简单平均",AVERAGE(R48:V48),R48*F48+T48*H48+V48*J48),1))</f>
        <v>#DIV/0!</v>
      </c>
      <c r="S49" s="3731"/>
      <c r="T49" s="3731"/>
      <c r="U49" s="3731"/>
      <c r="V49" s="3731"/>
      <c r="W49" s="373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2024-4</v>
      </c>
      <c r="D58" s="1185">
        <f>EDATE(C58,-1)</f>
        <v>45352</v>
      </c>
      <c r="E58" s="1185">
        <f t="shared" ref="E58:N58" si="16">EDATE(D58,-1)</f>
        <v>45323</v>
      </c>
      <c r="F58" s="1185">
        <f t="shared" si="16"/>
        <v>45292</v>
      </c>
      <c r="G58" s="1185">
        <f t="shared" si="16"/>
        <v>45261</v>
      </c>
      <c r="H58" s="1185">
        <f t="shared" si="16"/>
        <v>45231</v>
      </c>
      <c r="I58" s="1185">
        <f t="shared" si="16"/>
        <v>45200</v>
      </c>
      <c r="J58" s="1185">
        <f t="shared" si="16"/>
        <v>45170</v>
      </c>
      <c r="K58" s="1185">
        <f t="shared" si="16"/>
        <v>45139</v>
      </c>
      <c r="L58" s="1185">
        <f t="shared" si="16"/>
        <v>45108</v>
      </c>
      <c r="M58" s="1185">
        <f t="shared" si="16"/>
        <v>45078</v>
      </c>
      <c r="N58" s="1185">
        <f t="shared" si="16"/>
        <v>45047</v>
      </c>
      <c r="O58" s="1185">
        <f>EDATE(N58,-1)</f>
        <v>45017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658" t="s">
        <v>1673</v>
      </c>
      <c r="D5" s="3655"/>
      <c r="E5" s="3729" t="s">
        <v>1674</v>
      </c>
      <c r="F5" s="3653"/>
      <c r="G5" s="3658" t="s">
        <v>1675</v>
      </c>
      <c r="H5" s="3655"/>
      <c r="I5" s="3658" t="s">
        <v>1676</v>
      </c>
      <c r="J5" s="3655"/>
      <c r="K5" s="559"/>
      <c r="L5" s="2715"/>
      <c r="M5" s="2716"/>
      <c r="N5" s="2716"/>
      <c r="O5" s="2716"/>
      <c r="P5" s="3746"/>
      <c r="Q5" s="3669"/>
      <c r="R5" s="3650"/>
      <c r="S5" s="3651"/>
      <c r="T5" s="3650"/>
      <c r="U5" s="3651"/>
      <c r="V5" s="3674"/>
      <c r="W5" s="3674"/>
      <c r="X5" s="1355"/>
      <c r="Y5" s="3650"/>
      <c r="Z5" s="3651"/>
      <c r="AA5" s="3644"/>
      <c r="AB5" s="3644"/>
      <c r="AC5" s="3742"/>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747"/>
      <c r="Q6" s="3671"/>
      <c r="R6" s="3650"/>
      <c r="S6" s="3651"/>
      <c r="T6" s="3672"/>
      <c r="U6" s="3673"/>
      <c r="V6" s="3674"/>
      <c r="W6" s="3674"/>
      <c r="X6" s="1355"/>
      <c r="Y6" s="3672"/>
      <c r="Z6" s="3673"/>
      <c r="AA6" s="3645"/>
      <c r="AB6" s="3645"/>
      <c r="AC6" s="3743"/>
    </row>
    <row r="7" spans="1:29" s="108" customFormat="1" ht="15.75" thickBot="1">
      <c r="A7" s="362" t="s">
        <v>1679</v>
      </c>
      <c r="B7" s="363"/>
      <c r="C7" s="364">
        <f>'数据-取费表'!B2</f>
        <v>45407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47"/>
      <c r="R8" s="701" t="s">
        <v>14</v>
      </c>
      <c r="S8" s="702">
        <f t="shared" si="0"/>
        <v>100</v>
      </c>
      <c r="T8" s="701" t="s">
        <v>14</v>
      </c>
      <c r="U8" s="702">
        <f t="shared" si="1"/>
        <v>100</v>
      </c>
      <c r="V8" s="701" t="s">
        <v>14</v>
      </c>
      <c r="W8" s="702">
        <f t="shared" si="2"/>
        <v>100</v>
      </c>
      <c r="X8" s="703"/>
      <c r="Y8" s="3646" t="s">
        <v>1683</v>
      </c>
      <c r="Z8" s="36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0"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0"/>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0"/>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0"/>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0"/>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0"/>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67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67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67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67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67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67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67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67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67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67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67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67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67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67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2" t="s">
        <v>1696</v>
      </c>
      <c r="Q33" s="1352" t="str">
        <f t="shared" si="11"/>
        <v>建筑类型</v>
      </c>
      <c r="R33" s="705" t="s">
        <v>14</v>
      </c>
      <c r="S33" s="706">
        <f t="shared" si="12"/>
        <v>100</v>
      </c>
      <c r="T33" s="705" t="s">
        <v>14</v>
      </c>
      <c r="U33" s="706">
        <f t="shared" si="13"/>
        <v>100</v>
      </c>
      <c r="V33" s="705" t="s">
        <v>14</v>
      </c>
      <c r="W33" s="706">
        <f t="shared" si="14"/>
        <v>100</v>
      </c>
      <c r="X33" s="1355"/>
      <c r="Y33" s="367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3"/>
      <c r="Q34" s="707" t="str">
        <f t="shared" si="11"/>
        <v>项目建筑规模</v>
      </c>
      <c r="R34" s="708" t="s">
        <v>14</v>
      </c>
      <c r="S34" s="709" t="e">
        <f t="shared" si="12"/>
        <v>#N/A</v>
      </c>
      <c r="T34" s="708" t="s">
        <v>14</v>
      </c>
      <c r="U34" s="709" t="e">
        <f t="shared" si="13"/>
        <v>#N/A</v>
      </c>
      <c r="V34" s="708" t="s">
        <v>14</v>
      </c>
      <c r="W34" s="709" t="e">
        <f t="shared" si="14"/>
        <v>#N/A</v>
      </c>
      <c r="X34" s="710"/>
      <c r="Y34" s="367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3"/>
      <c r="Q35" s="1352" t="str">
        <f t="shared" si="11"/>
        <v>建筑结构</v>
      </c>
      <c r="R35" s="705" t="s">
        <v>14</v>
      </c>
      <c r="S35" s="706">
        <f t="shared" si="12"/>
        <v>100</v>
      </c>
      <c r="T35" s="705" t="s">
        <v>14</v>
      </c>
      <c r="U35" s="706">
        <f t="shared" si="13"/>
        <v>100</v>
      </c>
      <c r="V35" s="705" t="s">
        <v>14</v>
      </c>
      <c r="W35" s="706">
        <f t="shared" si="14"/>
        <v>100</v>
      </c>
      <c r="X35" s="1355"/>
      <c r="Y35" s="367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3"/>
      <c r="Q36" s="1352" t="str">
        <f t="shared" si="11"/>
        <v>公共部分装修</v>
      </c>
      <c r="R36" s="705" t="s">
        <v>14</v>
      </c>
      <c r="S36" s="706">
        <f t="shared" si="12"/>
        <v>100</v>
      </c>
      <c r="T36" s="705" t="s">
        <v>14</v>
      </c>
      <c r="U36" s="706">
        <f t="shared" si="13"/>
        <v>100</v>
      </c>
      <c r="V36" s="705" t="s">
        <v>14</v>
      </c>
      <c r="W36" s="706">
        <f t="shared" si="14"/>
        <v>100</v>
      </c>
      <c r="X36" s="1355"/>
      <c r="Y36" s="367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3"/>
      <c r="Q37" s="1352" t="str">
        <f t="shared" si="11"/>
        <v>成新度</v>
      </c>
      <c r="R37" s="705" t="s">
        <v>14</v>
      </c>
      <c r="S37" s="706" t="e">
        <f t="shared" si="12"/>
        <v>#N/A</v>
      </c>
      <c r="T37" s="705" t="s">
        <v>14</v>
      </c>
      <c r="U37" s="706" t="e">
        <f t="shared" si="13"/>
        <v>#N/A</v>
      </c>
      <c r="V37" s="705" t="s">
        <v>14</v>
      </c>
      <c r="W37" s="706" t="e">
        <f t="shared" si="14"/>
        <v>#N/A</v>
      </c>
      <c r="X37" s="1355"/>
      <c r="Y37" s="367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3"/>
      <c r="Q38" s="1343" t="str">
        <f t="shared" si="11"/>
        <v>写字楼等级</v>
      </c>
      <c r="R38" s="701" t="s">
        <v>14</v>
      </c>
      <c r="S38" s="702">
        <f t="shared" si="12"/>
        <v>100</v>
      </c>
      <c r="T38" s="701" t="s">
        <v>14</v>
      </c>
      <c r="U38" s="702">
        <f t="shared" si="13"/>
        <v>100</v>
      </c>
      <c r="V38" s="701" t="s">
        <v>14</v>
      </c>
      <c r="W38" s="702">
        <f t="shared" si="14"/>
        <v>100</v>
      </c>
      <c r="X38" s="703"/>
      <c r="Y38" s="367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3" t="s">
        <v>1696</v>
      </c>
      <c r="Q39" s="1352" t="str">
        <f t="shared" si="11"/>
        <v>物业管理</v>
      </c>
      <c r="R39" s="705" t="s">
        <v>14</v>
      </c>
      <c r="S39" s="706">
        <f t="shared" si="12"/>
        <v>100</v>
      </c>
      <c r="T39" s="705" t="s">
        <v>14</v>
      </c>
      <c r="U39" s="706">
        <f t="shared" si="13"/>
        <v>100</v>
      </c>
      <c r="V39" s="705" t="s">
        <v>14</v>
      </c>
      <c r="W39" s="706">
        <f t="shared" si="14"/>
        <v>100</v>
      </c>
      <c r="X39" s="1355"/>
      <c r="Y39" s="367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3"/>
      <c r="Q40" s="1352" t="str">
        <f t="shared" si="11"/>
        <v>市政基础设施</v>
      </c>
      <c r="R40" s="705" t="s">
        <v>14</v>
      </c>
      <c r="S40" s="706">
        <f t="shared" si="12"/>
        <v>100</v>
      </c>
      <c r="T40" s="705" t="s">
        <v>14</v>
      </c>
      <c r="U40" s="706">
        <f t="shared" si="13"/>
        <v>100</v>
      </c>
      <c r="V40" s="705" t="s">
        <v>14</v>
      </c>
      <c r="W40" s="706">
        <f t="shared" si="14"/>
        <v>100</v>
      </c>
      <c r="X40" s="1355"/>
      <c r="Y40" s="367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3"/>
      <c r="Q41" s="1352" t="str">
        <f t="shared" si="11"/>
        <v>层高</v>
      </c>
      <c r="R41" s="705" t="s">
        <v>14</v>
      </c>
      <c r="S41" s="706">
        <f t="shared" si="12"/>
        <v>100</v>
      </c>
      <c r="T41" s="705" t="s">
        <v>14</v>
      </c>
      <c r="U41" s="706">
        <f t="shared" si="13"/>
        <v>100</v>
      </c>
      <c r="V41" s="705" t="s">
        <v>14</v>
      </c>
      <c r="W41" s="706">
        <f t="shared" si="14"/>
        <v>100</v>
      </c>
      <c r="X41" s="1355"/>
      <c r="Y41" s="367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3"/>
      <c r="Q42" s="707" t="str">
        <f t="shared" si="11"/>
        <v>单套建筑面积</v>
      </c>
      <c r="R42" s="708" t="s">
        <v>14</v>
      </c>
      <c r="S42" s="709">
        <f t="shared" si="12"/>
        <v>100</v>
      </c>
      <c r="T42" s="708" t="s">
        <v>14</v>
      </c>
      <c r="U42" s="709">
        <f t="shared" si="13"/>
        <v>100</v>
      </c>
      <c r="V42" s="708" t="s">
        <v>14</v>
      </c>
      <c r="W42" s="709">
        <f t="shared" si="14"/>
        <v>100</v>
      </c>
      <c r="X42" s="710"/>
      <c r="Y42" s="367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3"/>
      <c r="Q43" s="1352" t="str">
        <f t="shared" si="11"/>
        <v>内部装修</v>
      </c>
      <c r="R43" s="705" t="s">
        <v>14</v>
      </c>
      <c r="S43" s="706">
        <f t="shared" si="12"/>
        <v>100</v>
      </c>
      <c r="T43" s="705" t="s">
        <v>14</v>
      </c>
      <c r="U43" s="706">
        <f t="shared" si="13"/>
        <v>100</v>
      </c>
      <c r="V43" s="705" t="s">
        <v>14</v>
      </c>
      <c r="W43" s="706">
        <f t="shared" si="14"/>
        <v>100</v>
      </c>
      <c r="X43" s="1355"/>
      <c r="Y43" s="367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3"/>
      <c r="Q44" s="1352" t="str">
        <f t="shared" si="11"/>
        <v>内部装修维护情况</v>
      </c>
      <c r="R44" s="705" t="s">
        <v>14</v>
      </c>
      <c r="S44" s="706">
        <f t="shared" si="12"/>
        <v>100</v>
      </c>
      <c r="T44" s="705" t="s">
        <v>14</v>
      </c>
      <c r="U44" s="706">
        <f t="shared" si="13"/>
        <v>100</v>
      </c>
      <c r="V44" s="705" t="s">
        <v>14</v>
      </c>
      <c r="W44" s="706">
        <f t="shared" si="14"/>
        <v>100</v>
      </c>
      <c r="X44" s="1355"/>
      <c r="Y44" s="367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3"/>
      <c r="Q45" s="1343">
        <f t="shared" si="11"/>
        <v>111</v>
      </c>
      <c r="R45" s="701" t="s">
        <v>14</v>
      </c>
      <c r="S45" s="702">
        <f t="shared" si="12"/>
        <v>100</v>
      </c>
      <c r="T45" s="701" t="s">
        <v>14</v>
      </c>
      <c r="U45" s="702">
        <f t="shared" si="13"/>
        <v>100</v>
      </c>
      <c r="V45" s="701" t="s">
        <v>14</v>
      </c>
      <c r="W45" s="702">
        <f t="shared" si="14"/>
        <v>100</v>
      </c>
      <c r="X45" s="703"/>
      <c r="Y45" s="367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4"/>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0" t="str">
        <f>A48</f>
        <v>成交单价（元/平方米）</v>
      </c>
      <c r="Q48" s="3661"/>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0" t="str">
        <f>A49</f>
        <v>比较价值（元/平方米）</v>
      </c>
      <c r="Q49" s="3661"/>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2024-4</v>
      </c>
      <c r="D59" s="1185">
        <f>EDATE(C59,-1)</f>
        <v>45352</v>
      </c>
      <c r="E59" s="1185">
        <f>EDATE(D59,-1)</f>
        <v>45323</v>
      </c>
      <c r="F59" s="1185">
        <f t="shared" ref="F59:O59" si="16">EDATE(E59,-1)</f>
        <v>45292</v>
      </c>
      <c r="G59" s="1185">
        <f t="shared" si="16"/>
        <v>45261</v>
      </c>
      <c r="H59" s="1185">
        <f t="shared" si="16"/>
        <v>45231</v>
      </c>
      <c r="I59" s="1185">
        <f t="shared" si="16"/>
        <v>45200</v>
      </c>
      <c r="J59" s="1185">
        <f t="shared" si="16"/>
        <v>45170</v>
      </c>
      <c r="K59" s="1185">
        <f t="shared" si="16"/>
        <v>45139</v>
      </c>
      <c r="L59" s="1185">
        <f t="shared" si="16"/>
        <v>45108</v>
      </c>
      <c r="M59" s="1185">
        <f t="shared" si="16"/>
        <v>45078</v>
      </c>
      <c r="N59" s="1185">
        <f t="shared" si="16"/>
        <v>45047</v>
      </c>
      <c r="O59" s="1185">
        <f t="shared" si="16"/>
        <v>45017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913"/>
      <c r="M4" s="914"/>
      <c r="N4" s="914"/>
      <c r="O4" s="914"/>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913"/>
      <c r="M5" s="914"/>
      <c r="N5" s="914"/>
      <c r="O5" s="914"/>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913"/>
      <c r="M6" s="914"/>
      <c r="N6" s="914"/>
      <c r="O6" s="914"/>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SUMIF(52:52,YEAR(E7)&amp;"-"&amp;MONTH(E7),53:53)</f>
        <v>0</v>
      </c>
      <c r="G7" s="366"/>
      <c r="H7" s="365">
        <f>SUMIF(52:52,YEAR(G7)&amp;"-"&amp;MONTH(G7),53:53)</f>
        <v>0</v>
      </c>
      <c r="I7" s="366"/>
      <c r="J7" s="365">
        <f>SUMIF(52:52,YEAR(I7)&amp;"-"&amp;MONTH(I7),53:53)</f>
        <v>0</v>
      </c>
      <c r="K7" s="560"/>
      <c r="L7" s="915"/>
      <c r="M7" s="916"/>
      <c r="N7" s="916"/>
      <c r="O7" s="916"/>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46" t="s">
        <v>1683</v>
      </c>
      <c r="Q8" s="3647"/>
      <c r="R8" s="701" t="s">
        <v>14</v>
      </c>
      <c r="S8" s="702">
        <f t="shared" si="0"/>
        <v>100</v>
      </c>
      <c r="T8" s="701" t="s">
        <v>14</v>
      </c>
      <c r="U8" s="702">
        <f t="shared" si="1"/>
        <v>100</v>
      </c>
      <c r="V8" s="701" t="s">
        <v>14</v>
      </c>
      <c r="W8" s="702">
        <f t="shared" si="2"/>
        <v>100</v>
      </c>
      <c r="X8" s="703"/>
      <c r="Y8" s="3646" t="s">
        <v>1683</v>
      </c>
      <c r="Z8" s="36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7"/>
      <c r="Q16" s="1352"/>
      <c r="R16" s="705"/>
      <c r="S16" s="706"/>
      <c r="T16" s="705"/>
      <c r="U16" s="706"/>
      <c r="V16" s="705"/>
      <c r="W16" s="706"/>
      <c r="X16" s="1355"/>
      <c r="Y16" s="367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7"/>
      <c r="Q18" s="1352"/>
      <c r="R18" s="705"/>
      <c r="S18" s="706"/>
      <c r="T18" s="705"/>
      <c r="U18" s="706"/>
      <c r="V18" s="705"/>
      <c r="W18" s="706"/>
      <c r="X18" s="1355"/>
      <c r="Y18" s="367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7"/>
      <c r="Q19" s="1352" t="str">
        <f>B19</f>
        <v>公共配套设施</v>
      </c>
      <c r="R19" s="705" t="s">
        <v>14</v>
      </c>
      <c r="S19" s="706">
        <f>F19</f>
        <v>100</v>
      </c>
      <c r="T19" s="705" t="s">
        <v>14</v>
      </c>
      <c r="U19" s="706">
        <f>H19</f>
        <v>100</v>
      </c>
      <c r="V19" s="705" t="s">
        <v>14</v>
      </c>
      <c r="W19" s="706">
        <f>J19</f>
        <v>100</v>
      </c>
      <c r="X19" s="1355"/>
      <c r="Y19" s="367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7"/>
      <c r="Q20" s="1352"/>
      <c r="R20" s="705"/>
      <c r="S20" s="706"/>
      <c r="T20" s="705"/>
      <c r="U20" s="706"/>
      <c r="V20" s="705"/>
      <c r="W20" s="706"/>
      <c r="X20" s="1355"/>
      <c r="Y20" s="367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7"/>
      <c r="Q21" s="1352" t="str">
        <f>B21</f>
        <v>基础设施水平</v>
      </c>
      <c r="R21" s="705" t="s">
        <v>14</v>
      </c>
      <c r="S21" s="706">
        <f>F21</f>
        <v>100</v>
      </c>
      <c r="T21" s="705" t="s">
        <v>14</v>
      </c>
      <c r="U21" s="706">
        <f>H21</f>
        <v>100</v>
      </c>
      <c r="V21" s="705" t="s">
        <v>14</v>
      </c>
      <c r="W21" s="706">
        <f>J21</f>
        <v>100</v>
      </c>
      <c r="X21" s="1355"/>
      <c r="Y21" s="367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7"/>
      <c r="Q22" s="1352"/>
      <c r="R22" s="705"/>
      <c r="S22" s="706"/>
      <c r="T22" s="705"/>
      <c r="U22" s="706"/>
      <c r="V22" s="705"/>
      <c r="W22" s="706"/>
      <c r="X22" s="1355"/>
      <c r="Y22" s="367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7"/>
      <c r="Q23" s="1352" t="str">
        <f>B23</f>
        <v>环境质量</v>
      </c>
      <c r="R23" s="705" t="s">
        <v>14</v>
      </c>
      <c r="S23" s="706">
        <f>F23</f>
        <v>100</v>
      </c>
      <c r="T23" s="705" t="s">
        <v>14</v>
      </c>
      <c r="U23" s="706">
        <f>H23</f>
        <v>100</v>
      </c>
      <c r="V23" s="705" t="s">
        <v>14</v>
      </c>
      <c r="W23" s="706">
        <f>J23</f>
        <v>100</v>
      </c>
      <c r="X23" s="1355"/>
      <c r="Y23" s="367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7"/>
      <c r="Q24" s="1352"/>
      <c r="R24" s="705"/>
      <c r="S24" s="706"/>
      <c r="T24" s="705"/>
      <c r="U24" s="706"/>
      <c r="V24" s="705"/>
      <c r="W24" s="706"/>
      <c r="X24" s="1355"/>
      <c r="Y24" s="367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7"/>
      <c r="Q25" s="1352">
        <f>B25</f>
        <v>111</v>
      </c>
      <c r="R25" s="705" t="s">
        <v>14</v>
      </c>
      <c r="S25" s="706">
        <f>F25</f>
        <v>100</v>
      </c>
      <c r="T25" s="705" t="s">
        <v>14</v>
      </c>
      <c r="U25" s="706">
        <f>H25</f>
        <v>100</v>
      </c>
      <c r="V25" s="705" t="s">
        <v>14</v>
      </c>
      <c r="W25" s="706">
        <f>J25</f>
        <v>100</v>
      </c>
      <c r="X25" s="1355"/>
      <c r="Y25" s="367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7"/>
      <c r="Q26" s="1352">
        <f t="shared" ref="Q26:Q40" si="11">B26</f>
        <v>111</v>
      </c>
      <c r="R26" s="705" t="s">
        <v>14</v>
      </c>
      <c r="S26" s="706">
        <f>F26</f>
        <v>100</v>
      </c>
      <c r="T26" s="705" t="s">
        <v>14</v>
      </c>
      <c r="U26" s="706">
        <f>H26</f>
        <v>100</v>
      </c>
      <c r="V26" s="705" t="s">
        <v>14</v>
      </c>
      <c r="W26" s="706">
        <f>J26</f>
        <v>100</v>
      </c>
      <c r="X26" s="1355"/>
      <c r="Y26" s="367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7"/>
      <c r="Q27" s="1343">
        <f t="shared" si="11"/>
        <v>111</v>
      </c>
      <c r="R27" s="701" t="s">
        <v>14</v>
      </c>
      <c r="S27" s="702">
        <f>F27</f>
        <v>100</v>
      </c>
      <c r="T27" s="701" t="s">
        <v>14</v>
      </c>
      <c r="U27" s="702">
        <f>H27</f>
        <v>100</v>
      </c>
      <c r="V27" s="701" t="s">
        <v>14</v>
      </c>
      <c r="W27" s="702">
        <f>J27</f>
        <v>100</v>
      </c>
      <c r="X27" s="703"/>
      <c r="Y27" s="367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7"/>
      <c r="Q28" s="1352">
        <f t="shared" si="11"/>
        <v>111</v>
      </c>
      <c r="R28" s="705" t="s">
        <v>14</v>
      </c>
      <c r="S28" s="706">
        <f t="shared" ref="S28:S40" si="12">F28</f>
        <v>100</v>
      </c>
      <c r="T28" s="705" t="s">
        <v>14</v>
      </c>
      <c r="U28" s="706">
        <f t="shared" ref="U28:U40" si="13">H28</f>
        <v>100</v>
      </c>
      <c r="V28" s="705" t="s">
        <v>14</v>
      </c>
      <c r="W28" s="706">
        <f t="shared" ref="W28:W40" si="14">J28</f>
        <v>100</v>
      </c>
      <c r="X28" s="1355"/>
      <c r="Y28" s="367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78" t="s">
        <v>1696</v>
      </c>
      <c r="Q29" s="1352" t="str">
        <f t="shared" si="11"/>
        <v>建筑类型</v>
      </c>
      <c r="R29" s="705" t="s">
        <v>14</v>
      </c>
      <c r="S29" s="706">
        <f t="shared" si="12"/>
        <v>100</v>
      </c>
      <c r="T29" s="705" t="s">
        <v>14</v>
      </c>
      <c r="U29" s="706">
        <f t="shared" si="13"/>
        <v>100</v>
      </c>
      <c r="V29" s="705" t="s">
        <v>14</v>
      </c>
      <c r="W29" s="706">
        <f t="shared" si="14"/>
        <v>100</v>
      </c>
      <c r="X29" s="1355"/>
      <c r="Y29" s="367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9"/>
      <c r="Q30" s="707" t="str">
        <f t="shared" si="11"/>
        <v>项目建筑规模</v>
      </c>
      <c r="R30" s="708" t="s">
        <v>14</v>
      </c>
      <c r="S30" s="709" t="e">
        <f t="shared" si="12"/>
        <v>#N/A</v>
      </c>
      <c r="T30" s="708" t="s">
        <v>14</v>
      </c>
      <c r="U30" s="709" t="e">
        <f t="shared" si="13"/>
        <v>#N/A</v>
      </c>
      <c r="V30" s="708" t="s">
        <v>14</v>
      </c>
      <c r="W30" s="709" t="e">
        <f t="shared" si="14"/>
        <v>#N/A</v>
      </c>
      <c r="X30" s="710"/>
      <c r="Y30" s="367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9"/>
      <c r="Q31" s="1352" t="str">
        <f t="shared" si="11"/>
        <v>建筑结构</v>
      </c>
      <c r="R31" s="705" t="s">
        <v>14</v>
      </c>
      <c r="S31" s="706">
        <f t="shared" si="12"/>
        <v>100</v>
      </c>
      <c r="T31" s="705" t="s">
        <v>14</v>
      </c>
      <c r="U31" s="706">
        <f t="shared" si="13"/>
        <v>100</v>
      </c>
      <c r="V31" s="705" t="s">
        <v>14</v>
      </c>
      <c r="W31" s="706">
        <f t="shared" si="14"/>
        <v>100</v>
      </c>
      <c r="X31" s="1355"/>
      <c r="Y31" s="367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9"/>
      <c r="Q32" s="1352" t="str">
        <f t="shared" si="11"/>
        <v>公共部分装修</v>
      </c>
      <c r="R32" s="705" t="s">
        <v>14</v>
      </c>
      <c r="S32" s="706">
        <f t="shared" si="12"/>
        <v>100</v>
      </c>
      <c r="T32" s="705" t="s">
        <v>14</v>
      </c>
      <c r="U32" s="706">
        <f t="shared" si="13"/>
        <v>100</v>
      </c>
      <c r="V32" s="705" t="s">
        <v>14</v>
      </c>
      <c r="W32" s="706">
        <f t="shared" si="14"/>
        <v>100</v>
      </c>
      <c r="X32" s="1355"/>
      <c r="Y32" s="367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9"/>
      <c r="Q33" s="1352" t="str">
        <f t="shared" si="11"/>
        <v>成新度</v>
      </c>
      <c r="R33" s="705" t="s">
        <v>14</v>
      </c>
      <c r="S33" s="706" t="e">
        <f t="shared" si="12"/>
        <v>#N/A</v>
      </c>
      <c r="T33" s="705" t="s">
        <v>14</v>
      </c>
      <c r="U33" s="706" t="e">
        <f t="shared" si="13"/>
        <v>#N/A</v>
      </c>
      <c r="V33" s="705" t="s">
        <v>14</v>
      </c>
      <c r="W33" s="706" t="e">
        <f t="shared" si="14"/>
        <v>#N/A</v>
      </c>
      <c r="X33" s="1355"/>
      <c r="Y33" s="367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9"/>
      <c r="Q34" s="1343" t="str">
        <f t="shared" si="11"/>
        <v>物业管理</v>
      </c>
      <c r="R34" s="701" t="s">
        <v>14</v>
      </c>
      <c r="S34" s="702">
        <f t="shared" si="12"/>
        <v>100</v>
      </c>
      <c r="T34" s="701" t="s">
        <v>14</v>
      </c>
      <c r="U34" s="702">
        <f t="shared" si="13"/>
        <v>100</v>
      </c>
      <c r="V34" s="701" t="s">
        <v>14</v>
      </c>
      <c r="W34" s="702">
        <f t="shared" si="14"/>
        <v>100</v>
      </c>
      <c r="X34" s="703"/>
      <c r="Y34" s="367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9" t="s">
        <v>1696</v>
      </c>
      <c r="Q35" s="1352" t="str">
        <f t="shared" si="11"/>
        <v>市政基础设施</v>
      </c>
      <c r="R35" s="705" t="s">
        <v>14</v>
      </c>
      <c r="S35" s="706">
        <f t="shared" si="12"/>
        <v>100</v>
      </c>
      <c r="T35" s="705" t="s">
        <v>14</v>
      </c>
      <c r="U35" s="706">
        <f t="shared" si="13"/>
        <v>100</v>
      </c>
      <c r="V35" s="705" t="s">
        <v>14</v>
      </c>
      <c r="W35" s="706">
        <f t="shared" si="14"/>
        <v>100</v>
      </c>
      <c r="X35" s="1355"/>
      <c r="Y35" s="367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9"/>
      <c r="Q36" s="1352" t="str">
        <f t="shared" si="11"/>
        <v>内部装修</v>
      </c>
      <c r="R36" s="705" t="s">
        <v>14</v>
      </c>
      <c r="S36" s="706">
        <f t="shared" si="12"/>
        <v>100</v>
      </c>
      <c r="T36" s="705" t="s">
        <v>14</v>
      </c>
      <c r="U36" s="706">
        <f t="shared" si="13"/>
        <v>100</v>
      </c>
      <c r="V36" s="705" t="s">
        <v>14</v>
      </c>
      <c r="W36" s="706">
        <f t="shared" si="14"/>
        <v>100</v>
      </c>
      <c r="X36" s="1355"/>
      <c r="Y36" s="367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9"/>
      <c r="Q37" s="1352" t="str">
        <f t="shared" si="11"/>
        <v>内部装修状况</v>
      </c>
      <c r="R37" s="705" t="s">
        <v>14</v>
      </c>
      <c r="S37" s="706">
        <f t="shared" si="12"/>
        <v>100</v>
      </c>
      <c r="T37" s="705" t="s">
        <v>14</v>
      </c>
      <c r="U37" s="706">
        <f t="shared" si="13"/>
        <v>100</v>
      </c>
      <c r="V37" s="705" t="s">
        <v>14</v>
      </c>
      <c r="W37" s="706">
        <f t="shared" si="14"/>
        <v>100</v>
      </c>
      <c r="X37" s="1355"/>
      <c r="Y37" s="367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9"/>
      <c r="Q38" s="707">
        <f t="shared" si="11"/>
        <v>111</v>
      </c>
      <c r="R38" s="708" t="s">
        <v>14</v>
      </c>
      <c r="S38" s="709">
        <f t="shared" si="12"/>
        <v>100</v>
      </c>
      <c r="T38" s="708" t="s">
        <v>14</v>
      </c>
      <c r="U38" s="709">
        <f t="shared" si="13"/>
        <v>100</v>
      </c>
      <c r="V38" s="708" t="s">
        <v>14</v>
      </c>
      <c r="W38" s="709">
        <f t="shared" si="14"/>
        <v>100</v>
      </c>
      <c r="X38" s="710"/>
      <c r="Y38" s="367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9"/>
      <c r="Q39" s="1352">
        <f t="shared" si="11"/>
        <v>111</v>
      </c>
      <c r="R39" s="705" t="s">
        <v>14</v>
      </c>
      <c r="S39" s="706">
        <f t="shared" si="12"/>
        <v>100</v>
      </c>
      <c r="T39" s="705" t="s">
        <v>14</v>
      </c>
      <c r="U39" s="706">
        <f t="shared" si="13"/>
        <v>100</v>
      </c>
      <c r="V39" s="705" t="s">
        <v>14</v>
      </c>
      <c r="W39" s="706">
        <f t="shared" si="14"/>
        <v>100</v>
      </c>
      <c r="X39" s="1355"/>
      <c r="Y39" s="367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1" t="str">
        <f>A42</f>
        <v>比较价值（元/平方米）</v>
      </c>
      <c r="Q42" s="3661"/>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731" t="e">
        <f>IF(F1="售价",ROUND(IF(D42="简单平均",AVERAGE(R42:V42),R42*F42+T42*H42+V42*J42),0),ROUND(IF(D42="简单平均",AVERAGE(R42:V42),R42*F42+T42*H42+V42*J42),1))</f>
        <v>#DIV/0!</v>
      </c>
      <c r="S43" s="3731"/>
      <c r="T43" s="3731"/>
      <c r="U43" s="3731"/>
      <c r="V43" s="3731"/>
      <c r="W43" s="373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2024-4</v>
      </c>
      <c r="D52" s="1185">
        <f>EDATE(C52,-1)</f>
        <v>45352</v>
      </c>
      <c r="E52" s="1185">
        <f t="shared" ref="E52:O52" si="16">EDATE(D52,-1)</f>
        <v>45323</v>
      </c>
      <c r="F52" s="1185">
        <f t="shared" si="16"/>
        <v>45292</v>
      </c>
      <c r="G52" s="1185">
        <f t="shared" si="16"/>
        <v>45261</v>
      </c>
      <c r="H52" s="1185">
        <f t="shared" si="16"/>
        <v>45231</v>
      </c>
      <c r="I52" s="1185">
        <f t="shared" si="16"/>
        <v>45200</v>
      </c>
      <c r="J52" s="1185">
        <f t="shared" si="16"/>
        <v>45170</v>
      </c>
      <c r="K52" s="1185">
        <f t="shared" si="16"/>
        <v>45139</v>
      </c>
      <c r="L52" s="1185">
        <f t="shared" si="16"/>
        <v>45108</v>
      </c>
      <c r="M52" s="1185">
        <f t="shared" si="16"/>
        <v>45078</v>
      </c>
      <c r="N52" s="1185">
        <f t="shared" si="16"/>
        <v>45047</v>
      </c>
      <c r="O52" s="1185">
        <f t="shared" si="16"/>
        <v>45017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46" t="s">
        <v>1680</v>
      </c>
      <c r="Q7" s="3675"/>
      <c r="R7" s="701" t="s">
        <v>14</v>
      </c>
      <c r="S7" s="702">
        <f t="shared" ref="S7:S14" si="0">F7</f>
        <v>0</v>
      </c>
      <c r="T7" s="701" t="s">
        <v>14</v>
      </c>
      <c r="U7" s="702">
        <f t="shared" ref="U7:U14" si="1">H7</f>
        <v>0</v>
      </c>
      <c r="V7" s="701" t="s">
        <v>14</v>
      </c>
      <c r="W7" s="702">
        <f t="shared" ref="W7:W14" si="2">J7</f>
        <v>0</v>
      </c>
      <c r="X7" s="703"/>
      <c r="Y7" s="3646" t="s">
        <v>1680</v>
      </c>
      <c r="Z7" s="36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46" t="s">
        <v>1683</v>
      </c>
      <c r="Q8" s="3647"/>
      <c r="R8" s="701" t="s">
        <v>14</v>
      </c>
      <c r="S8" s="702">
        <f t="shared" si="0"/>
        <v>100</v>
      </c>
      <c r="T8" s="701" t="s">
        <v>14</v>
      </c>
      <c r="U8" s="702">
        <f t="shared" si="1"/>
        <v>100</v>
      </c>
      <c r="V8" s="701" t="s">
        <v>14</v>
      </c>
      <c r="W8" s="702">
        <f t="shared" si="2"/>
        <v>100</v>
      </c>
      <c r="X8" s="703"/>
      <c r="Y8" s="3646" t="s">
        <v>1683</v>
      </c>
      <c r="Z8" s="36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1"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1"/>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1"/>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6" t="s">
        <v>1691</v>
      </c>
      <c r="Q14" s="1352" t="str">
        <f t="shared" si="6"/>
        <v>交通便捷度</v>
      </c>
      <c r="R14" s="705" t="s">
        <v>14</v>
      </c>
      <c r="S14" s="706">
        <f t="shared" si="0"/>
        <v>100</v>
      </c>
      <c r="T14" s="705" t="s">
        <v>14</v>
      </c>
      <c r="U14" s="706">
        <f t="shared" si="1"/>
        <v>100</v>
      </c>
      <c r="V14" s="705" t="s">
        <v>14</v>
      </c>
      <c r="W14" s="706">
        <f t="shared" si="2"/>
        <v>100</v>
      </c>
      <c r="X14" s="1355"/>
      <c r="Y14" s="367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7"/>
      <c r="Q15" s="1352"/>
      <c r="R15" s="705"/>
      <c r="S15" s="706"/>
      <c r="T15" s="705"/>
      <c r="U15" s="706"/>
      <c r="V15" s="705"/>
      <c r="W15" s="706"/>
      <c r="X15" s="1355"/>
      <c r="Y15" s="367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7"/>
      <c r="Q16" s="1352" t="str">
        <f>B16</f>
        <v>公共配套设施</v>
      </c>
      <c r="R16" s="705" t="s">
        <v>14</v>
      </c>
      <c r="S16" s="706">
        <f>F16</f>
        <v>100</v>
      </c>
      <c r="T16" s="705" t="s">
        <v>14</v>
      </c>
      <c r="U16" s="706">
        <f>H16</f>
        <v>100</v>
      </c>
      <c r="V16" s="705" t="s">
        <v>14</v>
      </c>
      <c r="W16" s="706">
        <f>J16</f>
        <v>100</v>
      </c>
      <c r="X16" s="1355"/>
      <c r="Y16" s="367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7"/>
      <c r="Q17" s="1352"/>
      <c r="R17" s="705"/>
      <c r="S17" s="706"/>
      <c r="T17" s="705"/>
      <c r="U17" s="706"/>
      <c r="V17" s="705"/>
      <c r="W17" s="706"/>
      <c r="X17" s="1355"/>
      <c r="Y17" s="367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7"/>
      <c r="Q18" s="1352" t="str">
        <f>B18</f>
        <v>基础设施水平</v>
      </c>
      <c r="R18" s="705" t="s">
        <v>14</v>
      </c>
      <c r="S18" s="706">
        <f>F18</f>
        <v>100</v>
      </c>
      <c r="T18" s="705" t="s">
        <v>14</v>
      </c>
      <c r="U18" s="706">
        <f>H18</f>
        <v>100</v>
      </c>
      <c r="V18" s="705" t="s">
        <v>14</v>
      </c>
      <c r="W18" s="706">
        <f>J18</f>
        <v>100</v>
      </c>
      <c r="X18" s="1355"/>
      <c r="Y18" s="367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7"/>
      <c r="Q19" s="1352"/>
      <c r="R19" s="705"/>
      <c r="S19" s="706"/>
      <c r="T19" s="705"/>
      <c r="U19" s="706"/>
      <c r="V19" s="705"/>
      <c r="W19" s="706"/>
      <c r="X19" s="1355"/>
      <c r="Y19" s="367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7"/>
      <c r="Q20" s="1352" t="str">
        <f>B20</f>
        <v>自然及人文环境</v>
      </c>
      <c r="R20" s="705" t="s">
        <v>14</v>
      </c>
      <c r="S20" s="706">
        <f>F20</f>
        <v>100</v>
      </c>
      <c r="T20" s="705" t="s">
        <v>14</v>
      </c>
      <c r="U20" s="706">
        <f>H20</f>
        <v>100</v>
      </c>
      <c r="V20" s="705" t="s">
        <v>14</v>
      </c>
      <c r="W20" s="706">
        <f>J20</f>
        <v>100</v>
      </c>
      <c r="X20" s="1355"/>
      <c r="Y20" s="367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7"/>
      <c r="Q21" s="1352"/>
      <c r="R21" s="705"/>
      <c r="S21" s="706"/>
      <c r="T21" s="705"/>
      <c r="U21" s="706"/>
      <c r="V21" s="705"/>
      <c r="W21" s="706"/>
      <c r="X21" s="1355"/>
      <c r="Y21" s="367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7"/>
      <c r="Q22" s="1352" t="str">
        <f>B22</f>
        <v>楼层</v>
      </c>
      <c r="R22" s="705" t="s">
        <v>14</v>
      </c>
      <c r="S22" s="706">
        <f>F22</f>
        <v>100</v>
      </c>
      <c r="T22" s="705" t="s">
        <v>14</v>
      </c>
      <c r="U22" s="706">
        <f>H22</f>
        <v>100</v>
      </c>
      <c r="V22" s="705" t="s">
        <v>14</v>
      </c>
      <c r="W22" s="706">
        <f>J22</f>
        <v>100</v>
      </c>
      <c r="X22" s="1355"/>
      <c r="Y22" s="367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7"/>
      <c r="Q23" s="1352">
        <f>B23</f>
        <v>111</v>
      </c>
      <c r="R23" s="705" t="s">
        <v>14</v>
      </c>
      <c r="S23" s="706">
        <f>F23</f>
        <v>100</v>
      </c>
      <c r="T23" s="705" t="s">
        <v>14</v>
      </c>
      <c r="U23" s="706">
        <f>H23</f>
        <v>100</v>
      </c>
      <c r="V23" s="705" t="s">
        <v>14</v>
      </c>
      <c r="W23" s="706">
        <f>J23</f>
        <v>100</v>
      </c>
      <c r="X23" s="1355"/>
      <c r="Y23" s="367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7"/>
      <c r="Q24" s="1352">
        <f t="shared" ref="Q24:Q34" si="11">B24</f>
        <v>111</v>
      </c>
      <c r="R24" s="705" t="s">
        <v>14</v>
      </c>
      <c r="S24" s="706">
        <f>F24</f>
        <v>100</v>
      </c>
      <c r="T24" s="705" t="s">
        <v>14</v>
      </c>
      <c r="U24" s="706">
        <f>H24</f>
        <v>100</v>
      </c>
      <c r="V24" s="705" t="s">
        <v>14</v>
      </c>
      <c r="W24" s="706">
        <f>J24</f>
        <v>100</v>
      </c>
      <c r="X24" s="1355"/>
      <c r="Y24" s="367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7"/>
      <c r="Q25" s="1343">
        <f t="shared" si="11"/>
        <v>111</v>
      </c>
      <c r="R25" s="701" t="s">
        <v>14</v>
      </c>
      <c r="S25" s="702">
        <f>F25</f>
        <v>100</v>
      </c>
      <c r="T25" s="701" t="s">
        <v>14</v>
      </c>
      <c r="U25" s="702">
        <f>H25</f>
        <v>100</v>
      </c>
      <c r="V25" s="701" t="s">
        <v>14</v>
      </c>
      <c r="W25" s="702">
        <f>J25</f>
        <v>100</v>
      </c>
      <c r="X25" s="703"/>
      <c r="Y25" s="367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9"/>
      <c r="Q27" s="707" t="str">
        <f t="shared" si="11"/>
        <v>成新率</v>
      </c>
      <c r="R27" s="708" t="s">
        <v>14</v>
      </c>
      <c r="S27" s="709" t="e">
        <f t="shared" si="12"/>
        <v>#N/A</v>
      </c>
      <c r="T27" s="708" t="s">
        <v>14</v>
      </c>
      <c r="U27" s="709" t="e">
        <f t="shared" si="13"/>
        <v>#N/A</v>
      </c>
      <c r="V27" s="708" t="s">
        <v>14</v>
      </c>
      <c r="W27" s="709" t="e">
        <f t="shared" si="14"/>
        <v>#N/A</v>
      </c>
      <c r="X27" s="710"/>
      <c r="Y27" s="367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9"/>
      <c r="Q28" s="1352" t="str">
        <f t="shared" si="11"/>
        <v>物业等级</v>
      </c>
      <c r="R28" s="705" t="s">
        <v>14</v>
      </c>
      <c r="S28" s="706">
        <f t="shared" si="12"/>
        <v>100</v>
      </c>
      <c r="T28" s="705" t="s">
        <v>14</v>
      </c>
      <c r="U28" s="706">
        <f t="shared" si="13"/>
        <v>100</v>
      </c>
      <c r="V28" s="705" t="s">
        <v>14</v>
      </c>
      <c r="W28" s="706">
        <f t="shared" si="14"/>
        <v>100</v>
      </c>
      <c r="X28" s="1355"/>
      <c r="Y28" s="367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9"/>
      <c r="Q29" s="1352" t="str">
        <f t="shared" si="11"/>
        <v>有无电梯</v>
      </c>
      <c r="R29" s="705" t="s">
        <v>14</v>
      </c>
      <c r="S29" s="706">
        <f t="shared" si="12"/>
        <v>100</v>
      </c>
      <c r="T29" s="705" t="s">
        <v>14</v>
      </c>
      <c r="U29" s="706">
        <f t="shared" si="13"/>
        <v>100</v>
      </c>
      <c r="V29" s="705" t="s">
        <v>14</v>
      </c>
      <c r="W29" s="706">
        <f t="shared" si="14"/>
        <v>100</v>
      </c>
      <c r="X29" s="1355"/>
      <c r="Y29" s="367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9"/>
      <c r="Q30" s="1352" t="str">
        <f t="shared" si="11"/>
        <v>建筑面积</v>
      </c>
      <c r="R30" s="705" t="s">
        <v>14</v>
      </c>
      <c r="S30" s="706" t="e">
        <f t="shared" si="12"/>
        <v>#N/A</v>
      </c>
      <c r="T30" s="705" t="s">
        <v>14</v>
      </c>
      <c r="U30" s="706" t="e">
        <f t="shared" si="13"/>
        <v>#N/A</v>
      </c>
      <c r="V30" s="705" t="s">
        <v>14</v>
      </c>
      <c r="W30" s="706" t="e">
        <f t="shared" si="14"/>
        <v>#N/A</v>
      </c>
      <c r="X30" s="1355"/>
      <c r="Y30" s="367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9"/>
      <c r="Q31" s="1343" t="str">
        <f t="shared" si="11"/>
        <v>是否封闭</v>
      </c>
      <c r="R31" s="701" t="s">
        <v>14</v>
      </c>
      <c r="S31" s="702">
        <f t="shared" si="12"/>
        <v>100</v>
      </c>
      <c r="T31" s="701" t="s">
        <v>14</v>
      </c>
      <c r="U31" s="702">
        <f t="shared" si="13"/>
        <v>100</v>
      </c>
      <c r="V31" s="701" t="s">
        <v>14</v>
      </c>
      <c r="W31" s="702">
        <f t="shared" si="14"/>
        <v>100</v>
      </c>
      <c r="X31" s="703"/>
      <c r="Y31" s="367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9" t="s">
        <v>1696</v>
      </c>
      <c r="Q32" s="1352">
        <f t="shared" si="11"/>
        <v>111</v>
      </c>
      <c r="R32" s="705" t="s">
        <v>14</v>
      </c>
      <c r="S32" s="706">
        <f t="shared" si="12"/>
        <v>100</v>
      </c>
      <c r="T32" s="705" t="s">
        <v>14</v>
      </c>
      <c r="U32" s="706">
        <f t="shared" si="13"/>
        <v>100</v>
      </c>
      <c r="V32" s="705" t="s">
        <v>14</v>
      </c>
      <c r="W32" s="706">
        <f t="shared" si="14"/>
        <v>100</v>
      </c>
      <c r="X32" s="1355"/>
      <c r="Y32" s="367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9"/>
      <c r="Q33" s="1352">
        <f t="shared" si="11"/>
        <v>111</v>
      </c>
      <c r="R33" s="705" t="s">
        <v>14</v>
      </c>
      <c r="S33" s="706">
        <f t="shared" si="12"/>
        <v>100</v>
      </c>
      <c r="T33" s="705" t="s">
        <v>14</v>
      </c>
      <c r="U33" s="706">
        <f t="shared" si="13"/>
        <v>100</v>
      </c>
      <c r="V33" s="705" t="s">
        <v>14</v>
      </c>
      <c r="W33" s="706">
        <f t="shared" si="14"/>
        <v>100</v>
      </c>
      <c r="X33" s="1355"/>
      <c r="Y33" s="367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9"/>
      <c r="Q34" s="1352">
        <f t="shared" si="11"/>
        <v>111</v>
      </c>
      <c r="R34" s="705" t="s">
        <v>14</v>
      </c>
      <c r="S34" s="706">
        <f t="shared" si="12"/>
        <v>100</v>
      </c>
      <c r="T34" s="705" t="s">
        <v>14</v>
      </c>
      <c r="U34" s="706">
        <f t="shared" si="13"/>
        <v>100</v>
      </c>
      <c r="V34" s="705" t="s">
        <v>14</v>
      </c>
      <c r="W34" s="706">
        <f t="shared" si="14"/>
        <v>100</v>
      </c>
      <c r="X34" s="1355"/>
      <c r="Y34" s="367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1" t="str">
        <f>A35</f>
        <v>成交单价（元/平方米）</v>
      </c>
      <c r="Q35" s="3661"/>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1" t="str">
        <f>A36</f>
        <v>比较价值（元/平方米）</v>
      </c>
      <c r="Q36" s="3661"/>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683" t="e">
        <f>IF(F1="售价",ROUND(IF(D36="简单平均",AVERAGE(R36:W36),R36*F36+T36*H36+V36*J36),0),ROUND(IF(D36="简单平均",AVERAGE(R36:V36),R36*F36+T36*H36+V36*J36),1))</f>
        <v>#DIV/0!</v>
      </c>
      <c r="S37" s="3683"/>
      <c r="T37" s="3683"/>
      <c r="U37" s="3683"/>
      <c r="V37" s="3683"/>
      <c r="W37" s="368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2024-4</v>
      </c>
      <c r="D46" s="1185">
        <f>EDATE(C46,-1)</f>
        <v>45352</v>
      </c>
      <c r="E46" s="1185">
        <f t="shared" ref="E46:O46" si="16">EDATE(D46,-1)</f>
        <v>45323</v>
      </c>
      <c r="F46" s="1185">
        <f t="shared" si="16"/>
        <v>45292</v>
      </c>
      <c r="G46" s="1185">
        <f t="shared" si="16"/>
        <v>45261</v>
      </c>
      <c r="H46" s="1185">
        <f t="shared" si="16"/>
        <v>45231</v>
      </c>
      <c r="I46" s="1185">
        <f t="shared" si="16"/>
        <v>45200</v>
      </c>
      <c r="J46" s="1185">
        <f t="shared" si="16"/>
        <v>45170</v>
      </c>
      <c r="K46" s="1185">
        <f t="shared" si="16"/>
        <v>45139</v>
      </c>
      <c r="L46" s="1185">
        <f t="shared" si="16"/>
        <v>45108</v>
      </c>
      <c r="M46" s="1185">
        <f t="shared" si="16"/>
        <v>45078</v>
      </c>
      <c r="N46" s="1185">
        <f t="shared" si="16"/>
        <v>45047</v>
      </c>
      <c r="O46" s="1185">
        <f t="shared" si="16"/>
        <v>45017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30"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30" ht="15.75" thickBot="1">
      <c r="A6" s="360"/>
      <c r="B6" s="361"/>
      <c r="C6" s="3656" t="s">
        <v>1677</v>
      </c>
      <c r="D6" s="3657"/>
      <c r="E6" s="3659" t="s">
        <v>1677</v>
      </c>
      <c r="F6" s="3660"/>
      <c r="G6" s="3656" t="s">
        <v>1677</v>
      </c>
      <c r="H6" s="3657"/>
      <c r="I6" s="3656" t="s">
        <v>1677</v>
      </c>
      <c r="J6" s="3657"/>
      <c r="K6" s="559" t="s">
        <v>1678</v>
      </c>
      <c r="L6" s="2715"/>
      <c r="M6" s="2716"/>
      <c r="N6" s="2716"/>
      <c r="O6" s="2716"/>
      <c r="P6" s="3670"/>
      <c r="Q6" s="3671"/>
      <c r="R6" s="3650"/>
      <c r="S6" s="3651"/>
      <c r="T6" s="3672"/>
      <c r="U6" s="3673"/>
      <c r="V6" s="3674"/>
      <c r="W6" s="3674"/>
      <c r="X6" s="1355"/>
      <c r="Y6" s="3672"/>
      <c r="Z6" s="3673"/>
      <c r="AA6" s="3645"/>
      <c r="AB6" s="3645"/>
      <c r="AC6" s="3645"/>
    </row>
    <row r="7" spans="1:30" s="108" customFormat="1" ht="15.75" thickBot="1">
      <c r="A7" s="362" t="s">
        <v>1679</v>
      </c>
      <c r="B7" s="363"/>
      <c r="C7" s="364">
        <f>'数据-取费表'!B2</f>
        <v>45407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61"/>
      <c r="Q10" s="1343" t="str">
        <f t="shared" si="6"/>
        <v>土地使用年限（年）</v>
      </c>
      <c r="R10" s="701" t="s">
        <v>14</v>
      </c>
      <c r="S10" s="702">
        <f t="shared" si="0"/>
        <v>127</v>
      </c>
      <c r="T10" s="701" t="s">
        <v>14</v>
      </c>
      <c r="U10" s="702">
        <f t="shared" si="1"/>
        <v>127</v>
      </c>
      <c r="V10" s="701" t="s">
        <v>14</v>
      </c>
      <c r="W10" s="702">
        <f t="shared" si="2"/>
        <v>127</v>
      </c>
      <c r="X10" s="703"/>
      <c r="Y10" s="3616"/>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1"/>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6" t="s">
        <v>1691</v>
      </c>
      <c r="Q15" s="1352" t="str">
        <f t="shared" si="6"/>
        <v>居住社区成熟度</v>
      </c>
      <c r="R15" s="705" t="s">
        <v>14</v>
      </c>
      <c r="S15" s="706">
        <f t="shared" si="0"/>
        <v>100</v>
      </c>
      <c r="T15" s="705" t="s">
        <v>14</v>
      </c>
      <c r="U15" s="706">
        <f t="shared" si="1"/>
        <v>100</v>
      </c>
      <c r="V15" s="705" t="s">
        <v>14</v>
      </c>
      <c r="W15" s="706">
        <f t="shared" si="2"/>
        <v>100</v>
      </c>
      <c r="X15" s="1355"/>
      <c r="Y15" s="367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7"/>
      <c r="Q17" s="1352" t="str">
        <f>B17</f>
        <v>商业繁华度</v>
      </c>
      <c r="R17" s="705" t="s">
        <v>14</v>
      </c>
      <c r="S17" s="706">
        <f>F17</f>
        <v>100</v>
      </c>
      <c r="T17" s="705" t="s">
        <v>14</v>
      </c>
      <c r="U17" s="706">
        <f>H17</f>
        <v>100</v>
      </c>
      <c r="V17" s="705" t="s">
        <v>14</v>
      </c>
      <c r="W17" s="706">
        <f>J17</f>
        <v>100</v>
      </c>
      <c r="X17" s="1355"/>
      <c r="Y17" s="367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7"/>
      <c r="Q19" s="1352" t="str">
        <f>B19</f>
        <v>办公集聚程度</v>
      </c>
      <c r="R19" s="705" t="s">
        <v>14</v>
      </c>
      <c r="S19" s="706">
        <f>F19</f>
        <v>100</v>
      </c>
      <c r="T19" s="705" t="s">
        <v>14</v>
      </c>
      <c r="U19" s="706">
        <f>H19</f>
        <v>100</v>
      </c>
      <c r="V19" s="705" t="s">
        <v>14</v>
      </c>
      <c r="W19" s="706">
        <f>J19</f>
        <v>100</v>
      </c>
      <c r="X19" s="1355"/>
      <c r="Y19" s="367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7"/>
      <c r="Q20" s="1352"/>
      <c r="R20" s="705"/>
      <c r="S20" s="706"/>
      <c r="T20" s="705"/>
      <c r="U20" s="706"/>
      <c r="V20" s="705"/>
      <c r="W20" s="706"/>
      <c r="X20" s="1355"/>
      <c r="Y20" s="367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7"/>
      <c r="Q21" s="1352" t="str">
        <f>B21</f>
        <v>交通便捷度</v>
      </c>
      <c r="R21" s="705" t="s">
        <v>14</v>
      </c>
      <c r="S21" s="706">
        <f>F21</f>
        <v>100</v>
      </c>
      <c r="T21" s="705" t="s">
        <v>14</v>
      </c>
      <c r="U21" s="706">
        <f>H21</f>
        <v>100</v>
      </c>
      <c r="V21" s="705" t="s">
        <v>14</v>
      </c>
      <c r="W21" s="706">
        <f>J21</f>
        <v>100</v>
      </c>
      <c r="X21" s="1355"/>
      <c r="Y21" s="367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7"/>
      <c r="Q23" s="1352" t="str">
        <f t="shared" ref="Q23:Q37" si="8">B23</f>
        <v>区域土地利用方向</v>
      </c>
      <c r="R23" s="705" t="s">
        <v>14</v>
      </c>
      <c r="S23" s="706">
        <f>F23</f>
        <v>100</v>
      </c>
      <c r="T23" s="705" t="s">
        <v>14</v>
      </c>
      <c r="U23" s="706">
        <f>H23</f>
        <v>100</v>
      </c>
      <c r="V23" s="705" t="s">
        <v>14</v>
      </c>
      <c r="W23" s="706">
        <f>J23</f>
        <v>100</v>
      </c>
      <c r="X23" s="1355"/>
      <c r="Y23" s="367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7"/>
      <c r="Q24" s="1352"/>
      <c r="R24" s="705"/>
      <c r="S24" s="706"/>
      <c r="T24" s="705"/>
      <c r="U24" s="706"/>
      <c r="V24" s="705"/>
      <c r="W24" s="706"/>
      <c r="X24" s="1355"/>
      <c r="Y24" s="367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7"/>
      <c r="Q25" s="1352" t="str">
        <f t="shared" si="8"/>
        <v>自然及人文环境状况</v>
      </c>
      <c r="R25" s="705" t="s">
        <v>14</v>
      </c>
      <c r="S25" s="706">
        <f>F25</f>
        <v>100</v>
      </c>
      <c r="T25" s="705" t="s">
        <v>14</v>
      </c>
      <c r="U25" s="706">
        <f>H25</f>
        <v>100</v>
      </c>
      <c r="V25" s="705" t="s">
        <v>14</v>
      </c>
      <c r="W25" s="706">
        <f>J25</f>
        <v>100</v>
      </c>
      <c r="X25" s="1355"/>
      <c r="Y25" s="367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7"/>
      <c r="Q26" s="1352"/>
      <c r="R26" s="705"/>
      <c r="S26" s="706"/>
      <c r="T26" s="705"/>
      <c r="U26" s="706"/>
      <c r="V26" s="705"/>
      <c r="W26" s="706"/>
      <c r="X26" s="1355"/>
      <c r="Y26" s="367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7"/>
      <c r="Q27" s="1343" t="str">
        <f t="shared" si="8"/>
        <v>公共配套设施</v>
      </c>
      <c r="R27" s="701" t="s">
        <v>14</v>
      </c>
      <c r="S27" s="702">
        <f>F27</f>
        <v>100</v>
      </c>
      <c r="T27" s="701" t="s">
        <v>14</v>
      </c>
      <c r="U27" s="702">
        <f>H27</f>
        <v>100</v>
      </c>
      <c r="V27" s="701" t="s">
        <v>14</v>
      </c>
      <c r="W27" s="702">
        <f>J27</f>
        <v>100</v>
      </c>
      <c r="X27" s="703"/>
      <c r="Y27" s="367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7"/>
      <c r="Q28" s="1343"/>
      <c r="R28" s="701"/>
      <c r="S28" s="702"/>
      <c r="T28" s="701"/>
      <c r="U28" s="702"/>
      <c r="V28" s="701"/>
      <c r="W28" s="702"/>
      <c r="X28" s="703"/>
      <c r="Y28" s="367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7"/>
      <c r="Q29" s="1343" t="str">
        <f t="shared" ref="Q29" si="9">B29</f>
        <v>基础设施水平</v>
      </c>
      <c r="R29" s="701" t="s">
        <v>14</v>
      </c>
      <c r="S29" s="702">
        <f>F29</f>
        <v>100</v>
      </c>
      <c r="T29" s="701" t="s">
        <v>14</v>
      </c>
      <c r="U29" s="702">
        <f>H29</f>
        <v>100</v>
      </c>
      <c r="V29" s="701" t="s">
        <v>14</v>
      </c>
      <c r="W29" s="702">
        <f>J29</f>
        <v>100</v>
      </c>
      <c r="X29" s="703"/>
      <c r="Y29" s="367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7"/>
      <c r="Q30" s="1343"/>
      <c r="R30" s="701"/>
      <c r="S30" s="702"/>
      <c r="T30" s="701"/>
      <c r="U30" s="702"/>
      <c r="V30" s="701"/>
      <c r="W30" s="702"/>
      <c r="X30" s="703"/>
      <c r="Y30" s="367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7"/>
      <c r="Q32" s="1352" t="str">
        <f t="shared" si="8"/>
        <v>毗邻道路的类型与等级</v>
      </c>
      <c r="R32" s="705" t="s">
        <v>14</v>
      </c>
      <c r="S32" s="706">
        <f t="shared" si="10"/>
        <v>100</v>
      </c>
      <c r="T32" s="705" t="s">
        <v>14</v>
      </c>
      <c r="U32" s="706">
        <f t="shared" si="11"/>
        <v>100</v>
      </c>
      <c r="V32" s="705" t="s">
        <v>14</v>
      </c>
      <c r="W32" s="706">
        <f t="shared" si="12"/>
        <v>100</v>
      </c>
      <c r="X32" s="1355"/>
      <c r="Y32" s="367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7"/>
      <c r="Q33" s="1352"/>
      <c r="R33" s="705"/>
      <c r="S33" s="706"/>
      <c r="T33" s="705"/>
      <c r="U33" s="706"/>
      <c r="V33" s="705"/>
      <c r="W33" s="706"/>
      <c r="X33" s="1355"/>
      <c r="Y33" s="367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7"/>
      <c r="Q34" s="1352" t="str">
        <f t="shared" si="8"/>
        <v>土地级别</v>
      </c>
      <c r="R34" s="705" t="s">
        <v>14</v>
      </c>
      <c r="S34" s="706">
        <f t="shared" si="10"/>
        <v>100</v>
      </c>
      <c r="T34" s="705" t="s">
        <v>14</v>
      </c>
      <c r="U34" s="706">
        <f t="shared" si="11"/>
        <v>100</v>
      </c>
      <c r="V34" s="705" t="s">
        <v>14</v>
      </c>
      <c r="W34" s="706">
        <f t="shared" si="12"/>
        <v>100</v>
      </c>
      <c r="X34" s="1355"/>
      <c r="Y34" s="367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7"/>
      <c r="Q35" s="1352">
        <f t="shared" si="8"/>
        <v>111</v>
      </c>
      <c r="R35" s="705" t="s">
        <v>14</v>
      </c>
      <c r="S35" s="706">
        <f t="shared" si="10"/>
        <v>100</v>
      </c>
      <c r="T35" s="705" t="s">
        <v>14</v>
      </c>
      <c r="U35" s="706">
        <f t="shared" si="11"/>
        <v>100</v>
      </c>
      <c r="V35" s="705" t="s">
        <v>14</v>
      </c>
      <c r="W35" s="706">
        <f t="shared" si="12"/>
        <v>100</v>
      </c>
      <c r="X35" s="1355"/>
      <c r="Y35" s="367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78" t="s">
        <v>1696</v>
      </c>
      <c r="Q36" s="1352">
        <f t="shared" si="8"/>
        <v>111</v>
      </c>
      <c r="R36" s="705" t="s">
        <v>14</v>
      </c>
      <c r="S36" s="706">
        <f t="shared" si="10"/>
        <v>100</v>
      </c>
      <c r="T36" s="705" t="s">
        <v>14</v>
      </c>
      <c r="U36" s="706">
        <f t="shared" si="11"/>
        <v>100</v>
      </c>
      <c r="V36" s="705" t="s">
        <v>14</v>
      </c>
      <c r="W36" s="706">
        <f t="shared" si="12"/>
        <v>100</v>
      </c>
      <c r="X36" s="1355"/>
      <c r="Y36" s="367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9"/>
      <c r="Q37" s="1352">
        <f t="shared" si="8"/>
        <v>111</v>
      </c>
      <c r="R37" s="708" t="s">
        <v>14</v>
      </c>
      <c r="S37" s="709">
        <f t="shared" si="10"/>
        <v>100</v>
      </c>
      <c r="T37" s="708" t="s">
        <v>14</v>
      </c>
      <c r="U37" s="709">
        <f t="shared" si="11"/>
        <v>100</v>
      </c>
      <c r="V37" s="708" t="s">
        <v>14</v>
      </c>
      <c r="W37" s="709">
        <f t="shared" si="12"/>
        <v>100</v>
      </c>
      <c r="X37" s="710"/>
      <c r="Y37" s="367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9"/>
      <c r="Q38" s="1352" t="str">
        <f>B38</f>
        <v>宗地面积</v>
      </c>
      <c r="R38" s="705" t="s">
        <v>14</v>
      </c>
      <c r="S38" s="706" t="e">
        <f t="shared" si="10"/>
        <v>#N/A</v>
      </c>
      <c r="T38" s="705" t="s">
        <v>14</v>
      </c>
      <c r="U38" s="706" t="e">
        <f t="shared" si="11"/>
        <v>#N/A</v>
      </c>
      <c r="V38" s="705" t="s">
        <v>14</v>
      </c>
      <c r="W38" s="706" t="e">
        <f t="shared" si="12"/>
        <v>#N/A</v>
      </c>
      <c r="X38" s="1355"/>
      <c r="Y38" s="367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9"/>
      <c r="Q39" s="1352" t="str">
        <f t="shared" ref="Q39:Q45" si="14">B39</f>
        <v>宗地形状</v>
      </c>
      <c r="R39" s="705" t="s">
        <v>14</v>
      </c>
      <c r="S39" s="706">
        <f t="shared" si="10"/>
        <v>100</v>
      </c>
      <c r="T39" s="705" t="s">
        <v>14</v>
      </c>
      <c r="U39" s="706">
        <f t="shared" si="11"/>
        <v>100</v>
      </c>
      <c r="V39" s="705" t="s">
        <v>14</v>
      </c>
      <c r="W39" s="706">
        <f t="shared" si="12"/>
        <v>100</v>
      </c>
      <c r="X39" s="1355"/>
      <c r="Y39" s="367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9"/>
      <c r="Q40" s="1352" t="str">
        <f t="shared" si="14"/>
        <v>临街宽度及深度</v>
      </c>
      <c r="R40" s="705" t="s">
        <v>14</v>
      </c>
      <c r="S40" s="706">
        <f t="shared" si="10"/>
        <v>100</v>
      </c>
      <c r="T40" s="705" t="s">
        <v>14</v>
      </c>
      <c r="U40" s="706">
        <f t="shared" si="11"/>
        <v>100</v>
      </c>
      <c r="V40" s="705" t="s">
        <v>14</v>
      </c>
      <c r="W40" s="706">
        <f t="shared" si="12"/>
        <v>100</v>
      </c>
      <c r="X40" s="1355"/>
      <c r="Y40" s="367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9"/>
      <c r="Q41" s="1352" t="str">
        <f t="shared" si="14"/>
        <v>宗地开发程度</v>
      </c>
      <c r="R41" s="701" t="s">
        <v>14</v>
      </c>
      <c r="S41" s="702">
        <f t="shared" si="10"/>
        <v>100</v>
      </c>
      <c r="T41" s="701" t="s">
        <v>14</v>
      </c>
      <c r="U41" s="702">
        <f t="shared" si="11"/>
        <v>100</v>
      </c>
      <c r="V41" s="701" t="s">
        <v>14</v>
      </c>
      <c r="W41" s="702">
        <f t="shared" si="12"/>
        <v>100</v>
      </c>
      <c r="X41" s="703"/>
      <c r="Y41" s="367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9" t="s">
        <v>1696</v>
      </c>
      <c r="Q42" s="1352" t="str">
        <f t="shared" si="14"/>
        <v>工程地质条件</v>
      </c>
      <c r="R42" s="705" t="s">
        <v>14</v>
      </c>
      <c r="S42" s="706">
        <f t="shared" si="10"/>
        <v>100</v>
      </c>
      <c r="T42" s="705" t="s">
        <v>14</v>
      </c>
      <c r="U42" s="706">
        <f t="shared" si="11"/>
        <v>100</v>
      </c>
      <c r="V42" s="705" t="s">
        <v>14</v>
      </c>
      <c r="W42" s="706">
        <f t="shared" si="12"/>
        <v>100</v>
      </c>
      <c r="X42" s="1355"/>
      <c r="Y42" s="367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9"/>
      <c r="Q43" s="1352">
        <f t="shared" si="14"/>
        <v>111</v>
      </c>
      <c r="R43" s="705" t="s">
        <v>14</v>
      </c>
      <c r="S43" s="706">
        <f t="shared" si="10"/>
        <v>100</v>
      </c>
      <c r="T43" s="705" t="s">
        <v>14</v>
      </c>
      <c r="U43" s="706">
        <f t="shared" si="11"/>
        <v>100</v>
      </c>
      <c r="V43" s="705" t="s">
        <v>14</v>
      </c>
      <c r="W43" s="706">
        <f t="shared" si="12"/>
        <v>100</v>
      </c>
      <c r="X43" s="1355"/>
      <c r="Y43" s="367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9"/>
      <c r="Q44" s="1352">
        <f t="shared" si="14"/>
        <v>111</v>
      </c>
      <c r="R44" s="705" t="s">
        <v>14</v>
      </c>
      <c r="S44" s="706">
        <f t="shared" si="10"/>
        <v>100</v>
      </c>
      <c r="T44" s="705" t="s">
        <v>14</v>
      </c>
      <c r="U44" s="706">
        <f t="shared" si="11"/>
        <v>100</v>
      </c>
      <c r="V44" s="705" t="s">
        <v>14</v>
      </c>
      <c r="W44" s="706">
        <f t="shared" si="12"/>
        <v>100</v>
      </c>
      <c r="X44" s="1355"/>
      <c r="Y44" s="367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9"/>
      <c r="Q45" s="1352">
        <f t="shared" si="14"/>
        <v>111</v>
      </c>
      <c r="R45" s="708" t="s">
        <v>14</v>
      </c>
      <c r="S45" s="709">
        <f t="shared" si="10"/>
        <v>100</v>
      </c>
      <c r="T45" s="708" t="s">
        <v>14</v>
      </c>
      <c r="U45" s="709">
        <f t="shared" si="11"/>
        <v>100</v>
      </c>
      <c r="V45" s="708" t="s">
        <v>14</v>
      </c>
      <c r="W45" s="709">
        <f t="shared" si="12"/>
        <v>100</v>
      </c>
      <c r="X45" s="710"/>
      <c r="Y45" s="367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1" t="str">
        <f>A46</f>
        <v>成交单价</v>
      </c>
      <c r="Q46" s="3661"/>
      <c r="R46" s="3674">
        <f>E46</f>
        <v>0</v>
      </c>
      <c r="S46" s="3674"/>
      <c r="T46" s="3674">
        <f>G46</f>
        <v>0</v>
      </c>
      <c r="U46" s="3674"/>
      <c r="V46" s="3674">
        <f>I46</f>
        <v>0</v>
      </c>
      <c r="W46" s="367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1" t="str">
        <f>A47</f>
        <v>比较价值（元/平方米）</v>
      </c>
      <c r="Q47" s="3661"/>
      <c r="R47" s="3753" t="e">
        <f>ROUND(PRODUCT(R46,AA7:AA45),0)</f>
        <v>#DIV/0!</v>
      </c>
      <c r="S47" s="3753"/>
      <c r="T47" s="3753" t="e">
        <f>ROUND(PRODUCT(T46,AB7:AB45),0)</f>
        <v>#DIV/0!</v>
      </c>
      <c r="U47" s="3753"/>
      <c r="V47" s="3753" t="e">
        <f>ROUND(PRODUCT(V46,AC7:AC45),0)</f>
        <v>#DIV/0!</v>
      </c>
      <c r="W47" s="375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54" t="e">
        <f>ROUND(IF(D47="简单平均",AVERAGE(R47:W47),R47*F47+T47*H47+V47*J47),0)</f>
        <v>#DIV/0!</v>
      </c>
      <c r="S48" s="3754"/>
      <c r="T48" s="3754"/>
      <c r="U48" s="3754"/>
      <c r="V48" s="3754"/>
      <c r="W48" s="375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2" t="s">
        <v>1887</v>
      </c>
      <c r="H55" s="375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30"/>
      <c r="H56" s="366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30.22</v>
      </c>
      <c r="F62" s="886" t="e">
        <f t="shared" si="15"/>
        <v>#DIV/0!</v>
      </c>
      <c r="G62" s="892" t="s">
        <v>1900</v>
      </c>
      <c r="H62" s="887" t="str">
        <f>IF(G62="商业",项目基本情况!B37,IF(G62="办公",项目基本情况!C37,IF(G62="住宅",项目基本情况!D37,项目基本情况!E37)))</f>
        <v>三级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30.22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2024-4-1</v>
      </c>
      <c r="D67" s="692">
        <f>EDATE(C67,-3)</f>
        <v>45292</v>
      </c>
      <c r="E67" s="692">
        <f>EDATE(D67,-3)</f>
        <v>45200</v>
      </c>
      <c r="F67" s="692">
        <f t="shared" ref="F67:O67" si="18">EDATE(E67,-3)</f>
        <v>45108</v>
      </c>
      <c r="G67" s="692">
        <f t="shared" si="18"/>
        <v>45017</v>
      </c>
      <c r="H67" s="692">
        <f t="shared" si="18"/>
        <v>44927</v>
      </c>
      <c r="I67" s="692">
        <f t="shared" si="18"/>
        <v>44835</v>
      </c>
      <c r="J67" s="692">
        <f t="shared" si="18"/>
        <v>44743</v>
      </c>
      <c r="K67" s="692">
        <f t="shared" si="18"/>
        <v>44652</v>
      </c>
      <c r="L67" s="692">
        <f t="shared" si="18"/>
        <v>44562</v>
      </c>
      <c r="M67" s="692">
        <f t="shared" si="18"/>
        <v>44470</v>
      </c>
      <c r="N67" s="692">
        <f t="shared" si="18"/>
        <v>44378</v>
      </c>
      <c r="O67" s="692">
        <f t="shared" si="18"/>
        <v>44287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2" t="s">
        <v>1770</v>
      </c>
      <c r="D4" s="3663"/>
      <c r="E4" s="3664" t="s">
        <v>1771</v>
      </c>
      <c r="F4" s="3665"/>
      <c r="G4" s="3662" t="s">
        <v>1772</v>
      </c>
      <c r="H4" s="3663"/>
      <c r="I4" s="3662" t="s">
        <v>1773</v>
      </c>
      <c r="J4" s="3663"/>
      <c r="K4" s="559" t="s">
        <v>1774</v>
      </c>
      <c r="L4" s="2715"/>
      <c r="M4" s="2716"/>
      <c r="N4" s="2716"/>
      <c r="O4" s="2716"/>
      <c r="P4" s="3666" t="s">
        <v>1775</v>
      </c>
      <c r="Q4" s="3667"/>
      <c r="R4" s="3648" t="s">
        <v>1771</v>
      </c>
      <c r="S4" s="3649"/>
      <c r="T4" s="3648" t="s">
        <v>1772</v>
      </c>
      <c r="U4" s="3649"/>
      <c r="V4" s="3674" t="s">
        <v>1773</v>
      </c>
      <c r="W4" s="3674"/>
      <c r="X4" s="1355"/>
      <c r="Y4" s="3648" t="s">
        <v>1775</v>
      </c>
      <c r="Z4" s="3649"/>
      <c r="AA4" s="3643" t="s">
        <v>1771</v>
      </c>
      <c r="AB4" s="3644" t="s">
        <v>1772</v>
      </c>
      <c r="AC4" s="3643" t="s">
        <v>1773</v>
      </c>
    </row>
    <row r="5" spans="1:29" ht="15">
      <c r="A5" s="358"/>
      <c r="B5" s="359"/>
      <c r="C5" s="3658" t="s">
        <v>1673</v>
      </c>
      <c r="D5" s="3655"/>
      <c r="E5" s="3729" t="s">
        <v>1674</v>
      </c>
      <c r="F5" s="3653"/>
      <c r="G5" s="3658" t="s">
        <v>1675</v>
      </c>
      <c r="H5" s="3655"/>
      <c r="I5" s="3658" t="s">
        <v>1676</v>
      </c>
      <c r="J5" s="3655"/>
      <c r="K5" s="559"/>
      <c r="L5" s="2715"/>
      <c r="M5" s="2716"/>
      <c r="N5" s="2716"/>
      <c r="O5" s="2716"/>
      <c r="P5" s="3668"/>
      <c r="Q5" s="3669"/>
      <c r="R5" s="3650"/>
      <c r="S5" s="3651"/>
      <c r="T5" s="3650"/>
      <c r="U5" s="3651"/>
      <c r="V5" s="3674"/>
      <c r="W5" s="3674"/>
      <c r="X5" s="1355"/>
      <c r="Y5" s="3650"/>
      <c r="Z5" s="3651"/>
      <c r="AA5" s="3644"/>
      <c r="AB5" s="3644"/>
      <c r="AC5" s="3644"/>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70"/>
      <c r="Q6" s="3671"/>
      <c r="R6" s="3650"/>
      <c r="S6" s="3651"/>
      <c r="T6" s="3672"/>
      <c r="U6" s="3673"/>
      <c r="V6" s="3674"/>
      <c r="W6" s="3674"/>
      <c r="X6" s="1355"/>
      <c r="Y6" s="3672"/>
      <c r="Z6" s="3673"/>
      <c r="AA6" s="3645"/>
      <c r="AB6" s="3645"/>
      <c r="AC6" s="3645"/>
    </row>
    <row r="7" spans="1:29" s="108" customFormat="1" ht="15.75" thickBot="1">
      <c r="A7" s="362" t="s">
        <v>1679</v>
      </c>
      <c r="B7" s="363"/>
      <c r="C7" s="364">
        <f>'数据-取费表'!B2</f>
        <v>45407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46" t="s">
        <v>1680</v>
      </c>
      <c r="Q7" s="3675"/>
      <c r="R7" s="701" t="s">
        <v>14</v>
      </c>
      <c r="S7" s="702">
        <f t="shared" ref="S7:S15" si="0">F7</f>
        <v>0</v>
      </c>
      <c r="T7" s="701" t="s">
        <v>14</v>
      </c>
      <c r="U7" s="702">
        <f t="shared" ref="U7:U15" si="1">H7</f>
        <v>0</v>
      </c>
      <c r="V7" s="701" t="s">
        <v>14</v>
      </c>
      <c r="W7" s="702">
        <f t="shared" ref="W7:W15" si="2">J7</f>
        <v>0</v>
      </c>
      <c r="X7" s="703"/>
      <c r="Y7" s="3646" t="s">
        <v>1680</v>
      </c>
      <c r="Z7" s="36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46" t="s">
        <v>1683</v>
      </c>
      <c r="Q8" s="3647"/>
      <c r="R8" s="701" t="s">
        <v>14</v>
      </c>
      <c r="S8" s="702">
        <f t="shared" si="0"/>
        <v>0</v>
      </c>
      <c r="T8" s="701" t="s">
        <v>14</v>
      </c>
      <c r="U8" s="702">
        <f t="shared" si="1"/>
        <v>0</v>
      </c>
      <c r="V8" s="701" t="s">
        <v>14</v>
      </c>
      <c r="W8" s="702">
        <f t="shared" si="2"/>
        <v>0</v>
      </c>
      <c r="X8" s="703"/>
      <c r="Y8" s="3646" t="s">
        <v>1683</v>
      </c>
      <c r="Z8" s="36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1"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61"/>
      <c r="Q10" s="1343" t="str">
        <f t="shared" si="6"/>
        <v>土地使用年限（年）</v>
      </c>
      <c r="R10" s="701" t="s">
        <v>14</v>
      </c>
      <c r="S10" s="702">
        <f t="shared" si="0"/>
        <v>127</v>
      </c>
      <c r="T10" s="701" t="s">
        <v>14</v>
      </c>
      <c r="U10" s="702">
        <f t="shared" si="1"/>
        <v>127</v>
      </c>
      <c r="V10" s="701" t="s">
        <v>14</v>
      </c>
      <c r="W10" s="702">
        <f t="shared" si="2"/>
        <v>127</v>
      </c>
      <c r="X10" s="703"/>
      <c r="Y10" s="3616"/>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1"/>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1"/>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1"/>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1"/>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6" t="s">
        <v>1691</v>
      </c>
      <c r="Q15" s="1352" t="str">
        <f t="shared" si="6"/>
        <v>产业集聚程度</v>
      </c>
      <c r="R15" s="705" t="s">
        <v>14</v>
      </c>
      <c r="S15" s="706">
        <f t="shared" si="0"/>
        <v>100</v>
      </c>
      <c r="T15" s="705" t="s">
        <v>14</v>
      </c>
      <c r="U15" s="706">
        <f t="shared" si="1"/>
        <v>100</v>
      </c>
      <c r="V15" s="705" t="s">
        <v>14</v>
      </c>
      <c r="W15" s="706">
        <f t="shared" si="2"/>
        <v>100</v>
      </c>
      <c r="X15" s="1355"/>
      <c r="Y15" s="367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7"/>
      <c r="Q16" s="1352"/>
      <c r="R16" s="705"/>
      <c r="S16" s="706"/>
      <c r="T16" s="705"/>
      <c r="U16" s="706"/>
      <c r="V16" s="705"/>
      <c r="W16" s="706"/>
      <c r="X16" s="1355"/>
      <c r="Y16" s="367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7"/>
      <c r="Q17" s="1352" t="str">
        <f>B17</f>
        <v>交通便捷度</v>
      </c>
      <c r="R17" s="705" t="s">
        <v>14</v>
      </c>
      <c r="S17" s="706">
        <f>F17</f>
        <v>100</v>
      </c>
      <c r="T17" s="705" t="s">
        <v>14</v>
      </c>
      <c r="U17" s="706">
        <f>H17</f>
        <v>100</v>
      </c>
      <c r="V17" s="705" t="s">
        <v>14</v>
      </c>
      <c r="W17" s="706">
        <f>J17</f>
        <v>100</v>
      </c>
      <c r="X17" s="1355"/>
      <c r="Y17" s="367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7"/>
      <c r="Q18" s="1352"/>
      <c r="R18" s="705"/>
      <c r="S18" s="706"/>
      <c r="T18" s="705"/>
      <c r="U18" s="706"/>
      <c r="V18" s="705"/>
      <c r="W18" s="706"/>
      <c r="X18" s="1355"/>
      <c r="Y18" s="367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7"/>
      <c r="Q19" s="1352" t="str">
        <f t="shared" ref="Q19:Q33" si="8">B19</f>
        <v>区域土地利用方向</v>
      </c>
      <c r="R19" s="705" t="s">
        <v>14</v>
      </c>
      <c r="S19" s="706">
        <f>F19</f>
        <v>100</v>
      </c>
      <c r="T19" s="705" t="s">
        <v>14</v>
      </c>
      <c r="U19" s="706">
        <f>H19</f>
        <v>100</v>
      </c>
      <c r="V19" s="705" t="s">
        <v>14</v>
      </c>
      <c r="W19" s="706">
        <f>J19</f>
        <v>100</v>
      </c>
      <c r="X19" s="1355"/>
      <c r="Y19" s="367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7"/>
      <c r="Q20" s="1352"/>
      <c r="R20" s="705"/>
      <c r="S20" s="706"/>
      <c r="T20" s="705"/>
      <c r="U20" s="706"/>
      <c r="V20" s="705"/>
      <c r="W20" s="706"/>
      <c r="X20" s="1355"/>
      <c r="Y20" s="367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7"/>
      <c r="Q21" s="1352" t="str">
        <f t="shared" si="8"/>
        <v>环境状况</v>
      </c>
      <c r="R21" s="705" t="s">
        <v>14</v>
      </c>
      <c r="S21" s="706">
        <f>F21</f>
        <v>100</v>
      </c>
      <c r="T21" s="705" t="s">
        <v>14</v>
      </c>
      <c r="U21" s="706">
        <f>H21</f>
        <v>100</v>
      </c>
      <c r="V21" s="705" t="s">
        <v>14</v>
      </c>
      <c r="W21" s="706">
        <f>J21</f>
        <v>100</v>
      </c>
      <c r="X21" s="1355"/>
      <c r="Y21" s="367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7"/>
      <c r="Q22" s="1352"/>
      <c r="R22" s="705"/>
      <c r="S22" s="706"/>
      <c r="T22" s="705"/>
      <c r="U22" s="706"/>
      <c r="V22" s="705"/>
      <c r="W22" s="706"/>
      <c r="X22" s="1355"/>
      <c r="Y22" s="367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7"/>
      <c r="Q23" s="1343" t="str">
        <f t="shared" si="8"/>
        <v>公共配套设施</v>
      </c>
      <c r="R23" s="701" t="s">
        <v>14</v>
      </c>
      <c r="S23" s="702">
        <f>F23</f>
        <v>100</v>
      </c>
      <c r="T23" s="701" t="s">
        <v>14</v>
      </c>
      <c r="U23" s="702">
        <f>H23</f>
        <v>100</v>
      </c>
      <c r="V23" s="701" t="s">
        <v>14</v>
      </c>
      <c r="W23" s="702">
        <f>J23</f>
        <v>100</v>
      </c>
      <c r="X23" s="703"/>
      <c r="Y23" s="367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7"/>
      <c r="Q24" s="1343"/>
      <c r="R24" s="701"/>
      <c r="S24" s="702"/>
      <c r="T24" s="701"/>
      <c r="U24" s="702"/>
      <c r="V24" s="701"/>
      <c r="W24" s="702"/>
      <c r="X24" s="703"/>
      <c r="Y24" s="367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7"/>
      <c r="Q25" s="1343" t="str">
        <f t="shared" ref="Q25" si="9">B25</f>
        <v>基础设施水平</v>
      </c>
      <c r="R25" s="701" t="s">
        <v>14</v>
      </c>
      <c r="S25" s="702">
        <f>F25</f>
        <v>100</v>
      </c>
      <c r="T25" s="701" t="s">
        <v>14</v>
      </c>
      <c r="U25" s="702">
        <f>H25</f>
        <v>100</v>
      </c>
      <c r="V25" s="701" t="s">
        <v>14</v>
      </c>
      <c r="W25" s="702">
        <f>J25</f>
        <v>100</v>
      </c>
      <c r="X25" s="703"/>
      <c r="Y25" s="367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7"/>
      <c r="Q26" s="1343"/>
      <c r="R26" s="701"/>
      <c r="S26" s="702"/>
      <c r="T26" s="701"/>
      <c r="U26" s="702"/>
      <c r="V26" s="701"/>
      <c r="W26" s="702"/>
      <c r="X26" s="703"/>
      <c r="Y26" s="367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7"/>
      <c r="Q28" s="1352" t="str">
        <f t="shared" si="8"/>
        <v>毗邻道路的类型与等级</v>
      </c>
      <c r="R28" s="705" t="s">
        <v>14</v>
      </c>
      <c r="S28" s="706">
        <f t="shared" si="10"/>
        <v>100</v>
      </c>
      <c r="T28" s="705" t="s">
        <v>14</v>
      </c>
      <c r="U28" s="706">
        <f t="shared" si="11"/>
        <v>100</v>
      </c>
      <c r="V28" s="705" t="s">
        <v>14</v>
      </c>
      <c r="W28" s="706">
        <f t="shared" si="12"/>
        <v>100</v>
      </c>
      <c r="X28" s="1355"/>
      <c r="Y28" s="367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7"/>
      <c r="Q29" s="1352"/>
      <c r="R29" s="705"/>
      <c r="S29" s="706"/>
      <c r="T29" s="705"/>
      <c r="U29" s="706"/>
      <c r="V29" s="705"/>
      <c r="W29" s="706"/>
      <c r="X29" s="1355"/>
      <c r="Y29" s="367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7"/>
      <c r="Q30" s="1352" t="str">
        <f t="shared" si="8"/>
        <v>土地级别</v>
      </c>
      <c r="R30" s="705" t="s">
        <v>14</v>
      </c>
      <c r="S30" s="706">
        <f t="shared" si="10"/>
        <v>100</v>
      </c>
      <c r="T30" s="705" t="s">
        <v>14</v>
      </c>
      <c r="U30" s="706">
        <f t="shared" si="11"/>
        <v>100</v>
      </c>
      <c r="V30" s="705" t="s">
        <v>14</v>
      </c>
      <c r="W30" s="706">
        <f t="shared" si="12"/>
        <v>100</v>
      </c>
      <c r="X30" s="1355"/>
      <c r="Y30" s="367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7"/>
      <c r="Q31" s="1352">
        <f t="shared" si="8"/>
        <v>111</v>
      </c>
      <c r="R31" s="705" t="s">
        <v>14</v>
      </c>
      <c r="S31" s="706">
        <f t="shared" si="10"/>
        <v>100</v>
      </c>
      <c r="T31" s="705" t="s">
        <v>14</v>
      </c>
      <c r="U31" s="706">
        <f t="shared" si="11"/>
        <v>100</v>
      </c>
      <c r="V31" s="705" t="s">
        <v>14</v>
      </c>
      <c r="W31" s="706">
        <f t="shared" si="12"/>
        <v>100</v>
      </c>
      <c r="X31" s="1355"/>
      <c r="Y31" s="367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78" t="s">
        <v>1696</v>
      </c>
      <c r="Q32" s="1352">
        <f t="shared" si="8"/>
        <v>111</v>
      </c>
      <c r="R32" s="705" t="s">
        <v>14</v>
      </c>
      <c r="S32" s="706">
        <f t="shared" si="10"/>
        <v>100</v>
      </c>
      <c r="T32" s="705" t="s">
        <v>14</v>
      </c>
      <c r="U32" s="706">
        <f t="shared" si="11"/>
        <v>100</v>
      </c>
      <c r="V32" s="705" t="s">
        <v>14</v>
      </c>
      <c r="W32" s="706">
        <f t="shared" si="12"/>
        <v>100</v>
      </c>
      <c r="X32" s="1355"/>
      <c r="Y32" s="367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9"/>
      <c r="Q33" s="1352">
        <f t="shared" si="8"/>
        <v>111</v>
      </c>
      <c r="R33" s="708" t="s">
        <v>14</v>
      </c>
      <c r="S33" s="709">
        <f t="shared" si="10"/>
        <v>100</v>
      </c>
      <c r="T33" s="708" t="s">
        <v>14</v>
      </c>
      <c r="U33" s="709">
        <f t="shared" si="11"/>
        <v>100</v>
      </c>
      <c r="V33" s="708" t="s">
        <v>14</v>
      </c>
      <c r="W33" s="709">
        <f t="shared" si="12"/>
        <v>100</v>
      </c>
      <c r="X33" s="710"/>
      <c r="Y33" s="367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9"/>
      <c r="Q34" s="1352" t="str">
        <f>B34</f>
        <v>宗地面积</v>
      </c>
      <c r="R34" s="705" t="s">
        <v>14</v>
      </c>
      <c r="S34" s="706" t="e">
        <f t="shared" si="10"/>
        <v>#N/A</v>
      </c>
      <c r="T34" s="705" t="s">
        <v>14</v>
      </c>
      <c r="U34" s="706" t="e">
        <f t="shared" si="11"/>
        <v>#N/A</v>
      </c>
      <c r="V34" s="705" t="s">
        <v>14</v>
      </c>
      <c r="W34" s="706" t="e">
        <f t="shared" si="12"/>
        <v>#N/A</v>
      </c>
      <c r="X34" s="1355"/>
      <c r="Y34" s="367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9"/>
      <c r="Q35" s="1352" t="str">
        <f t="shared" ref="Q35:Q40" si="14">B35</f>
        <v>宗地形状</v>
      </c>
      <c r="R35" s="705" t="s">
        <v>14</v>
      </c>
      <c r="S35" s="706">
        <f t="shared" si="10"/>
        <v>100</v>
      </c>
      <c r="T35" s="705" t="s">
        <v>14</v>
      </c>
      <c r="U35" s="706">
        <f t="shared" si="11"/>
        <v>100</v>
      </c>
      <c r="V35" s="705" t="s">
        <v>14</v>
      </c>
      <c r="W35" s="706">
        <f t="shared" si="12"/>
        <v>100</v>
      </c>
      <c r="X35" s="1355"/>
      <c r="Y35" s="367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9"/>
      <c r="Q36" s="1352" t="str">
        <f t="shared" si="14"/>
        <v>宗地开发程度</v>
      </c>
      <c r="R36" s="701" t="s">
        <v>14</v>
      </c>
      <c r="S36" s="702">
        <f t="shared" si="10"/>
        <v>100</v>
      </c>
      <c r="T36" s="701" t="s">
        <v>14</v>
      </c>
      <c r="U36" s="702">
        <f t="shared" si="11"/>
        <v>100</v>
      </c>
      <c r="V36" s="701" t="s">
        <v>14</v>
      </c>
      <c r="W36" s="702">
        <f t="shared" si="12"/>
        <v>100</v>
      </c>
      <c r="X36" s="703"/>
      <c r="Y36" s="367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9" t="s">
        <v>1696</v>
      </c>
      <c r="Q37" s="1352" t="str">
        <f t="shared" si="14"/>
        <v>工程地质条件</v>
      </c>
      <c r="R37" s="705" t="s">
        <v>14</v>
      </c>
      <c r="S37" s="706">
        <f t="shared" si="10"/>
        <v>100</v>
      </c>
      <c r="T37" s="705" t="s">
        <v>14</v>
      </c>
      <c r="U37" s="706">
        <f t="shared" si="11"/>
        <v>100</v>
      </c>
      <c r="V37" s="705" t="s">
        <v>14</v>
      </c>
      <c r="W37" s="706">
        <f t="shared" si="12"/>
        <v>100</v>
      </c>
      <c r="X37" s="1355"/>
      <c r="Y37" s="367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9"/>
      <c r="Q38" s="1352">
        <f t="shared" si="14"/>
        <v>111</v>
      </c>
      <c r="R38" s="705" t="s">
        <v>14</v>
      </c>
      <c r="S38" s="706">
        <f t="shared" si="10"/>
        <v>100</v>
      </c>
      <c r="T38" s="705" t="s">
        <v>14</v>
      </c>
      <c r="U38" s="706">
        <f t="shared" si="11"/>
        <v>100</v>
      </c>
      <c r="V38" s="705" t="s">
        <v>14</v>
      </c>
      <c r="W38" s="706">
        <f t="shared" si="12"/>
        <v>100</v>
      </c>
      <c r="X38" s="1355"/>
      <c r="Y38" s="367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9"/>
      <c r="Q39" s="1352">
        <f t="shared" si="14"/>
        <v>111</v>
      </c>
      <c r="R39" s="705" t="s">
        <v>14</v>
      </c>
      <c r="S39" s="706">
        <f t="shared" si="10"/>
        <v>100</v>
      </c>
      <c r="T39" s="705" t="s">
        <v>14</v>
      </c>
      <c r="U39" s="706">
        <f t="shared" si="11"/>
        <v>100</v>
      </c>
      <c r="V39" s="705" t="s">
        <v>14</v>
      </c>
      <c r="W39" s="706">
        <f t="shared" si="12"/>
        <v>100</v>
      </c>
      <c r="X39" s="1355"/>
      <c r="Y39" s="367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9"/>
      <c r="Q40" s="1352">
        <f t="shared" si="14"/>
        <v>111</v>
      </c>
      <c r="R40" s="708" t="s">
        <v>14</v>
      </c>
      <c r="S40" s="709">
        <f t="shared" si="10"/>
        <v>100</v>
      </c>
      <c r="T40" s="708" t="s">
        <v>14</v>
      </c>
      <c r="U40" s="709">
        <f t="shared" si="11"/>
        <v>100</v>
      </c>
      <c r="V40" s="708" t="s">
        <v>14</v>
      </c>
      <c r="W40" s="709">
        <f t="shared" si="12"/>
        <v>100</v>
      </c>
      <c r="X40" s="710"/>
      <c r="Y40" s="367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1" t="str">
        <f>A41</f>
        <v>成交单价</v>
      </c>
      <c r="Q41" s="3661"/>
      <c r="R41" s="3674">
        <f>E41</f>
        <v>0</v>
      </c>
      <c r="S41" s="3674"/>
      <c r="T41" s="3674">
        <f>G41</f>
        <v>0</v>
      </c>
      <c r="U41" s="3674"/>
      <c r="V41" s="3674">
        <f>I41</f>
        <v>0</v>
      </c>
      <c r="W41" s="367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1" t="str">
        <f>A42</f>
        <v>比较价值（元/平方米）</v>
      </c>
      <c r="Q42" s="3661"/>
      <c r="R42" s="3753" t="e">
        <f>ROUND(PRODUCT(R41,AA7:AA40),0)</f>
        <v>#DIV/0!</v>
      </c>
      <c r="S42" s="3753"/>
      <c r="T42" s="3753" t="e">
        <f>ROUND(PRODUCT(T41,AB7:AB40),0)</f>
        <v>#DIV/0!</v>
      </c>
      <c r="U42" s="3753"/>
      <c r="V42" s="3753" t="e">
        <f>ROUND(PRODUCT(V41,AC7:AC40),0)</f>
        <v>#DIV/0!</v>
      </c>
      <c r="W42" s="375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54" t="e">
        <f>ROUND(IF(D42="简单平均",AVERAGE(R42:W42),R42*F42+T42*H42+V42*J42),0)</f>
        <v>#DIV/0!</v>
      </c>
      <c r="S43" s="3754"/>
      <c r="T43" s="3754"/>
      <c r="U43" s="3754"/>
      <c r="V43" s="3754"/>
      <c r="W43" s="375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2" t="s">
        <v>1887</v>
      </c>
      <c r="H50" s="375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30"/>
      <c r="H51" s="366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30.22</v>
      </c>
      <c r="F58" s="639" t="e">
        <f t="shared" si="15"/>
        <v>#DIV/0!</v>
      </c>
      <c r="G58" s="892" t="s">
        <v>1900</v>
      </c>
      <c r="H58" s="887" t="str">
        <f>IF(G58="商业",项目基本情况!B37,IF(G58="办公",项目基本情况!C37,IF(G58="住宅",项目基本情况!D37,项目基本情况!E37)))</f>
        <v>三级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2024-4-1</v>
      </c>
      <c r="D63" s="692">
        <f>EDATE(C63,-3)</f>
        <v>45292</v>
      </c>
      <c r="E63" s="692">
        <f>EDATE(D63,-3)</f>
        <v>45200</v>
      </c>
      <c r="F63" s="692">
        <f t="shared" ref="F63:O63" si="18">EDATE(E63,-3)</f>
        <v>45108</v>
      </c>
      <c r="G63" s="692">
        <f t="shared" si="18"/>
        <v>45017</v>
      </c>
      <c r="H63" s="692">
        <f t="shared" si="18"/>
        <v>44927</v>
      </c>
      <c r="I63" s="692">
        <f t="shared" si="18"/>
        <v>44835</v>
      </c>
      <c r="J63" s="692">
        <f t="shared" si="18"/>
        <v>44743</v>
      </c>
      <c r="K63" s="692">
        <f t="shared" si="18"/>
        <v>44652</v>
      </c>
      <c r="L63" s="692">
        <f t="shared" si="18"/>
        <v>44562</v>
      </c>
      <c r="M63" s="692">
        <f t="shared" si="18"/>
        <v>44470</v>
      </c>
      <c r="N63" s="692">
        <f t="shared" si="18"/>
        <v>44378</v>
      </c>
      <c r="O63" s="692">
        <f t="shared" si="18"/>
        <v>44287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30.22</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30.22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3" t="s">
        <v>2610</v>
      </c>
      <c r="B20" s="3766" t="s">
        <v>2631</v>
      </c>
      <c r="C20" s="3103" t="s">
        <v>2442</v>
      </c>
      <c r="D20" s="3104"/>
      <c r="E20" s="3105">
        <v>1</v>
      </c>
      <c r="F20" s="3106" t="s">
        <v>2443</v>
      </c>
      <c r="G20" s="3106"/>
    </row>
    <row r="21" spans="1:13" ht="19.5" customHeight="1">
      <c r="A21" s="3774"/>
      <c r="B21" s="3767"/>
      <c r="C21" s="3107" t="s">
        <v>2444</v>
      </c>
      <c r="D21" s="3108"/>
      <c r="E21" s="3109">
        <v>1</v>
      </c>
      <c r="F21" s="3106" t="s">
        <v>2445</v>
      </c>
      <c r="G21" s="3106"/>
    </row>
    <row r="22" spans="1:13" ht="19.5" customHeight="1">
      <c r="A22" s="3774"/>
      <c r="B22" s="3767"/>
      <c r="C22" s="3107" t="s">
        <v>2446</v>
      </c>
      <c r="D22" s="3108"/>
      <c r="E22" s="3109">
        <v>0.9</v>
      </c>
      <c r="F22" s="3106" t="s">
        <v>2447</v>
      </c>
      <c r="G22" s="3106"/>
    </row>
    <row r="23" spans="1:13" ht="19.5" customHeight="1">
      <c r="A23" s="3774"/>
      <c r="B23" s="3767"/>
      <c r="C23" s="3107" t="s">
        <v>2448</v>
      </c>
      <c r="D23" s="3108"/>
      <c r="E23" s="3109">
        <v>0.9</v>
      </c>
      <c r="F23" s="3106" t="s">
        <v>2449</v>
      </c>
      <c r="G23" s="3106"/>
    </row>
    <row r="24" spans="1:13" ht="19.5" customHeight="1">
      <c r="A24" s="3774"/>
      <c r="B24" s="3767"/>
      <c r="C24" s="3107" t="s">
        <v>2450</v>
      </c>
      <c r="D24" s="3108"/>
      <c r="E24" s="3109">
        <v>0.8</v>
      </c>
      <c r="F24" s="3106" t="s">
        <v>2451</v>
      </c>
      <c r="G24" s="3106"/>
    </row>
    <row r="25" spans="1:13" ht="19.5" customHeight="1" thickBot="1">
      <c r="A25" s="3775"/>
      <c r="B25" s="3768"/>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9" t="s">
        <v>2634</v>
      </c>
      <c r="B27" s="3766" t="s">
        <v>2615</v>
      </c>
      <c r="C27" s="3103" t="s">
        <v>2455</v>
      </c>
      <c r="D27" s="3104"/>
      <c r="E27" s="3105">
        <v>1</v>
      </c>
      <c r="F27" s="3106" t="s">
        <v>2456</v>
      </c>
      <c r="G27" s="3106"/>
    </row>
    <row r="28" spans="1:13" ht="19.5" customHeight="1">
      <c r="A28" s="3770"/>
      <c r="B28" s="3767"/>
      <c r="C28" s="3107" t="s">
        <v>2457</v>
      </c>
      <c r="D28" s="3108"/>
      <c r="E28" s="3109">
        <v>1</v>
      </c>
      <c r="F28" s="3106" t="s">
        <v>2458</v>
      </c>
      <c r="G28" s="3106"/>
    </row>
    <row r="29" spans="1:13" ht="19.5" customHeight="1">
      <c r="A29" s="3770"/>
      <c r="B29" s="3767"/>
      <c r="C29" s="3107" t="s">
        <v>2459</v>
      </c>
      <c r="D29" s="3108"/>
      <c r="E29" s="3109">
        <v>0.8</v>
      </c>
      <c r="F29" s="3106" t="s">
        <v>2460</v>
      </c>
      <c r="G29" s="3106"/>
    </row>
    <row r="30" spans="1:13" ht="19.5" customHeight="1">
      <c r="A30" s="3770"/>
      <c r="B30" s="3767"/>
      <c r="C30" s="3107" t="s">
        <v>2461</v>
      </c>
      <c r="D30" s="3108"/>
      <c r="E30" s="3109">
        <v>0.8</v>
      </c>
      <c r="F30" s="3106" t="s">
        <v>2462</v>
      </c>
      <c r="G30" s="3106"/>
    </row>
    <row r="31" spans="1:13" ht="19.5" customHeight="1">
      <c r="A31" s="3770"/>
      <c r="B31" s="3767"/>
      <c r="C31" s="3107" t="s">
        <v>2463</v>
      </c>
      <c r="D31" s="3108"/>
      <c r="E31" s="3109">
        <v>0.8</v>
      </c>
      <c r="F31" s="3106" t="s">
        <v>2464</v>
      </c>
      <c r="G31" s="3106"/>
    </row>
    <row r="32" spans="1:13" ht="19.5" customHeight="1">
      <c r="A32" s="3770"/>
      <c r="B32" s="3767"/>
      <c r="C32" s="3107" t="s">
        <v>2465</v>
      </c>
      <c r="D32" s="3108"/>
      <c r="E32" s="3109">
        <v>0.7</v>
      </c>
      <c r="F32" s="3106" t="s">
        <v>2466</v>
      </c>
      <c r="G32" s="3106"/>
    </row>
    <row r="33" spans="1:7" ht="19.5" customHeight="1">
      <c r="A33" s="3770"/>
      <c r="B33" s="3767"/>
      <c r="C33" s="3107" t="s">
        <v>2467</v>
      </c>
      <c r="D33" s="3108"/>
      <c r="E33" s="3109">
        <v>0.8</v>
      </c>
      <c r="F33" s="3106" t="s">
        <v>2468</v>
      </c>
      <c r="G33" s="3106"/>
    </row>
    <row r="34" spans="1:7" ht="19.5" customHeight="1">
      <c r="A34" s="3770"/>
      <c r="B34" s="3767"/>
      <c r="C34" s="3107" t="s">
        <v>2469</v>
      </c>
      <c r="D34" s="3108"/>
      <c r="E34" s="3109">
        <v>0.6</v>
      </c>
      <c r="F34" s="3106" t="s">
        <v>2470</v>
      </c>
      <c r="G34" s="3106"/>
    </row>
    <row r="35" spans="1:7" ht="19.5" customHeight="1">
      <c r="A35" s="3770"/>
      <c r="B35" s="3767"/>
      <c r="C35" s="3107" t="s">
        <v>2471</v>
      </c>
      <c r="D35" s="3108"/>
      <c r="E35" s="3109">
        <v>0.2</v>
      </c>
      <c r="F35" s="3106" t="s">
        <v>2472</v>
      </c>
      <c r="G35" s="3106"/>
    </row>
    <row r="36" spans="1:7" ht="19.5" customHeight="1">
      <c r="A36" s="3770"/>
      <c r="B36" s="3767"/>
      <c r="C36" s="3107" t="s">
        <v>2473</v>
      </c>
      <c r="D36" s="3108"/>
      <c r="E36" s="3109">
        <v>0.2</v>
      </c>
      <c r="F36" s="3106" t="s">
        <v>2474</v>
      </c>
      <c r="G36" s="3106"/>
    </row>
    <row r="37" spans="1:7" ht="19.5" customHeight="1">
      <c r="A37" s="3770"/>
      <c r="B37" s="3772" t="s">
        <v>2635</v>
      </c>
      <c r="C37" s="3107" t="s">
        <v>2475</v>
      </c>
      <c r="D37" s="3108"/>
      <c r="E37" s="3109">
        <v>0.6</v>
      </c>
      <c r="F37" s="3106" t="s">
        <v>2476</v>
      </c>
      <c r="G37" s="3106"/>
    </row>
    <row r="38" spans="1:7" ht="19.5" customHeight="1">
      <c r="A38" s="3770"/>
      <c r="B38" s="3767"/>
      <c r="C38" s="3107" t="s">
        <v>2477</v>
      </c>
      <c r="D38" s="3108"/>
      <c r="E38" s="3109">
        <v>0.6</v>
      </c>
      <c r="F38" s="3106" t="s">
        <v>2478</v>
      </c>
      <c r="G38" s="3106"/>
    </row>
    <row r="39" spans="1:7" ht="19.5" customHeight="1" thickBot="1">
      <c r="A39" s="3771"/>
      <c r="B39" s="3768"/>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3" t="s">
        <v>2613</v>
      </c>
      <c r="B41" s="3766" t="s">
        <v>2637</v>
      </c>
      <c r="C41" s="3103" t="s">
        <v>2482</v>
      </c>
      <c r="D41" s="3104"/>
      <c r="E41" s="3105">
        <v>1</v>
      </c>
      <c r="F41" s="3106" t="s">
        <v>2483</v>
      </c>
      <c r="G41" s="3106"/>
    </row>
    <row r="42" spans="1:7" ht="19.5" customHeight="1">
      <c r="A42" s="3774"/>
      <c r="B42" s="3767"/>
      <c r="C42" s="3107" t="s">
        <v>2484</v>
      </c>
      <c r="D42" s="3108"/>
      <c r="E42" s="3109">
        <v>1</v>
      </c>
      <c r="F42" s="3106" t="s">
        <v>2485</v>
      </c>
      <c r="G42" s="3106"/>
    </row>
    <row r="43" spans="1:7" ht="19.5" customHeight="1">
      <c r="A43" s="3774"/>
      <c r="B43" s="3776"/>
      <c r="C43" s="3107" t="s">
        <v>2486</v>
      </c>
      <c r="D43" s="3108"/>
      <c r="E43" s="3109">
        <v>1.5</v>
      </c>
      <c r="F43" s="3106" t="s">
        <v>2487</v>
      </c>
      <c r="G43" s="3106"/>
    </row>
    <row r="44" spans="1:7" ht="19.5" customHeight="1">
      <c r="A44" s="3774"/>
      <c r="B44" s="3118" t="s">
        <v>2638</v>
      </c>
      <c r="C44" s="3107" t="s">
        <v>2639</v>
      </c>
      <c r="D44" s="3108"/>
      <c r="E44" s="3109">
        <v>2</v>
      </c>
      <c r="F44" s="3106" t="s">
        <v>2488</v>
      </c>
      <c r="G44" s="3106"/>
    </row>
    <row r="45" spans="1:7" ht="19.5" customHeight="1">
      <c r="A45" s="3774"/>
      <c r="B45" s="3772" t="s">
        <v>2640</v>
      </c>
      <c r="C45" s="3107" t="s">
        <v>2489</v>
      </c>
      <c r="D45" s="3108"/>
      <c r="E45" s="3109">
        <v>1</v>
      </c>
      <c r="F45" s="3106" t="s">
        <v>2490</v>
      </c>
      <c r="G45" s="3106"/>
    </row>
    <row r="46" spans="1:7" ht="19.5" customHeight="1">
      <c r="A46" s="3774"/>
      <c r="B46" s="3767"/>
      <c r="C46" s="3107" t="s">
        <v>2491</v>
      </c>
      <c r="D46" s="3108"/>
      <c r="E46" s="3109">
        <v>1</v>
      </c>
      <c r="F46" s="3106" t="s">
        <v>2492</v>
      </c>
      <c r="G46" s="3106"/>
    </row>
    <row r="47" spans="1:7" ht="19.5" customHeight="1">
      <c r="A47" s="3774"/>
      <c r="B47" s="3767"/>
      <c r="C47" s="3107" t="s">
        <v>2493</v>
      </c>
      <c r="D47" s="3108"/>
      <c r="E47" s="3109">
        <v>1</v>
      </c>
      <c r="F47" s="3106" t="s">
        <v>2494</v>
      </c>
      <c r="G47" s="3106"/>
    </row>
    <row r="48" spans="1:7" ht="19.5" customHeight="1">
      <c r="A48" s="3774"/>
      <c r="B48" s="3767"/>
      <c r="C48" s="3107" t="s">
        <v>2495</v>
      </c>
      <c r="D48" s="3108"/>
      <c r="E48" s="3109">
        <v>1</v>
      </c>
      <c r="F48" s="3106" t="s">
        <v>2496</v>
      </c>
      <c r="G48" s="3106"/>
    </row>
    <row r="49" spans="1:7" ht="19.5" customHeight="1">
      <c r="A49" s="3774"/>
      <c r="B49" s="3767"/>
      <c r="C49" s="3107" t="s">
        <v>2497</v>
      </c>
      <c r="D49" s="3108"/>
      <c r="E49" s="3109">
        <v>1</v>
      </c>
      <c r="F49" s="3106" t="s">
        <v>2498</v>
      </c>
      <c r="G49" s="3106"/>
    </row>
    <row r="50" spans="1:7" ht="19.5" customHeight="1">
      <c r="A50" s="3774"/>
      <c r="B50" s="3767"/>
      <c r="C50" s="3107" t="s">
        <v>2499</v>
      </c>
      <c r="D50" s="3108"/>
      <c r="E50" s="3109">
        <v>1</v>
      </c>
      <c r="F50" s="3106" t="s">
        <v>2500</v>
      </c>
      <c r="G50" s="3106"/>
    </row>
    <row r="51" spans="1:7" ht="19.5" customHeight="1" thickBot="1">
      <c r="A51" s="3775"/>
      <c r="B51" s="3768"/>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67"/>
      <c r="C74" s="3092" t="s">
        <v>2657</v>
      </c>
      <c r="D74" s="3092" t="s">
        <v>2658</v>
      </c>
      <c r="E74" s="3118">
        <v>0.2</v>
      </c>
      <c r="F74" s="3118">
        <v>25</v>
      </c>
    </row>
    <row r="75" spans="1:7" ht="24">
      <c r="A75" s="3118">
        <v>3</v>
      </c>
      <c r="B75" s="3767"/>
      <c r="C75" s="3092" t="s">
        <v>2659</v>
      </c>
      <c r="D75" s="3092" t="s">
        <v>2660</v>
      </c>
      <c r="E75" s="3118">
        <v>0.2</v>
      </c>
      <c r="F75" s="3118">
        <v>25</v>
      </c>
    </row>
    <row r="76" spans="1:7" ht="13.5">
      <c r="A76" s="3118">
        <v>4</v>
      </c>
      <c r="B76" s="3767"/>
      <c r="C76" s="3092" t="s">
        <v>2661</v>
      </c>
      <c r="D76" s="3092" t="s">
        <v>2662</v>
      </c>
      <c r="E76" s="3118">
        <v>0.15</v>
      </c>
      <c r="F76" s="3118">
        <v>20</v>
      </c>
    </row>
    <row r="77" spans="1:7" ht="24">
      <c r="A77" s="3118">
        <v>5</v>
      </c>
      <c r="B77" s="3767"/>
      <c r="C77" s="3092" t="s">
        <v>2663</v>
      </c>
      <c r="D77" s="3092" t="s">
        <v>2664</v>
      </c>
      <c r="E77" s="3118">
        <v>0.15</v>
      </c>
      <c r="F77" s="3118">
        <v>20</v>
      </c>
    </row>
    <row r="78" spans="1:7" ht="24">
      <c r="A78" s="3118">
        <v>6</v>
      </c>
      <c r="B78" s="3767"/>
      <c r="C78" s="3092" t="s">
        <v>2665</v>
      </c>
      <c r="D78" s="3092" t="s">
        <v>2666</v>
      </c>
      <c r="E78" s="3118">
        <v>0.15</v>
      </c>
      <c r="F78" s="3118">
        <v>20</v>
      </c>
    </row>
    <row r="79" spans="1:7" ht="24">
      <c r="A79" s="3118">
        <v>7</v>
      </c>
      <c r="B79" s="3767"/>
      <c r="C79" s="3092" t="s">
        <v>2667</v>
      </c>
      <c r="D79" s="3092" t="s">
        <v>2668</v>
      </c>
      <c r="E79" s="3118">
        <v>0.15</v>
      </c>
      <c r="F79" s="3118">
        <v>20</v>
      </c>
    </row>
    <row r="80" spans="1:7" ht="24">
      <c r="A80" s="3118">
        <v>8</v>
      </c>
      <c r="B80" s="3767"/>
      <c r="C80" s="3092" t="s">
        <v>2669</v>
      </c>
      <c r="D80" s="3092" t="s">
        <v>2670</v>
      </c>
      <c r="E80" s="3118">
        <v>0.1</v>
      </c>
      <c r="F80" s="3118">
        <v>15</v>
      </c>
    </row>
    <row r="81" spans="1:6" ht="24">
      <c r="A81" s="3118">
        <v>9</v>
      </c>
      <c r="B81" s="3767"/>
      <c r="C81" s="3092" t="s">
        <v>2671</v>
      </c>
      <c r="D81" s="3092" t="s">
        <v>2672</v>
      </c>
      <c r="E81" s="3118">
        <v>0.1</v>
      </c>
      <c r="F81" s="3118">
        <v>15</v>
      </c>
    </row>
    <row r="82" spans="1:6" ht="24">
      <c r="A82" s="3118">
        <v>10</v>
      </c>
      <c r="B82" s="3767"/>
      <c r="C82" s="3092" t="s">
        <v>2673</v>
      </c>
      <c r="D82" s="3092" t="s">
        <v>2674</v>
      </c>
      <c r="E82" s="3118">
        <v>0.1</v>
      </c>
      <c r="F82" s="3118">
        <v>15</v>
      </c>
    </row>
    <row r="83" spans="1:6" ht="24">
      <c r="A83" s="3118">
        <v>11</v>
      </c>
      <c r="B83" s="3767"/>
      <c r="C83" s="3092" t="s">
        <v>2675</v>
      </c>
      <c r="D83" s="3092" t="s">
        <v>2676</v>
      </c>
      <c r="E83" s="3118">
        <v>0.1</v>
      </c>
      <c r="F83" s="3118">
        <v>15</v>
      </c>
    </row>
    <row r="84" spans="1:6" ht="24">
      <c r="A84" s="3118">
        <v>12</v>
      </c>
      <c r="B84" s="3767"/>
      <c r="C84" s="3092" t="s">
        <v>2677</v>
      </c>
      <c r="D84" s="3092" t="s">
        <v>2678</v>
      </c>
      <c r="E84" s="3118">
        <v>0.1</v>
      </c>
      <c r="F84" s="3118">
        <v>15</v>
      </c>
    </row>
    <row r="85" spans="1:6" ht="13.5">
      <c r="A85" s="3118">
        <v>13</v>
      </c>
      <c r="B85" s="3767"/>
      <c r="C85" s="3092" t="s">
        <v>2679</v>
      </c>
      <c r="D85" s="3092" t="s">
        <v>2680</v>
      </c>
      <c r="E85" s="3118">
        <v>0.1</v>
      </c>
      <c r="F85" s="3118">
        <v>15</v>
      </c>
    </row>
    <row r="86" spans="1:6" ht="13.5">
      <c r="A86" s="3118">
        <v>14</v>
      </c>
      <c r="B86" s="3767"/>
      <c r="C86" s="3092" t="s">
        <v>2681</v>
      </c>
      <c r="D86" s="3092" t="s">
        <v>2682</v>
      </c>
      <c r="E86" s="3118">
        <v>0.1</v>
      </c>
      <c r="F86" s="3118">
        <v>15</v>
      </c>
    </row>
    <row r="87" spans="1:6" ht="13.5">
      <c r="A87" s="3118">
        <v>15</v>
      </c>
      <c r="B87" s="3767"/>
      <c r="C87" s="3092" t="s">
        <v>2683</v>
      </c>
      <c r="D87" s="3092" t="s">
        <v>2684</v>
      </c>
      <c r="E87" s="3118">
        <v>0.1</v>
      </c>
      <c r="F87" s="3118">
        <v>15</v>
      </c>
    </row>
    <row r="88" spans="1:6" ht="24">
      <c r="A88" s="3118">
        <v>16</v>
      </c>
      <c r="B88" s="376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67"/>
      <c r="C91" s="3092" t="s">
        <v>2692</v>
      </c>
      <c r="D91" s="3092" t="s">
        <v>2693</v>
      </c>
      <c r="E91" s="3118">
        <v>0.2</v>
      </c>
      <c r="F91" s="3118">
        <v>25</v>
      </c>
    </row>
    <row r="92" spans="1:6" ht="13.5">
      <c r="A92" s="3118">
        <v>20</v>
      </c>
      <c r="B92" s="3767"/>
      <c r="C92" s="3092" t="s">
        <v>2694</v>
      </c>
      <c r="D92" s="3092" t="s">
        <v>2695</v>
      </c>
      <c r="E92" s="3118">
        <v>0.15</v>
      </c>
      <c r="F92" s="3118">
        <v>20</v>
      </c>
    </row>
    <row r="93" spans="1:6" ht="13.5">
      <c r="A93" s="3118">
        <v>21</v>
      </c>
      <c r="B93" s="3767"/>
      <c r="C93" s="3092" t="s">
        <v>2696</v>
      </c>
      <c r="D93" s="3092" t="s">
        <v>2697</v>
      </c>
      <c r="E93" s="3118">
        <v>0.15</v>
      </c>
      <c r="F93" s="3118">
        <v>20</v>
      </c>
    </row>
    <row r="94" spans="1:6" ht="13.5">
      <c r="A94" s="3118">
        <v>22</v>
      </c>
      <c r="B94" s="3767"/>
      <c r="C94" s="3092" t="s">
        <v>2698</v>
      </c>
      <c r="D94" s="3092" t="s">
        <v>2699</v>
      </c>
      <c r="E94" s="3118">
        <v>0.15</v>
      </c>
      <c r="F94" s="3118">
        <v>20</v>
      </c>
    </row>
    <row r="95" spans="1:6" ht="36">
      <c r="A95" s="3118">
        <v>23</v>
      </c>
      <c r="B95" s="3767"/>
      <c r="C95" s="3092" t="s">
        <v>2700</v>
      </c>
      <c r="D95" s="3092" t="s">
        <v>2701</v>
      </c>
      <c r="E95" s="3118">
        <v>0.15</v>
      </c>
      <c r="F95" s="3118">
        <v>20</v>
      </c>
    </row>
    <row r="96" spans="1:6" ht="13.5">
      <c r="A96" s="3118">
        <v>24</v>
      </c>
      <c r="B96" s="3767"/>
      <c r="C96" s="3092" t="s">
        <v>2702</v>
      </c>
      <c r="D96" s="3092" t="s">
        <v>2703</v>
      </c>
      <c r="E96" s="3118">
        <v>0.1</v>
      </c>
      <c r="F96" s="3118">
        <v>15</v>
      </c>
    </row>
    <row r="97" spans="1:6" ht="13.5">
      <c r="A97" s="3118">
        <v>25</v>
      </c>
      <c r="B97" s="3767"/>
      <c r="C97" s="3092" t="s">
        <v>2704</v>
      </c>
      <c r="D97" s="3092" t="s">
        <v>2705</v>
      </c>
      <c r="E97" s="3118">
        <v>0.1</v>
      </c>
      <c r="F97" s="3118">
        <v>15</v>
      </c>
    </row>
    <row r="98" spans="1:6" ht="24">
      <c r="A98" s="3118">
        <v>26</v>
      </c>
      <c r="B98" s="3767"/>
      <c r="C98" s="3092" t="s">
        <v>2706</v>
      </c>
      <c r="D98" s="3092" t="s">
        <v>2707</v>
      </c>
      <c r="E98" s="3118">
        <v>0.1</v>
      </c>
      <c r="F98" s="3118">
        <v>15</v>
      </c>
    </row>
    <row r="99" spans="1:6" ht="24">
      <c r="A99" s="3118">
        <v>27</v>
      </c>
      <c r="B99" s="3767"/>
      <c r="C99" s="3092" t="s">
        <v>2708</v>
      </c>
      <c r="D99" s="3092" t="s">
        <v>2709</v>
      </c>
      <c r="E99" s="3118">
        <v>0.1</v>
      </c>
      <c r="F99" s="3118">
        <v>15</v>
      </c>
    </row>
    <row r="100" spans="1:6" ht="13.5">
      <c r="A100" s="3118">
        <v>28</v>
      </c>
      <c r="B100" s="3767"/>
      <c r="C100" s="3092" t="s">
        <v>2710</v>
      </c>
      <c r="D100" s="3092" t="s">
        <v>2711</v>
      </c>
      <c r="E100" s="3118">
        <v>0.1</v>
      </c>
      <c r="F100" s="3118">
        <v>15</v>
      </c>
    </row>
    <row r="101" spans="1:6" ht="13.5">
      <c r="A101" s="3118">
        <v>29</v>
      </c>
      <c r="B101" s="3767"/>
      <c r="C101" s="3092" t="s">
        <v>2712</v>
      </c>
      <c r="D101" s="3092" t="s">
        <v>2713</v>
      </c>
      <c r="E101" s="3118">
        <v>0.1</v>
      </c>
      <c r="F101" s="3118">
        <v>15</v>
      </c>
    </row>
    <row r="102" spans="1:6" ht="13.5">
      <c r="A102" s="3118">
        <v>30</v>
      </c>
      <c r="B102" s="3767"/>
      <c r="C102" s="3092" t="s">
        <v>2714</v>
      </c>
      <c r="D102" s="3092" t="s">
        <v>2715</v>
      </c>
      <c r="E102" s="3118">
        <v>0.1</v>
      </c>
      <c r="F102" s="3118">
        <v>15</v>
      </c>
    </row>
    <row r="103" spans="1:6" ht="24">
      <c r="A103" s="3118">
        <v>31</v>
      </c>
      <c r="B103" s="3767"/>
      <c r="C103" s="3092" t="s">
        <v>2716</v>
      </c>
      <c r="D103" s="3092" t="s">
        <v>2717</v>
      </c>
      <c r="E103" s="3118">
        <v>0.1</v>
      </c>
      <c r="F103" s="3118">
        <v>15</v>
      </c>
    </row>
    <row r="104" spans="1:6" ht="24">
      <c r="A104" s="3118">
        <v>32</v>
      </c>
      <c r="B104" s="3767"/>
      <c r="C104" s="3092" t="s">
        <v>2718</v>
      </c>
      <c r="D104" s="3092" t="s">
        <v>2719</v>
      </c>
      <c r="E104" s="3118">
        <v>0.1</v>
      </c>
      <c r="F104" s="3118">
        <v>15</v>
      </c>
    </row>
    <row r="105" spans="1:6" ht="24">
      <c r="A105" s="3118">
        <v>33</v>
      </c>
      <c r="B105" s="376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67"/>
      <c r="C108" s="3118" t="s">
        <v>2727</v>
      </c>
      <c r="D108" s="3092" t="s">
        <v>2728</v>
      </c>
      <c r="E108" s="3118">
        <v>0.15</v>
      </c>
      <c r="F108" s="3118">
        <v>20</v>
      </c>
    </row>
    <row r="109" spans="1:6" ht="13.5">
      <c r="A109" s="3118">
        <v>37</v>
      </c>
      <c r="B109" s="3767"/>
      <c r="C109" s="3118" t="s">
        <v>2729</v>
      </c>
      <c r="D109" s="3092" t="s">
        <v>2730</v>
      </c>
      <c r="E109" s="3118">
        <v>0.15</v>
      </c>
      <c r="F109" s="3118">
        <v>20</v>
      </c>
    </row>
    <row r="110" spans="1:6" ht="13.5">
      <c r="A110" s="3118">
        <v>38</v>
      </c>
      <c r="B110" s="3767"/>
      <c r="C110" s="3118" t="s">
        <v>2731</v>
      </c>
      <c r="D110" s="3092" t="s">
        <v>2732</v>
      </c>
      <c r="E110" s="3118">
        <v>0.1</v>
      </c>
      <c r="F110" s="3118">
        <v>15</v>
      </c>
    </row>
    <row r="111" spans="1:6" ht="24">
      <c r="A111" s="3118">
        <v>39</v>
      </c>
      <c r="B111" s="376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7" t="s">
        <v>2737</v>
      </c>
      <c r="C113" s="3118" t="s">
        <v>2738</v>
      </c>
      <c r="D113" s="3092" t="s">
        <v>2739</v>
      </c>
      <c r="E113" s="3118">
        <v>0.1</v>
      </c>
      <c r="F113" s="3118">
        <v>15</v>
      </c>
    </row>
    <row r="114" spans="1:6" ht="13.5">
      <c r="A114" s="3118">
        <v>42</v>
      </c>
      <c r="B114" s="3777"/>
      <c r="C114" s="3118" t="s">
        <v>2740</v>
      </c>
      <c r="D114" s="3092" t="s">
        <v>2741</v>
      </c>
      <c r="E114" s="3118">
        <v>0.1</v>
      </c>
      <c r="F114" s="3118">
        <v>15</v>
      </c>
    </row>
    <row r="115" spans="1:6" ht="24">
      <c r="A115" s="3118">
        <v>43</v>
      </c>
      <c r="B115" s="3777"/>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7" t="s">
        <v>2759</v>
      </c>
      <c r="C122" s="3118" t="s">
        <v>2760</v>
      </c>
      <c r="D122" s="3092" t="s">
        <v>2761</v>
      </c>
      <c r="E122" s="3118">
        <v>0.1</v>
      </c>
      <c r="F122" s="3118">
        <v>15</v>
      </c>
    </row>
    <row r="123" spans="1:6" ht="24">
      <c r="A123" s="3118">
        <v>51</v>
      </c>
      <c r="B123" s="3777"/>
      <c r="C123" s="3118" t="s">
        <v>2762</v>
      </c>
      <c r="D123" s="3092" t="s">
        <v>2763</v>
      </c>
      <c r="E123" s="3118">
        <v>0.1</v>
      </c>
      <c r="F123" s="3118">
        <v>15</v>
      </c>
    </row>
    <row r="124" spans="1:6" ht="24">
      <c r="A124" s="3118">
        <v>52</v>
      </c>
      <c r="B124" s="3777" t="s">
        <v>2764</v>
      </c>
      <c r="C124" s="3118" t="s">
        <v>2765</v>
      </c>
      <c r="D124" s="3092" t="s">
        <v>2766</v>
      </c>
      <c r="E124" s="3118">
        <v>0.1</v>
      </c>
      <c r="F124" s="3118">
        <v>15</v>
      </c>
    </row>
    <row r="125" spans="1:6" ht="24">
      <c r="A125" s="3118">
        <v>53</v>
      </c>
      <c r="B125" s="377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7" t="s">
        <v>2772</v>
      </c>
      <c r="C127" s="3118" t="s">
        <v>2773</v>
      </c>
      <c r="D127" s="3092" t="s">
        <v>2774</v>
      </c>
      <c r="E127" s="3118">
        <v>0.1</v>
      </c>
      <c r="F127" s="3118">
        <v>15</v>
      </c>
    </row>
    <row r="128" spans="1:6" ht="13.5">
      <c r="A128" s="3118">
        <v>56</v>
      </c>
      <c r="B128" s="3777"/>
      <c r="C128" s="3118" t="s">
        <v>2775</v>
      </c>
      <c r="D128" s="3092" t="s">
        <v>2776</v>
      </c>
      <c r="E128" s="3118">
        <v>0.1</v>
      </c>
      <c r="F128" s="3118">
        <v>15</v>
      </c>
    </row>
    <row r="129" spans="1:6" ht="24">
      <c r="A129" s="3118">
        <v>57</v>
      </c>
      <c r="B129" s="3777"/>
      <c r="C129" s="3118" t="s">
        <v>2777</v>
      </c>
      <c r="D129" s="3092" t="s">
        <v>2778</v>
      </c>
      <c r="E129" s="3118">
        <v>0.1</v>
      </c>
      <c r="F129" s="3118">
        <v>15</v>
      </c>
    </row>
    <row r="130" spans="1:6" ht="24">
      <c r="A130" s="3118">
        <v>58</v>
      </c>
      <c r="B130" s="3777" t="s">
        <v>2779</v>
      </c>
      <c r="C130" s="3118" t="s">
        <v>2780</v>
      </c>
      <c r="D130" s="3092" t="s">
        <v>2781</v>
      </c>
      <c r="E130" s="3118">
        <v>0.1</v>
      </c>
      <c r="F130" s="3118">
        <v>15</v>
      </c>
    </row>
    <row r="131" spans="1:6" ht="13.5">
      <c r="A131" s="3118">
        <v>59</v>
      </c>
      <c r="B131" s="3777"/>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7" t="s">
        <v>2792</v>
      </c>
      <c r="C135" s="3118" t="s">
        <v>2793</v>
      </c>
      <c r="D135" s="3092" t="s">
        <v>2794</v>
      </c>
      <c r="E135" s="3118">
        <v>0.1</v>
      </c>
      <c r="F135" s="3118">
        <v>15</v>
      </c>
    </row>
    <row r="136" spans="1:6" ht="13.5">
      <c r="A136" s="3118">
        <v>64</v>
      </c>
      <c r="B136" s="377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估价结果一览表（市场价值不需“结果表-1”）</v>
      </c>
      <c r="B3" s="3463"/>
      <c r="C3" s="3463"/>
      <c r="D3" s="3463"/>
      <c r="E3" s="3463"/>
    </row>
    <row r="4" spans="1:5" ht="19.5" thickBot="1">
      <c r="A4" s="1493"/>
      <c r="B4" s="3461" t="s">
        <v>917</v>
      </c>
      <c r="C4" s="3461"/>
      <c r="D4" s="3461"/>
      <c r="E4" s="1493"/>
    </row>
    <row r="5" spans="1:5" ht="16.5" thickTop="1">
      <c r="A5" s="1491"/>
      <c r="B5" s="3459" t="s">
        <v>909</v>
      </c>
      <c r="C5" s="1494" t="s">
        <v>910</v>
      </c>
      <c r="D5" s="850" t="e">
        <f ca="1">结果表!H101</f>
        <v>#REF!</v>
      </c>
      <c r="E5" s="1491"/>
    </row>
    <row r="6" spans="1:5" ht="15.75">
      <c r="A6" s="1491"/>
      <c r="B6" s="3459"/>
      <c r="C6" s="1494" t="s">
        <v>911</v>
      </c>
      <c r="D6" s="850" t="e">
        <f ca="1">NUMBERSTRING(INT(D5*10000),2)&amp;"元整"</f>
        <v>#REF!</v>
      </c>
      <c r="E6" s="1491"/>
    </row>
    <row r="7" spans="1:5" ht="15.75">
      <c r="A7" s="1491"/>
      <c r="B7" s="3464"/>
      <c r="C7" s="1495" t="s">
        <v>912</v>
      </c>
      <c r="D7" s="851" t="e">
        <f ca="1">结果表!H102</f>
        <v>#REF!</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t="e">
        <f ca="1">结果表!H107</f>
        <v>#REF!</v>
      </c>
      <c r="E13" s="1491"/>
    </row>
    <row r="14" spans="1:5" ht="15.75">
      <c r="A14" s="1491"/>
      <c r="B14" s="3459"/>
      <c r="C14" s="1494" t="s">
        <v>911</v>
      </c>
      <c r="D14" s="850" t="e">
        <f ca="1">NUMBERSTRING(INT(D13*10000),2)&amp;"元整"</f>
        <v>#REF!</v>
      </c>
      <c r="E14" s="1491"/>
    </row>
    <row r="15" spans="1:5" ht="15">
      <c r="A15" s="1491"/>
      <c r="B15" s="3464"/>
      <c r="C15" s="1495" t="s">
        <v>921</v>
      </c>
      <c r="D15" s="859" t="e">
        <f ca="1">结果表!H108</f>
        <v>#REF!</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29055</v>
      </c>
      <c r="C2" s="2" t="s">
        <v>106</v>
      </c>
      <c r="D2" s="199"/>
      <c r="E2" s="199"/>
      <c r="F2" s="199"/>
      <c r="G2" s="199"/>
    </row>
    <row r="3" spans="1:7" s="200" customFormat="1" ht="18" customHeight="1" thickBot="1">
      <c r="A3" s="203" t="s">
        <v>58</v>
      </c>
      <c r="B3" s="204">
        <f ca="1">ROUND(B2*10000/'数据-汇总表'!E3,0)</f>
        <v>9614494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30.22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30.22</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3184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3184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15</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30.22</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1.4E-3</v>
      </c>
      <c r="D44" s="238"/>
      <c r="E44" s="238"/>
      <c r="F44" s="239"/>
      <c r="G44" s="3642"/>
    </row>
    <row r="45" spans="1:7" s="214" customFormat="1" ht="13.5" customHeight="1">
      <c r="A45" s="777" t="s">
        <v>341</v>
      </c>
      <c r="B45" s="244" t="s">
        <v>85</v>
      </c>
      <c r="C45" s="245">
        <f>C46</f>
        <v>3</v>
      </c>
      <c r="D45" s="235">
        <f>C47</f>
        <v>4.4999999999999997E-3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18</v>
      </c>
      <c r="D51" s="232"/>
      <c r="E51" s="232"/>
      <c r="F51" s="264"/>
      <c r="G51" s="234" t="s">
        <v>37</v>
      </c>
    </row>
    <row r="52" spans="1:7" s="208" customFormat="1" ht="16.5" thickBot="1">
      <c r="A52" s="265" t="s">
        <v>38</v>
      </c>
      <c r="B52" s="266"/>
      <c r="C52" s="267">
        <f ca="1">C31+C51</f>
        <v>29055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2842</v>
      </c>
      <c r="B1" s="3780"/>
      <c r="C1" s="3780"/>
      <c r="D1" s="3780"/>
      <c r="E1" s="3780"/>
      <c r="F1" s="3780"/>
      <c r="G1" s="3781"/>
      <c r="I1" s="3223" t="s">
        <v>2843</v>
      </c>
      <c r="J1" s="3224" t="s">
        <v>2844</v>
      </c>
      <c r="K1" s="3224" t="s">
        <v>2845</v>
      </c>
      <c r="L1" s="3224" t="s">
        <v>2846</v>
      </c>
      <c r="M1" s="3224" t="s">
        <v>2847</v>
      </c>
      <c r="N1" s="3224" t="s">
        <v>2848</v>
      </c>
      <c r="O1" s="3224" t="s">
        <v>2849</v>
      </c>
      <c r="P1" s="3224" t="s">
        <v>2850</v>
      </c>
      <c r="Q1" s="3224" t="s">
        <v>2851</v>
      </c>
      <c r="R1" s="3224" t="s">
        <v>2852</v>
      </c>
      <c r="S1" s="3224" t="s">
        <v>2853</v>
      </c>
      <c r="T1" s="3225" t="s">
        <v>2854</v>
      </c>
    </row>
    <row r="2" spans="1:20" ht="12" thickBot="1">
      <c r="A2" s="3227" t="s">
        <v>2855</v>
      </c>
      <c r="B2" s="3227"/>
      <c r="C2" s="3227"/>
      <c r="D2" s="3227"/>
      <c r="E2" s="3227"/>
      <c r="F2" s="3227"/>
      <c r="G2" s="3228" t="s">
        <v>2856</v>
      </c>
      <c r="I2" s="3229" t="s">
        <v>2857</v>
      </c>
      <c r="J2" s="3229" t="s">
        <v>2858</v>
      </c>
      <c r="K2" s="3229" t="s">
        <v>2859</v>
      </c>
      <c r="L2" s="3229" t="s">
        <v>2860</v>
      </c>
      <c r="M2" s="3229" t="s">
        <v>2861</v>
      </c>
      <c r="N2" s="3229" t="s">
        <v>2862</v>
      </c>
      <c r="O2" s="3229" t="s">
        <v>2863</v>
      </c>
      <c r="P2" s="3229" t="s">
        <v>2864</v>
      </c>
      <c r="Q2" s="3229" t="s">
        <v>2865</v>
      </c>
      <c r="R2" s="3229" t="s">
        <v>2866</v>
      </c>
      <c r="S2" s="3229" t="s">
        <v>2867</v>
      </c>
      <c r="T2" s="3229" t="s">
        <v>2868</v>
      </c>
    </row>
    <row r="3" spans="1:20" s="3235" customFormat="1">
      <c r="A3" s="3778" t="s">
        <v>2869</v>
      </c>
      <c r="B3" s="3230"/>
      <c r="C3" s="3231" t="s">
        <v>2814</v>
      </c>
      <c r="D3" s="3231" t="s">
        <v>2870</v>
      </c>
      <c r="E3" s="3231" t="s">
        <v>2816</v>
      </c>
      <c r="F3" s="3231" t="s">
        <v>2871</v>
      </c>
      <c r="G3" s="3231" t="s">
        <v>2634</v>
      </c>
      <c r="H3" s="3232"/>
      <c r="I3" s="3233" t="s">
        <v>2872</v>
      </c>
      <c r="J3" s="3234" t="s">
        <v>128</v>
      </c>
      <c r="K3" s="3234" t="s">
        <v>129</v>
      </c>
      <c r="L3" s="3233" t="s">
        <v>130</v>
      </c>
      <c r="M3" s="3233" t="s">
        <v>131</v>
      </c>
      <c r="N3" s="3233" t="s">
        <v>132</v>
      </c>
      <c r="O3" s="3233" t="s">
        <v>133</v>
      </c>
      <c r="P3" s="3233" t="s">
        <v>134</v>
      </c>
      <c r="Q3" s="3233" t="s">
        <v>135</v>
      </c>
      <c r="R3" s="3233" t="s">
        <v>136</v>
      </c>
      <c r="S3" s="3233" t="s">
        <v>2873</v>
      </c>
      <c r="T3" s="3233" t="s">
        <v>2874</v>
      </c>
    </row>
    <row r="4" spans="1:20" s="3235" customFormat="1" ht="12" thickBot="1">
      <c r="A4" s="3779"/>
      <c r="B4" s="3236" t="s">
        <v>2875</v>
      </c>
      <c r="C4" s="3236" t="s">
        <v>2876</v>
      </c>
      <c r="D4" s="3236" t="s">
        <v>2876</v>
      </c>
      <c r="E4" s="3236" t="s">
        <v>2876</v>
      </c>
      <c r="F4" s="3237" t="s">
        <v>2876</v>
      </c>
      <c r="G4" s="3237" t="s">
        <v>2876</v>
      </c>
      <c r="H4" s="3232"/>
      <c r="I4" s="3234" t="s">
        <v>137</v>
      </c>
      <c r="J4" s="3234" t="s">
        <v>111</v>
      </c>
      <c r="K4" s="3234" t="s">
        <v>138</v>
      </c>
      <c r="L4" s="3233" t="s">
        <v>139</v>
      </c>
      <c r="M4" s="3233" t="s">
        <v>140</v>
      </c>
      <c r="N4" s="3233" t="s">
        <v>141</v>
      </c>
      <c r="O4" s="3233" t="s">
        <v>142</v>
      </c>
      <c r="P4" s="3233" t="s">
        <v>143</v>
      </c>
      <c r="Q4" s="3233" t="s">
        <v>2877</v>
      </c>
      <c r="R4" s="3233" t="s">
        <v>2878</v>
      </c>
      <c r="S4" s="3233" t="s">
        <v>2879</v>
      </c>
      <c r="T4" s="3233" t="s">
        <v>2880</v>
      </c>
    </row>
    <row r="5" spans="1:20">
      <c r="A5" s="3238" t="s">
        <v>2843</v>
      </c>
      <c r="B5" s="3229" t="s">
        <v>2857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2881</v>
      </c>
      <c r="R5" s="3233" t="s">
        <v>2882</v>
      </c>
      <c r="S5" s="3233" t="s">
        <v>153</v>
      </c>
      <c r="T5" s="3233" t="s">
        <v>2883</v>
      </c>
    </row>
    <row r="6" spans="1:20" ht="12" thickBot="1">
      <c r="A6" s="3233" t="s">
        <v>144</v>
      </c>
      <c r="B6" s="3233" t="s">
        <v>2872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2884</v>
      </c>
      <c r="Q6" s="3233" t="s">
        <v>2885</v>
      </c>
      <c r="R6" s="3233" t="s">
        <v>161</v>
      </c>
      <c r="S6" s="3233" t="s">
        <v>2886</v>
      </c>
      <c r="T6" s="3233" t="s">
        <v>2887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2888</v>
      </c>
      <c r="Q7" s="3233" t="s">
        <v>2889</v>
      </c>
      <c r="R7" s="3233" t="s">
        <v>2890</v>
      </c>
      <c r="S7" s="3233" t="s">
        <v>2891</v>
      </c>
      <c r="T7" s="3233" t="s">
        <v>2892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2893</v>
      </c>
      <c r="Q8" s="3233" t="s">
        <v>174</v>
      </c>
      <c r="R8" s="3233" t="s">
        <v>2894</v>
      </c>
      <c r="S8" s="3233" t="s">
        <v>2895</v>
      </c>
      <c r="T8" s="3240" t="s">
        <v>2896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2897</v>
      </c>
      <c r="Q9" s="3233" t="s">
        <v>182</v>
      </c>
      <c r="R9" s="3233" t="s">
        <v>183</v>
      </c>
      <c r="S9" s="3233" t="s">
        <v>200</v>
      </c>
    </row>
    <row r="10" spans="1:20">
      <c r="A10" s="3238" t="s">
        <v>184</v>
      </c>
      <c r="B10" s="3229" t="s">
        <v>2858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2899</v>
      </c>
      <c r="P11" s="3233" t="s">
        <v>191</v>
      </c>
      <c r="Q11" s="3233" t="s">
        <v>199</v>
      </c>
      <c r="R11" s="3233" t="s">
        <v>2900</v>
      </c>
      <c r="S11" s="3233" t="s">
        <v>2901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2902</v>
      </c>
      <c r="P12" s="3233" t="s">
        <v>2903</v>
      </c>
      <c r="Q12" s="3233" t="s">
        <v>2904</v>
      </c>
      <c r="R12" s="3233" t="s">
        <v>2905</v>
      </c>
      <c r="S12" s="3233" t="s">
        <v>2906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2908</v>
      </c>
      <c r="K14" s="3234" t="s">
        <v>215</v>
      </c>
      <c r="L14" s="3233" t="s">
        <v>216</v>
      </c>
      <c r="M14" s="3233" t="s">
        <v>217</v>
      </c>
      <c r="N14" s="3233" t="s">
        <v>218</v>
      </c>
      <c r="O14" s="3233" t="s">
        <v>240</v>
      </c>
      <c r="P14" s="3233" t="s">
        <v>213</v>
      </c>
      <c r="Q14" s="3233" t="s">
        <v>2909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2910</v>
      </c>
      <c r="P15" s="3233" t="s">
        <v>2911</v>
      </c>
      <c r="Q15" s="3233" t="s">
        <v>242</v>
      </c>
      <c r="R15" s="3233" t="s">
        <v>2912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2913</v>
      </c>
      <c r="P16" s="3233" t="s">
        <v>227</v>
      </c>
      <c r="Q16" s="3233" t="s">
        <v>250</v>
      </c>
      <c r="R16" s="3233" t="s">
        <v>207</v>
      </c>
      <c r="S16" s="3233" t="s">
        <v>2914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2915</v>
      </c>
      <c r="P17" s="3233" t="s">
        <v>2916</v>
      </c>
      <c r="Q17" s="3233" t="s">
        <v>256</v>
      </c>
      <c r="R17" s="3233" t="s">
        <v>2917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2918</v>
      </c>
      <c r="P18" s="3233" t="s">
        <v>241</v>
      </c>
      <c r="Q18" s="3233" t="s">
        <v>2919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2920</v>
      </c>
      <c r="P19" s="3233" t="s">
        <v>249</v>
      </c>
      <c r="Q19" s="3233" t="s">
        <v>2921</v>
      </c>
      <c r="R19" s="3233" t="s">
        <v>265</v>
      </c>
      <c r="S19" s="3233" t="s">
        <v>2922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2923</v>
      </c>
      <c r="P20" s="3233" t="s">
        <v>2924</v>
      </c>
      <c r="Q20" s="3233" t="s">
        <v>290</v>
      </c>
      <c r="R20" s="3233" t="s">
        <v>2925</v>
      </c>
      <c r="S20" s="3233" t="s">
        <v>277</v>
      </c>
    </row>
    <row r="21" spans="1:19" ht="14.25" customHeight="1" thickBot="1">
      <c r="A21" s="3233" t="s">
        <v>184</v>
      </c>
      <c r="B21" s="3234" t="s">
        <v>208</v>
      </c>
      <c r="C21" s="3233">
        <v>32370</v>
      </c>
      <c r="D21" s="3233">
        <v>26730</v>
      </c>
      <c r="E21" s="3233">
        <v>26640</v>
      </c>
      <c r="F21" s="3233"/>
      <c r="G21" s="3233">
        <v>19440</v>
      </c>
      <c r="J21" s="3240" t="s">
        <v>2926</v>
      </c>
      <c r="K21" s="3234" t="s">
        <v>267</v>
      </c>
      <c r="L21" s="3233" t="s">
        <v>268</v>
      </c>
      <c r="M21" s="3233" t="s">
        <v>269</v>
      </c>
      <c r="N21" s="3233" t="s">
        <v>270</v>
      </c>
      <c r="O21" s="3233" t="s">
        <v>264</v>
      </c>
      <c r="P21" s="3233" t="s">
        <v>283</v>
      </c>
      <c r="Q21" s="3233" t="s">
        <v>293</v>
      </c>
      <c r="R21" s="3233" t="s">
        <v>2927</v>
      </c>
      <c r="S21" s="3240" t="s">
        <v>2928</v>
      </c>
    </row>
    <row r="22" spans="1:19" ht="14.25" customHeight="1">
      <c r="A22" s="3233" t="s">
        <v>184</v>
      </c>
      <c r="B22" s="3234" t="s">
        <v>2908</v>
      </c>
      <c r="C22" s="3233">
        <v>29830</v>
      </c>
      <c r="D22" s="3233">
        <v>27600</v>
      </c>
      <c r="E22" s="3233">
        <v>28150</v>
      </c>
      <c r="F22" s="3233"/>
      <c r="G22" s="3233">
        <v>20080</v>
      </c>
      <c r="K22" s="3234" t="s">
        <v>2929</v>
      </c>
      <c r="L22" s="3233" t="s">
        <v>272</v>
      </c>
      <c r="M22" s="3233" t="s">
        <v>273</v>
      </c>
      <c r="N22" s="3233" t="s">
        <v>274</v>
      </c>
      <c r="O22" s="3233" t="s">
        <v>2930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2931</v>
      </c>
      <c r="L23" s="3233" t="s">
        <v>278</v>
      </c>
      <c r="M23" s="3233" t="s">
        <v>279</v>
      </c>
      <c r="N23" s="3233" t="s">
        <v>2932</v>
      </c>
      <c r="O23" s="3233" t="s">
        <v>2933</v>
      </c>
      <c r="P23" s="3233" t="s">
        <v>289</v>
      </c>
      <c r="Q23" s="3233" t="s">
        <v>298</v>
      </c>
      <c r="R23" s="3233" t="s">
        <v>2934</v>
      </c>
    </row>
    <row r="24" spans="1:19" ht="14.25" customHeight="1">
      <c r="A24" s="3233" t="s">
        <v>184</v>
      </c>
      <c r="B24" s="3234" t="s">
        <v>230</v>
      </c>
      <c r="C24" s="3233">
        <v>27930</v>
      </c>
      <c r="D24" s="3233">
        <v>32260</v>
      </c>
      <c r="E24" s="3233">
        <v>32120</v>
      </c>
      <c r="F24" s="3233"/>
      <c r="G24" s="3233">
        <v>23470</v>
      </c>
      <c r="K24" s="3234" t="s">
        <v>2935</v>
      </c>
      <c r="L24" s="3233" t="s">
        <v>281</v>
      </c>
      <c r="M24" s="3233" t="s">
        <v>282</v>
      </c>
      <c r="N24" s="3233" t="s">
        <v>2936</v>
      </c>
      <c r="O24" s="3233" t="s">
        <v>285</v>
      </c>
      <c r="P24" s="3233" t="s">
        <v>2937</v>
      </c>
      <c r="Q24" s="3242" t="s">
        <v>2938</v>
      </c>
      <c r="R24" s="3233" t="s">
        <v>2939</v>
      </c>
    </row>
    <row r="25" spans="1:19" ht="14.25" customHeight="1">
      <c r="A25" s="3233" t="s">
        <v>184</v>
      </c>
      <c r="B25" s="3234" t="s">
        <v>235</v>
      </c>
      <c r="C25" s="3233">
        <v>32230</v>
      </c>
      <c r="D25" s="3233">
        <v>29640</v>
      </c>
      <c r="E25" s="3233">
        <v>29510</v>
      </c>
      <c r="F25" s="3233"/>
      <c r="G25" s="3233">
        <v>21560</v>
      </c>
      <c r="K25" s="3234" t="s">
        <v>2940</v>
      </c>
      <c r="L25" s="3233" t="s">
        <v>2941</v>
      </c>
      <c r="M25" s="3233" t="s">
        <v>284</v>
      </c>
      <c r="N25" s="3233" t="s">
        <v>292</v>
      </c>
      <c r="O25" s="3233" t="s">
        <v>288</v>
      </c>
      <c r="P25" s="3233" t="s">
        <v>275</v>
      </c>
      <c r="Q25" s="3242" t="s">
        <v>271</v>
      </c>
      <c r="R25" s="3233" t="s">
        <v>2942</v>
      </c>
    </row>
    <row r="26" spans="1:19" ht="14.25" customHeight="1" thickBot="1">
      <c r="A26" s="3233" t="s">
        <v>184</v>
      </c>
      <c r="B26" s="3234" t="s">
        <v>244</v>
      </c>
      <c r="C26" s="3233">
        <v>31690</v>
      </c>
      <c r="D26" s="3233">
        <v>27650</v>
      </c>
      <c r="E26" s="3233">
        <v>28200</v>
      </c>
      <c r="F26" s="3233"/>
      <c r="G26" s="3233">
        <v>20110</v>
      </c>
      <c r="K26" s="3239" t="s">
        <v>2943</v>
      </c>
      <c r="L26" s="3233" t="s">
        <v>2944</v>
      </c>
      <c r="M26" s="3233" t="s">
        <v>287</v>
      </c>
      <c r="N26" s="3233" t="s">
        <v>294</v>
      </c>
      <c r="O26" s="3233" t="s">
        <v>2945</v>
      </c>
      <c r="P26" s="3233" t="s">
        <v>2946</v>
      </c>
      <c r="Q26" s="3242" t="s">
        <v>276</v>
      </c>
      <c r="R26" s="3233" t="s">
        <v>2947</v>
      </c>
    </row>
    <row r="27" spans="1:19" ht="14.25" customHeight="1">
      <c r="A27" s="3233" t="s">
        <v>184</v>
      </c>
      <c r="B27" s="3234" t="s">
        <v>251</v>
      </c>
      <c r="C27" s="3233">
        <v>29610</v>
      </c>
      <c r="D27" s="3233">
        <v>27770</v>
      </c>
      <c r="E27" s="3233">
        <v>28300</v>
      </c>
      <c r="F27" s="3233"/>
      <c r="G27" s="3233">
        <v>20210</v>
      </c>
      <c r="L27" s="3233" t="s">
        <v>2948</v>
      </c>
      <c r="M27" s="3233" t="s">
        <v>291</v>
      </c>
      <c r="N27" s="3233" t="s">
        <v>297</v>
      </c>
      <c r="O27" s="3233" t="s">
        <v>2949</v>
      </c>
      <c r="P27" s="3233" t="s">
        <v>2950</v>
      </c>
      <c r="Q27" s="3233" t="s">
        <v>2951</v>
      </c>
      <c r="R27" s="3233" t="s">
        <v>2952</v>
      </c>
    </row>
    <row r="28" spans="1:19" ht="14.25" customHeight="1">
      <c r="A28" s="3233" t="s">
        <v>184</v>
      </c>
      <c r="B28" s="3234" t="s">
        <v>259</v>
      </c>
      <c r="C28" s="3233"/>
      <c r="D28" s="3233">
        <v>31520</v>
      </c>
      <c r="E28" s="3233">
        <v>31410</v>
      </c>
      <c r="F28" s="3233"/>
      <c r="G28" s="3233">
        <v>22940</v>
      </c>
      <c r="L28" s="3233" t="s">
        <v>2953</v>
      </c>
      <c r="M28" s="3233" t="s">
        <v>2954</v>
      </c>
      <c r="N28" s="3233" t="s">
        <v>2955</v>
      </c>
      <c r="O28" s="3233" t="s">
        <v>2956</v>
      </c>
      <c r="P28" s="3233" t="s">
        <v>2957</v>
      </c>
      <c r="Q28" s="3233" t="s">
        <v>2958</v>
      </c>
      <c r="R28" s="3233" t="s">
        <v>2959</v>
      </c>
    </row>
    <row r="29" spans="1:19" ht="14.25" customHeight="1" thickBot="1">
      <c r="A29" s="3241" t="s">
        <v>184</v>
      </c>
      <c r="B29" s="3243" t="s">
        <v>2926</v>
      </c>
      <c r="C29" s="3244"/>
      <c r="D29" s="3244">
        <v>29460</v>
      </c>
      <c r="E29" s="3244">
        <v>28640</v>
      </c>
      <c r="F29" s="3244"/>
      <c r="G29" s="3244">
        <v>21430</v>
      </c>
      <c r="L29" s="3233" t="s">
        <v>2960</v>
      </c>
      <c r="M29" s="3233" t="s">
        <v>2961</v>
      </c>
      <c r="N29" s="3233" t="s">
        <v>2962</v>
      </c>
      <c r="O29" s="3233" t="s">
        <v>2963</v>
      </c>
      <c r="P29" s="3233" t="s">
        <v>2964</v>
      </c>
      <c r="Q29" s="3233" t="s">
        <v>2965</v>
      </c>
      <c r="R29" s="3233" t="s">
        <v>280</v>
      </c>
    </row>
    <row r="30" spans="1:19" ht="14.25" customHeight="1">
      <c r="A30" s="3238" t="s">
        <v>296</v>
      </c>
      <c r="B30" s="3229" t="s">
        <v>2859</v>
      </c>
      <c r="C30" s="3229">
        <v>26890</v>
      </c>
      <c r="D30" s="3229">
        <v>26770</v>
      </c>
      <c r="E30" s="3229">
        <v>25700</v>
      </c>
      <c r="F30" s="3229">
        <v>8180</v>
      </c>
      <c r="G30" s="3245">
        <v>18740</v>
      </c>
      <c r="L30" s="3233" t="s">
        <v>2966</v>
      </c>
      <c r="M30" s="3233" t="s">
        <v>2967</v>
      </c>
      <c r="N30" s="3233" t="s">
        <v>2968</v>
      </c>
      <c r="O30" s="3233" t="s">
        <v>2969</v>
      </c>
      <c r="P30" s="3233" t="s">
        <v>2970</v>
      </c>
      <c r="Q30" s="3233" t="s">
        <v>2971</v>
      </c>
      <c r="R30" s="3233" t="s">
        <v>2972</v>
      </c>
    </row>
    <row r="31" spans="1:19" ht="14.25" customHeight="1">
      <c r="A31" s="3233" t="s">
        <v>296</v>
      </c>
      <c r="B31" s="3234" t="s">
        <v>129</v>
      </c>
      <c r="C31" s="3233">
        <v>24550</v>
      </c>
      <c r="D31" s="3233">
        <v>23990</v>
      </c>
      <c r="E31" s="3233">
        <v>22930</v>
      </c>
      <c r="F31" s="3233">
        <v>7470</v>
      </c>
      <c r="G31" s="3246">
        <v>16790</v>
      </c>
      <c r="L31" s="3233" t="s">
        <v>2973</v>
      </c>
      <c r="M31" s="3233" t="s">
        <v>2974</v>
      </c>
      <c r="N31" s="3233" t="s">
        <v>2975</v>
      </c>
      <c r="O31" s="3233" t="s">
        <v>2976</v>
      </c>
      <c r="P31" s="3233" t="s">
        <v>2977</v>
      </c>
      <c r="Q31" s="3233" t="s">
        <v>2978</v>
      </c>
      <c r="R31" s="3233" t="s">
        <v>2979</v>
      </c>
    </row>
    <row r="32" spans="1:19" ht="14.25" customHeight="1" thickBot="1">
      <c r="A32" s="3233" t="s">
        <v>296</v>
      </c>
      <c r="B32" s="3234" t="s">
        <v>138</v>
      </c>
      <c r="C32" s="3233">
        <v>27210</v>
      </c>
      <c r="D32" s="3233">
        <v>23240</v>
      </c>
      <c r="E32" s="3233">
        <v>23260</v>
      </c>
      <c r="F32" s="3233">
        <v>7130</v>
      </c>
      <c r="G32" s="3246">
        <v>16270</v>
      </c>
      <c r="L32" s="3233" t="s">
        <v>2980</v>
      </c>
      <c r="M32" s="3233" t="s">
        <v>2981</v>
      </c>
      <c r="N32" s="3233" t="s">
        <v>300</v>
      </c>
      <c r="O32" s="3233" t="s">
        <v>2982</v>
      </c>
      <c r="P32" s="3233" t="s">
        <v>299</v>
      </c>
      <c r="Q32" s="3233" t="s">
        <v>2983</v>
      </c>
      <c r="R32" s="3240" t="s">
        <v>2984</v>
      </c>
    </row>
    <row r="33" spans="1:17" ht="14.25" customHeight="1" thickBot="1">
      <c r="A33" s="3233" t="s">
        <v>296</v>
      </c>
      <c r="B33" s="3234" t="s">
        <v>147</v>
      </c>
      <c r="C33" s="3233">
        <v>27300</v>
      </c>
      <c r="D33" s="3233">
        <v>22980</v>
      </c>
      <c r="E33" s="3233">
        <v>24260</v>
      </c>
      <c r="F33" s="3233">
        <v>5860</v>
      </c>
      <c r="G33" s="3246">
        <v>16090</v>
      </c>
      <c r="L33" s="3240" t="s">
        <v>2985</v>
      </c>
      <c r="M33" s="3233" t="s">
        <v>2986</v>
      </c>
      <c r="N33" s="3233" t="s">
        <v>301</v>
      </c>
      <c r="O33" s="3233" t="s">
        <v>2987</v>
      </c>
      <c r="P33" s="3233" t="s">
        <v>2988</v>
      </c>
      <c r="Q33" s="3233" t="s">
        <v>2989</v>
      </c>
    </row>
    <row r="34" spans="1:17" ht="14.25" customHeight="1">
      <c r="A34" s="3233" t="s">
        <v>296</v>
      </c>
      <c r="B34" s="3234" t="s">
        <v>156</v>
      </c>
      <c r="C34" s="3233">
        <v>23090</v>
      </c>
      <c r="D34" s="3233">
        <v>23390</v>
      </c>
      <c r="E34" s="3233">
        <v>23510</v>
      </c>
      <c r="F34" s="3233">
        <v>6700</v>
      </c>
      <c r="G34" s="3246">
        <v>16370</v>
      </c>
      <c r="M34" s="3233" t="s">
        <v>2990</v>
      </c>
      <c r="N34" s="3233" t="s">
        <v>302</v>
      </c>
      <c r="O34" s="3233" t="s">
        <v>2991</v>
      </c>
      <c r="P34" s="3233" t="s">
        <v>2992</v>
      </c>
      <c r="Q34" s="3233" t="s">
        <v>2993</v>
      </c>
    </row>
    <row r="35" spans="1:17" ht="14.25" customHeight="1">
      <c r="A35" s="3233" t="s">
        <v>296</v>
      </c>
      <c r="B35" s="3234" t="s">
        <v>163</v>
      </c>
      <c r="C35" s="3233">
        <v>27270</v>
      </c>
      <c r="D35" s="3233">
        <v>24270</v>
      </c>
      <c r="E35" s="3233">
        <v>24950</v>
      </c>
      <c r="F35" s="3233">
        <v>6600</v>
      </c>
      <c r="G35" s="3246">
        <v>16990</v>
      </c>
      <c r="M35" s="3233" t="s">
        <v>2994</v>
      </c>
      <c r="N35" s="3233" t="s">
        <v>2995</v>
      </c>
      <c r="O35" s="3233" t="s">
        <v>2996</v>
      </c>
      <c r="P35" s="3233" t="s">
        <v>2997</v>
      </c>
      <c r="Q35" s="3233" t="s">
        <v>2998</v>
      </c>
    </row>
    <row r="36" spans="1:17" ht="14.25" customHeight="1">
      <c r="A36" s="3233" t="s">
        <v>296</v>
      </c>
      <c r="B36" s="3234" t="s">
        <v>169</v>
      </c>
      <c r="C36" s="3233">
        <v>23490</v>
      </c>
      <c r="D36" s="3233">
        <v>23020</v>
      </c>
      <c r="E36" s="3233">
        <v>25230</v>
      </c>
      <c r="F36" s="3233">
        <v>6780</v>
      </c>
      <c r="G36" s="3246">
        <v>16120</v>
      </c>
      <c r="M36" s="3233" t="s">
        <v>2999</v>
      </c>
      <c r="N36" s="3233" t="s">
        <v>3000</v>
      </c>
      <c r="O36" s="3233" t="s">
        <v>3001</v>
      </c>
      <c r="P36" s="3233" t="s">
        <v>3002</v>
      </c>
      <c r="Q36" s="3233" t="s">
        <v>3003</v>
      </c>
    </row>
    <row r="37" spans="1:17" ht="14.25" customHeight="1">
      <c r="A37" s="3233" t="s">
        <v>296</v>
      </c>
      <c r="B37" s="3234" t="s">
        <v>176</v>
      </c>
      <c r="C37" s="3233">
        <v>24380</v>
      </c>
      <c r="D37" s="3233">
        <v>22240</v>
      </c>
      <c r="E37" s="3233">
        <v>25980</v>
      </c>
      <c r="F37" s="3233">
        <v>8160</v>
      </c>
      <c r="G37" s="3246">
        <v>15570</v>
      </c>
      <c r="M37" s="3233" t="s">
        <v>3004</v>
      </c>
      <c r="N37" s="3233" t="s">
        <v>3005</v>
      </c>
      <c r="O37" s="3233" t="s">
        <v>3006</v>
      </c>
      <c r="P37" s="3233" t="s">
        <v>3007</v>
      </c>
      <c r="Q37" s="3233" t="s">
        <v>3008</v>
      </c>
    </row>
    <row r="38" spans="1:17" ht="14.25" customHeight="1">
      <c r="A38" s="3233" t="s">
        <v>296</v>
      </c>
      <c r="B38" s="3234" t="s">
        <v>186</v>
      </c>
      <c r="C38" s="3233">
        <v>23120</v>
      </c>
      <c r="D38" s="3233">
        <v>24630</v>
      </c>
      <c r="E38" s="3233">
        <v>25030</v>
      </c>
      <c r="F38" s="3233">
        <v>7710</v>
      </c>
      <c r="G38" s="3246">
        <v>17240</v>
      </c>
      <c r="M38" s="3233" t="s">
        <v>3009</v>
      </c>
      <c r="N38" s="3233" t="s">
        <v>3010</v>
      </c>
      <c r="O38" s="3233" t="s">
        <v>3011</v>
      </c>
      <c r="P38" s="3233" t="s">
        <v>3012</v>
      </c>
      <c r="Q38" s="3233" t="s">
        <v>3013</v>
      </c>
    </row>
    <row r="39" spans="1:17" ht="14.25" customHeight="1">
      <c r="A39" s="3233" t="s">
        <v>296</v>
      </c>
      <c r="B39" s="3234" t="s">
        <v>195</v>
      </c>
      <c r="C39" s="3233">
        <v>22330</v>
      </c>
      <c r="D39" s="3233">
        <v>21140</v>
      </c>
      <c r="E39" s="3233">
        <v>23970</v>
      </c>
      <c r="F39" s="3233">
        <v>7940</v>
      </c>
      <c r="G39" s="3246">
        <v>14790</v>
      </c>
      <c r="M39" s="3233" t="s">
        <v>3014</v>
      </c>
      <c r="N39" s="3233" t="s">
        <v>3015</v>
      </c>
      <c r="O39" s="3233" t="s">
        <v>3016</v>
      </c>
      <c r="P39" s="3233" t="s">
        <v>3017</v>
      </c>
      <c r="Q39" s="3233" t="s">
        <v>3018</v>
      </c>
    </row>
    <row r="40" spans="1:17" ht="14.25" customHeight="1">
      <c r="A40" s="3233" t="s">
        <v>296</v>
      </c>
      <c r="B40" s="3234" t="s">
        <v>202</v>
      </c>
      <c r="C40" s="3233">
        <v>24740</v>
      </c>
      <c r="D40" s="3233">
        <v>24690</v>
      </c>
      <c r="E40" s="3233">
        <v>22610</v>
      </c>
      <c r="F40" s="3233"/>
      <c r="G40" s="3246">
        <v>17280</v>
      </c>
      <c r="M40" s="3233" t="s">
        <v>3019</v>
      </c>
      <c r="N40" s="3233" t="s">
        <v>3020</v>
      </c>
      <c r="O40" s="3233" t="s">
        <v>3021</v>
      </c>
      <c r="P40" s="3233" t="s">
        <v>3022</v>
      </c>
      <c r="Q40" s="3233" t="s">
        <v>3023</v>
      </c>
    </row>
    <row r="41" spans="1:17" ht="14.25" customHeight="1" thickBot="1">
      <c r="A41" s="3233" t="s">
        <v>296</v>
      </c>
      <c r="B41" s="3234" t="s">
        <v>209</v>
      </c>
      <c r="C41" s="3233">
        <v>21220</v>
      </c>
      <c r="D41" s="3233">
        <v>21120</v>
      </c>
      <c r="E41" s="3233">
        <v>22590</v>
      </c>
      <c r="F41" s="3233"/>
      <c r="G41" s="3246">
        <v>14780</v>
      </c>
      <c r="M41" s="3240" t="s">
        <v>3024</v>
      </c>
      <c r="N41" s="3233" t="s">
        <v>3025</v>
      </c>
      <c r="O41" s="3233" t="s">
        <v>3026</v>
      </c>
      <c r="P41" s="3233" t="s">
        <v>3027</v>
      </c>
      <c r="Q41" s="3233" t="s">
        <v>3028</v>
      </c>
    </row>
    <row r="42" spans="1:17" ht="14.25" customHeight="1">
      <c r="A42" s="3233" t="s">
        <v>296</v>
      </c>
      <c r="B42" s="3234" t="s">
        <v>215</v>
      </c>
      <c r="C42" s="3233">
        <v>24800</v>
      </c>
      <c r="D42" s="3233">
        <v>22280</v>
      </c>
      <c r="E42" s="3233">
        <v>24350</v>
      </c>
      <c r="F42" s="3233"/>
      <c r="G42" s="3246">
        <v>15590</v>
      </c>
      <c r="N42" s="3233" t="s">
        <v>3029</v>
      </c>
      <c r="O42" s="3233" t="s">
        <v>3030</v>
      </c>
      <c r="P42" s="3233" t="s">
        <v>3031</v>
      </c>
      <c r="Q42" s="3233" t="s">
        <v>3032</v>
      </c>
    </row>
    <row r="43" spans="1:17" ht="14.25" customHeight="1">
      <c r="A43" s="3233" t="s">
        <v>3033</v>
      </c>
      <c r="B43" s="3234" t="s">
        <v>223</v>
      </c>
      <c r="C43" s="3233">
        <v>21210</v>
      </c>
      <c r="D43" s="3233">
        <v>21160</v>
      </c>
      <c r="E43" s="3233">
        <v>22650</v>
      </c>
      <c r="F43" s="3233"/>
      <c r="G43" s="3246">
        <v>14800</v>
      </c>
      <c r="N43" s="3233" t="s">
        <v>3034</v>
      </c>
      <c r="O43" s="3233" t="s">
        <v>3035</v>
      </c>
      <c r="P43" s="3233" t="s">
        <v>3036</v>
      </c>
      <c r="Q43" s="3233" t="s">
        <v>3037</v>
      </c>
    </row>
    <row r="44" spans="1:17" ht="14.25" customHeight="1" thickBot="1">
      <c r="A44" s="3233" t="s">
        <v>296</v>
      </c>
      <c r="B44" s="3234" t="s">
        <v>231</v>
      </c>
      <c r="C44" s="3233">
        <v>22370</v>
      </c>
      <c r="D44" s="3233">
        <v>23140</v>
      </c>
      <c r="E44" s="3233">
        <v>25090</v>
      </c>
      <c r="F44" s="3233"/>
      <c r="G44" s="3246">
        <v>16190</v>
      </c>
      <c r="N44" s="3233" t="s">
        <v>3038</v>
      </c>
      <c r="O44" s="3233" t="s">
        <v>3039</v>
      </c>
      <c r="P44" s="3240" t="s">
        <v>3040</v>
      </c>
      <c r="Q44" s="3233" t="s">
        <v>3041</v>
      </c>
    </row>
    <row r="45" spans="1:17" ht="14.25" customHeight="1" thickBot="1">
      <c r="A45" s="3233" t="s">
        <v>296</v>
      </c>
      <c r="B45" s="3234" t="s">
        <v>236</v>
      </c>
      <c r="C45" s="3233">
        <v>21240</v>
      </c>
      <c r="D45" s="3233">
        <v>27050</v>
      </c>
      <c r="E45" s="3233">
        <v>28000</v>
      </c>
      <c r="F45" s="3233"/>
      <c r="G45" s="3246">
        <v>18940</v>
      </c>
      <c r="N45" s="3233" t="s">
        <v>3042</v>
      </c>
      <c r="O45" s="3240" t="s">
        <v>3043</v>
      </c>
      <c r="Q45" s="3233" t="s">
        <v>3044</v>
      </c>
    </row>
    <row r="46" spans="1:17" ht="14.25" customHeight="1">
      <c r="A46" s="3233" t="s">
        <v>296</v>
      </c>
      <c r="B46" s="3234" t="s">
        <v>245</v>
      </c>
      <c r="C46" s="3233">
        <v>23240</v>
      </c>
      <c r="D46" s="3233">
        <v>23000</v>
      </c>
      <c r="E46" s="3233">
        <v>24980</v>
      </c>
      <c r="F46" s="3233"/>
      <c r="G46" s="3246">
        <v>16100</v>
      </c>
      <c r="N46" s="3233" t="s">
        <v>3045</v>
      </c>
      <c r="Q46" s="3233" t="s">
        <v>3046</v>
      </c>
    </row>
    <row r="47" spans="1:17" ht="14.25" customHeight="1">
      <c r="A47" s="3233" t="s">
        <v>296</v>
      </c>
      <c r="B47" s="3234" t="s">
        <v>252</v>
      </c>
      <c r="C47" s="3233">
        <v>27150</v>
      </c>
      <c r="D47" s="3233">
        <v>23310</v>
      </c>
      <c r="E47" s="3233">
        <v>25150</v>
      </c>
      <c r="F47" s="3233"/>
      <c r="G47" s="3246">
        <v>16310</v>
      </c>
      <c r="N47" s="3233" t="s">
        <v>3047</v>
      </c>
      <c r="Q47" s="3233" t="s">
        <v>3048</v>
      </c>
    </row>
    <row r="48" spans="1:17" ht="14.25" customHeight="1">
      <c r="A48" s="3233" t="s">
        <v>296</v>
      </c>
      <c r="B48" s="3234" t="s">
        <v>260</v>
      </c>
      <c r="C48" s="3233">
        <v>23100</v>
      </c>
      <c r="D48" s="3233">
        <v>21110</v>
      </c>
      <c r="E48" s="3233">
        <v>23080</v>
      </c>
      <c r="F48" s="3233"/>
      <c r="G48" s="3246">
        <v>14780</v>
      </c>
      <c r="N48" s="3233" t="s">
        <v>3049</v>
      </c>
      <c r="Q48" s="3233" t="s">
        <v>3050</v>
      </c>
    </row>
    <row r="49" spans="1:17" ht="14.25" customHeight="1">
      <c r="A49" s="3233" t="s">
        <v>296</v>
      </c>
      <c r="B49" s="3234" t="s">
        <v>267</v>
      </c>
      <c r="C49" s="3233">
        <v>23400</v>
      </c>
      <c r="D49" s="3233">
        <v>22920</v>
      </c>
      <c r="E49" s="3233">
        <v>24900</v>
      </c>
      <c r="F49" s="3233"/>
      <c r="G49" s="3246">
        <v>16040</v>
      </c>
      <c r="N49" s="3233" t="s">
        <v>3051</v>
      </c>
      <c r="Q49" s="3233" t="s">
        <v>3052</v>
      </c>
    </row>
    <row r="50" spans="1:17" ht="14.25" customHeight="1">
      <c r="A50" s="3233" t="s">
        <v>296</v>
      </c>
      <c r="B50" s="3234" t="s">
        <v>2929</v>
      </c>
      <c r="C50" s="3233">
        <v>21200</v>
      </c>
      <c r="D50" s="3233">
        <v>26540</v>
      </c>
      <c r="E50" s="3233">
        <v>23200</v>
      </c>
      <c r="F50" s="3233"/>
      <c r="G50" s="3246">
        <v>18580</v>
      </c>
      <c r="N50" s="3233" t="s">
        <v>3053</v>
      </c>
      <c r="Q50" s="3234" t="s">
        <v>3054</v>
      </c>
    </row>
    <row r="51" spans="1:17" ht="14.25" customHeight="1" thickBot="1">
      <c r="A51" s="3233" t="s">
        <v>296</v>
      </c>
      <c r="B51" s="3234" t="s">
        <v>2931</v>
      </c>
      <c r="C51" s="3233">
        <v>23000</v>
      </c>
      <c r="D51" s="3233">
        <v>23460</v>
      </c>
      <c r="E51" s="3233">
        <v>25290</v>
      </c>
      <c r="F51" s="3233"/>
      <c r="G51" s="3246">
        <v>16420</v>
      </c>
      <c r="N51" s="3233" t="s">
        <v>3055</v>
      </c>
      <c r="Q51" s="3240" t="s">
        <v>3056</v>
      </c>
    </row>
    <row r="52" spans="1:17" ht="14.25" customHeight="1">
      <c r="A52" s="3233" t="s">
        <v>296</v>
      </c>
      <c r="B52" s="3234" t="s">
        <v>2935</v>
      </c>
      <c r="C52" s="3233">
        <v>26660</v>
      </c>
      <c r="D52" s="3233">
        <v>22350</v>
      </c>
      <c r="E52" s="3233">
        <v>22920</v>
      </c>
      <c r="F52" s="3233"/>
      <c r="G52" s="3246">
        <v>15640</v>
      </c>
      <c r="N52" s="3233" t="s">
        <v>3057</v>
      </c>
    </row>
    <row r="53" spans="1:17" ht="14.25" customHeight="1">
      <c r="A53" s="3233" t="s">
        <v>296</v>
      </c>
      <c r="B53" s="3234" t="s">
        <v>2940</v>
      </c>
      <c r="C53" s="3233">
        <v>23580</v>
      </c>
      <c r="D53" s="3233"/>
      <c r="E53" s="3233">
        <v>24280</v>
      </c>
      <c r="F53" s="3233"/>
      <c r="G53" s="3246"/>
      <c r="N53" s="3233" t="s">
        <v>3058</v>
      </c>
    </row>
    <row r="54" spans="1:17" ht="14.25" customHeight="1" thickBot="1">
      <c r="A54" s="3247" t="s">
        <v>296</v>
      </c>
      <c r="B54" s="3239" t="s">
        <v>2943</v>
      </c>
      <c r="C54" s="3240">
        <v>22460</v>
      </c>
      <c r="D54" s="3240"/>
      <c r="E54" s="3240"/>
      <c r="F54" s="3240"/>
      <c r="G54" s="3248"/>
      <c r="N54" s="3233" t="s">
        <v>3059</v>
      </c>
    </row>
    <row r="55" spans="1:17" ht="14.25" customHeight="1">
      <c r="A55" s="3238" t="s">
        <v>110</v>
      </c>
      <c r="B55" s="3229" t="s">
        <v>3060</v>
      </c>
      <c r="C55" s="3233">
        <v>21970</v>
      </c>
      <c r="D55" s="3233">
        <v>20370</v>
      </c>
      <c r="E55" s="3233">
        <v>20180</v>
      </c>
      <c r="F55" s="3233">
        <v>5730</v>
      </c>
      <c r="G55" s="3233">
        <v>13820</v>
      </c>
      <c r="N55" s="3233" t="s">
        <v>3061</v>
      </c>
    </row>
    <row r="56" spans="1:17" ht="14.25" customHeight="1">
      <c r="A56" s="3233" t="s">
        <v>110</v>
      </c>
      <c r="B56" s="3233" t="s">
        <v>130</v>
      </c>
      <c r="C56" s="3233">
        <v>20470</v>
      </c>
      <c r="D56" s="3233">
        <v>20700</v>
      </c>
      <c r="E56" s="3233">
        <v>20380</v>
      </c>
      <c r="F56" s="3233">
        <v>4760</v>
      </c>
      <c r="G56" s="3233">
        <v>14050</v>
      </c>
      <c r="N56" s="3233" t="s">
        <v>3062</v>
      </c>
    </row>
    <row r="57" spans="1:17" ht="14.25" customHeight="1">
      <c r="A57" s="3233" t="s">
        <v>110</v>
      </c>
      <c r="B57" s="3233" t="s">
        <v>139</v>
      </c>
      <c r="C57" s="3233">
        <v>20790</v>
      </c>
      <c r="D57" s="3233">
        <v>21370</v>
      </c>
      <c r="E57" s="3233">
        <v>20890</v>
      </c>
      <c r="F57" s="3233">
        <v>4910</v>
      </c>
      <c r="G57" s="3233">
        <v>14510</v>
      </c>
      <c r="N57" s="3233" t="s">
        <v>3063</v>
      </c>
    </row>
    <row r="58" spans="1:17" ht="14.25" customHeight="1">
      <c r="A58" s="3233" t="s">
        <v>110</v>
      </c>
      <c r="B58" s="3233" t="s">
        <v>148</v>
      </c>
      <c r="C58" s="3233">
        <v>21460</v>
      </c>
      <c r="D58" s="3233">
        <v>20920</v>
      </c>
      <c r="E58" s="3233">
        <v>23410</v>
      </c>
      <c r="F58" s="3233">
        <v>5100</v>
      </c>
      <c r="G58" s="3233">
        <v>14200</v>
      </c>
      <c r="N58" s="3233" t="s">
        <v>3064</v>
      </c>
    </row>
    <row r="59" spans="1:17" ht="14.25" customHeight="1">
      <c r="A59" s="3233" t="s">
        <v>110</v>
      </c>
      <c r="B59" s="3233" t="s">
        <v>157</v>
      </c>
      <c r="C59" s="3233">
        <v>21000</v>
      </c>
      <c r="D59" s="3233">
        <v>21550</v>
      </c>
      <c r="E59" s="3233">
        <v>21150</v>
      </c>
      <c r="F59" s="3233">
        <v>5250</v>
      </c>
      <c r="G59" s="3233">
        <v>14630</v>
      </c>
      <c r="N59" s="3233" t="s">
        <v>3065</v>
      </c>
    </row>
    <row r="60" spans="1:17" ht="14.25" customHeight="1">
      <c r="A60" s="3233" t="s">
        <v>110</v>
      </c>
      <c r="B60" s="3233" t="s">
        <v>164</v>
      </c>
      <c r="C60" s="3233">
        <v>21640</v>
      </c>
      <c r="D60" s="3233">
        <v>21260</v>
      </c>
      <c r="E60" s="3233">
        <v>24040</v>
      </c>
      <c r="F60" s="3233">
        <v>4470</v>
      </c>
      <c r="G60" s="3233">
        <v>14430</v>
      </c>
      <c r="N60" s="3233" t="s">
        <v>3066</v>
      </c>
    </row>
    <row r="61" spans="1:17" ht="14.25" customHeight="1">
      <c r="A61" s="3233" t="s">
        <v>110</v>
      </c>
      <c r="B61" s="3233" t="s">
        <v>170</v>
      </c>
      <c r="C61" s="3233">
        <v>21330</v>
      </c>
      <c r="D61" s="3233">
        <v>18640</v>
      </c>
      <c r="E61" s="3233">
        <v>21190</v>
      </c>
      <c r="F61" s="3233">
        <v>4180</v>
      </c>
      <c r="G61" s="3233">
        <v>12650</v>
      </c>
      <c r="N61" s="3233" t="s">
        <v>3067</v>
      </c>
    </row>
    <row r="62" spans="1:17" ht="14.25" customHeight="1">
      <c r="A62" s="3233" t="s">
        <v>110</v>
      </c>
      <c r="B62" s="3233" t="s">
        <v>177</v>
      </c>
      <c r="C62" s="3233">
        <v>18710</v>
      </c>
      <c r="D62" s="3233">
        <v>19400</v>
      </c>
      <c r="E62" s="3233">
        <v>23750</v>
      </c>
      <c r="F62" s="3233">
        <v>4860</v>
      </c>
      <c r="G62" s="3233">
        <v>13170</v>
      </c>
      <c r="N62" s="3233" t="s">
        <v>3068</v>
      </c>
    </row>
    <row r="63" spans="1:17" ht="14.25" customHeight="1">
      <c r="A63" s="3233" t="s">
        <v>110</v>
      </c>
      <c r="B63" s="3233" t="s">
        <v>187</v>
      </c>
      <c r="C63" s="3233">
        <v>19480</v>
      </c>
      <c r="D63" s="3233">
        <v>16830</v>
      </c>
      <c r="E63" s="3233">
        <v>21590</v>
      </c>
      <c r="F63" s="3233">
        <v>4560</v>
      </c>
      <c r="G63" s="3233">
        <v>11420</v>
      </c>
      <c r="N63" s="3233" t="s">
        <v>3069</v>
      </c>
    </row>
    <row r="64" spans="1:17" ht="14.25" customHeight="1" thickBot="1">
      <c r="A64" s="3233" t="s">
        <v>110</v>
      </c>
      <c r="B64" s="3233" t="s">
        <v>196</v>
      </c>
      <c r="C64" s="3233">
        <v>16920</v>
      </c>
      <c r="D64" s="3233">
        <v>19190</v>
      </c>
      <c r="E64" s="3233">
        <v>22200</v>
      </c>
      <c r="F64" s="3233">
        <v>4390</v>
      </c>
      <c r="G64" s="3233">
        <v>13030</v>
      </c>
      <c r="N64" s="3240" t="s">
        <v>3070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2941</v>
      </c>
      <c r="C78" s="3233">
        <v>19820</v>
      </c>
      <c r="D78" s="3233">
        <v>19780</v>
      </c>
      <c r="E78" s="3233">
        <v>18560</v>
      </c>
      <c r="F78" s="3233"/>
      <c r="G78" s="3233">
        <v>13430</v>
      </c>
    </row>
    <row r="79" spans="1:7" s="3222" customFormat="1" ht="14.25" customHeight="1">
      <c r="A79" s="3233" t="s">
        <v>110</v>
      </c>
      <c r="B79" s="3233" t="s">
        <v>2944</v>
      </c>
      <c r="C79" s="3233">
        <v>21660</v>
      </c>
      <c r="D79" s="3233">
        <v>18000</v>
      </c>
      <c r="E79" s="3233">
        <v>22570</v>
      </c>
      <c r="F79" s="3233"/>
      <c r="G79" s="3233">
        <v>12220</v>
      </c>
    </row>
    <row r="80" spans="1:7" s="3222" customFormat="1" ht="14.25" customHeight="1">
      <c r="A80" s="3233" t="s">
        <v>110</v>
      </c>
      <c r="B80" s="3233" t="s">
        <v>2948</v>
      </c>
      <c r="C80" s="3233">
        <v>19850</v>
      </c>
      <c r="D80" s="3233"/>
      <c r="E80" s="3233">
        <v>21700</v>
      </c>
      <c r="F80" s="3233"/>
      <c r="G80" s="3233"/>
    </row>
    <row r="81" spans="1:7" s="3222" customFormat="1" ht="14.25" customHeight="1">
      <c r="A81" s="3233" t="s">
        <v>110</v>
      </c>
      <c r="B81" s="3233" t="s">
        <v>2953</v>
      </c>
      <c r="C81" s="3233">
        <v>18080</v>
      </c>
      <c r="D81" s="3233"/>
      <c r="E81" s="3233">
        <v>20900</v>
      </c>
      <c r="F81" s="3233"/>
      <c r="G81" s="3233"/>
    </row>
    <row r="82" spans="1:7" s="3222" customFormat="1" ht="14.25" customHeight="1">
      <c r="A82" s="3233" t="s">
        <v>110</v>
      </c>
      <c r="B82" s="3233" t="s">
        <v>2960</v>
      </c>
      <c r="C82" s="3233"/>
      <c r="D82" s="3233"/>
      <c r="E82" s="3233">
        <v>20840</v>
      </c>
      <c r="F82" s="3233"/>
      <c r="G82" s="3233"/>
    </row>
    <row r="83" spans="1:7" s="3222" customFormat="1" ht="14.25" customHeight="1">
      <c r="A83" s="3233" t="s">
        <v>110</v>
      </c>
      <c r="B83" s="3233" t="s">
        <v>3071</v>
      </c>
      <c r="C83" s="3233"/>
      <c r="D83" s="3233"/>
      <c r="E83" s="3233"/>
      <c r="F83" s="3233">
        <v>4770</v>
      </c>
      <c r="G83" s="3233"/>
    </row>
    <row r="84" spans="1:7" s="3222" customFormat="1" ht="14.25" customHeight="1">
      <c r="A84" s="3233" t="s">
        <v>110</v>
      </c>
      <c r="B84" s="3233" t="s">
        <v>3072</v>
      </c>
      <c r="C84" s="3233"/>
      <c r="D84" s="3233"/>
      <c r="E84" s="3233"/>
      <c r="F84" s="3233">
        <v>4600</v>
      </c>
      <c r="G84" s="3233"/>
    </row>
    <row r="85" spans="1:7" s="3222" customFormat="1" ht="14.25" customHeight="1">
      <c r="A85" s="3233" t="s">
        <v>110</v>
      </c>
      <c r="B85" s="3233" t="s">
        <v>3073</v>
      </c>
      <c r="C85" s="3233"/>
      <c r="D85" s="3233"/>
      <c r="E85" s="3233"/>
      <c r="F85" s="3233">
        <v>4680</v>
      </c>
      <c r="G85" s="3233"/>
    </row>
    <row r="86" spans="1:7" s="3222" customFormat="1" ht="14.25" customHeight="1" thickBot="1">
      <c r="A86" s="3241" t="s">
        <v>110</v>
      </c>
      <c r="B86" s="3243" t="s">
        <v>3074</v>
      </c>
      <c r="C86" s="3244">
        <v>16610</v>
      </c>
      <c r="D86" s="3244">
        <v>16540</v>
      </c>
      <c r="E86" s="3244">
        <v>18850</v>
      </c>
      <c r="F86" s="3244"/>
      <c r="G86" s="3244">
        <v>11220</v>
      </c>
    </row>
    <row r="87" spans="1:7" s="3222" customFormat="1" ht="14.25" customHeight="1">
      <c r="A87" s="3238" t="s">
        <v>303</v>
      </c>
      <c r="B87" s="3229" t="s">
        <v>3075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2954</v>
      </c>
      <c r="C113" s="3233">
        <v>15520</v>
      </c>
      <c r="D113" s="3233">
        <v>15450</v>
      </c>
      <c r="E113" s="3233"/>
      <c r="F113" s="3233"/>
      <c r="G113" s="3246">
        <v>10210</v>
      </c>
    </row>
    <row r="114" spans="1:7" s="3222" customFormat="1" ht="14.25" customHeight="1">
      <c r="A114" s="3233" t="s">
        <v>303</v>
      </c>
      <c r="B114" s="3233" t="s">
        <v>2961</v>
      </c>
      <c r="C114" s="3233">
        <v>13110</v>
      </c>
      <c r="D114" s="3233">
        <v>13050</v>
      </c>
      <c r="E114" s="3233"/>
      <c r="F114" s="3233"/>
      <c r="G114" s="3246">
        <v>8620</v>
      </c>
    </row>
    <row r="115" spans="1:7" s="3222" customFormat="1" ht="14.25" customHeight="1">
      <c r="A115" s="3233" t="s">
        <v>303</v>
      </c>
      <c r="B115" s="3233" t="s">
        <v>2967</v>
      </c>
      <c r="C115" s="3233">
        <v>12460</v>
      </c>
      <c r="D115" s="3233">
        <v>12390</v>
      </c>
      <c r="E115" s="3233"/>
      <c r="F115" s="3233"/>
      <c r="G115" s="3246">
        <v>8190</v>
      </c>
    </row>
    <row r="116" spans="1:7" s="3222" customFormat="1" ht="14.25" customHeight="1">
      <c r="A116" s="3233" t="s">
        <v>303</v>
      </c>
      <c r="B116" s="3233" t="s">
        <v>2974</v>
      </c>
      <c r="C116" s="3233">
        <v>13580</v>
      </c>
      <c r="D116" s="3233">
        <v>13520</v>
      </c>
      <c r="E116" s="3233"/>
      <c r="F116" s="3233"/>
      <c r="G116" s="3246">
        <v>8930</v>
      </c>
    </row>
    <row r="117" spans="1:7" s="3222" customFormat="1" ht="14.25" customHeight="1">
      <c r="A117" s="3233" t="s">
        <v>303</v>
      </c>
      <c r="B117" s="3233" t="s">
        <v>2981</v>
      </c>
      <c r="C117" s="3233">
        <v>17120</v>
      </c>
      <c r="D117" s="3233">
        <v>17040</v>
      </c>
      <c r="E117" s="3233"/>
      <c r="F117" s="3233"/>
      <c r="G117" s="3246">
        <v>11260</v>
      </c>
    </row>
    <row r="118" spans="1:7" s="3222" customFormat="1" ht="14.25" customHeight="1">
      <c r="A118" s="3233" t="s">
        <v>303</v>
      </c>
      <c r="B118" s="3233" t="s">
        <v>2986</v>
      </c>
      <c r="C118" s="3233">
        <v>14860</v>
      </c>
      <c r="D118" s="3233">
        <v>14790</v>
      </c>
      <c r="E118" s="3233"/>
      <c r="F118" s="3233"/>
      <c r="G118" s="3246">
        <v>9780</v>
      </c>
    </row>
    <row r="119" spans="1:7" s="3222" customFormat="1" ht="14.25" customHeight="1">
      <c r="A119" s="3233" t="s">
        <v>303</v>
      </c>
      <c r="B119" s="3233" t="s">
        <v>2990</v>
      </c>
      <c r="C119" s="3233">
        <v>16470</v>
      </c>
      <c r="D119" s="3233">
        <v>16400</v>
      </c>
      <c r="E119" s="3233"/>
      <c r="F119" s="3233"/>
      <c r="G119" s="3246">
        <v>10840</v>
      </c>
    </row>
    <row r="120" spans="1:7" s="3222" customFormat="1" ht="14.25" customHeight="1">
      <c r="A120" s="3233" t="s">
        <v>303</v>
      </c>
      <c r="B120" s="3233" t="s">
        <v>3076</v>
      </c>
      <c r="C120" s="3233"/>
      <c r="D120" s="3233"/>
      <c r="E120" s="3233"/>
      <c r="F120" s="3233">
        <v>4160</v>
      </c>
      <c r="G120" s="3246"/>
    </row>
    <row r="121" spans="1:7" s="3222" customFormat="1" ht="14.25" customHeight="1">
      <c r="A121" s="3233" t="s">
        <v>303</v>
      </c>
      <c r="B121" s="3233" t="s">
        <v>3077</v>
      </c>
      <c r="C121" s="3233"/>
      <c r="D121" s="3233"/>
      <c r="E121" s="3233"/>
      <c r="F121" s="3233">
        <v>3880</v>
      </c>
      <c r="G121" s="3246"/>
    </row>
    <row r="122" spans="1:7" s="3222" customFormat="1" ht="14.25" customHeight="1">
      <c r="A122" s="3233" t="s">
        <v>303</v>
      </c>
      <c r="B122" s="3233" t="s">
        <v>3078</v>
      </c>
      <c r="C122" s="3233">
        <v>13750</v>
      </c>
      <c r="D122" s="3233">
        <v>13680</v>
      </c>
      <c r="E122" s="3233">
        <v>16460</v>
      </c>
      <c r="F122" s="3233">
        <v>2880</v>
      </c>
      <c r="G122" s="3246">
        <v>9040</v>
      </c>
    </row>
    <row r="123" spans="1:7" s="3222" customFormat="1" ht="14.25" customHeight="1">
      <c r="A123" s="3233" t="s">
        <v>303</v>
      </c>
      <c r="B123" s="3233" t="s">
        <v>3009</v>
      </c>
      <c r="C123" s="3233">
        <v>13590</v>
      </c>
      <c r="D123" s="3233">
        <v>13520</v>
      </c>
      <c r="E123" s="3233">
        <v>16290</v>
      </c>
      <c r="F123" s="3233">
        <v>2790</v>
      </c>
      <c r="G123" s="3246">
        <v>8930</v>
      </c>
    </row>
    <row r="124" spans="1:7" s="3222" customFormat="1" ht="14.25" customHeight="1">
      <c r="A124" s="3233" t="s">
        <v>303</v>
      </c>
      <c r="B124" s="3233" t="s">
        <v>3014</v>
      </c>
      <c r="C124" s="3233">
        <v>13400</v>
      </c>
      <c r="D124" s="3233">
        <v>13320</v>
      </c>
      <c r="E124" s="3233">
        <v>16100</v>
      </c>
      <c r="F124" s="3233">
        <v>2320</v>
      </c>
      <c r="G124" s="3246">
        <v>8800</v>
      </c>
    </row>
    <row r="125" spans="1:7" s="3222" customFormat="1" ht="14.25" customHeight="1">
      <c r="A125" s="3233" t="s">
        <v>303</v>
      </c>
      <c r="B125" s="3233" t="s">
        <v>3019</v>
      </c>
      <c r="C125" s="3233">
        <v>12860</v>
      </c>
      <c r="D125" s="3233">
        <v>12790</v>
      </c>
      <c r="E125" s="3233">
        <v>15370</v>
      </c>
      <c r="F125" s="3233">
        <v>2280</v>
      </c>
      <c r="G125" s="3246">
        <v>8450</v>
      </c>
    </row>
    <row r="126" spans="1:7" s="3222" customFormat="1" ht="14.25" customHeight="1" thickBot="1">
      <c r="A126" s="3247" t="s">
        <v>303</v>
      </c>
      <c r="B126" s="3240" t="s">
        <v>3024</v>
      </c>
      <c r="C126" s="3240">
        <v>12960</v>
      </c>
      <c r="D126" s="3240">
        <v>12890</v>
      </c>
      <c r="E126" s="3240">
        <v>15530</v>
      </c>
      <c r="F126" s="3240">
        <v>2910</v>
      </c>
      <c r="G126" s="3248">
        <v>8520</v>
      </c>
    </row>
    <row r="127" spans="1:7" s="3222" customFormat="1" ht="14.25" customHeight="1">
      <c r="A127" s="3238" t="s">
        <v>29</v>
      </c>
      <c r="B127" s="3229" t="s">
        <v>3079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3080</v>
      </c>
      <c r="C148" s="3233">
        <v>10370</v>
      </c>
      <c r="D148" s="3233">
        <v>10310</v>
      </c>
      <c r="E148" s="3233">
        <v>12970</v>
      </c>
      <c r="F148" s="3233"/>
      <c r="G148" s="3233">
        <v>6630</v>
      </c>
    </row>
    <row r="149" spans="1:7" s="3222" customFormat="1" ht="14.25" customHeight="1">
      <c r="A149" s="3233" t="s">
        <v>29</v>
      </c>
      <c r="B149" s="3233" t="s">
        <v>3081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2955</v>
      </c>
      <c r="C153" s="3233">
        <v>10880</v>
      </c>
      <c r="D153" s="3233">
        <v>10820</v>
      </c>
      <c r="E153" s="3233">
        <v>13660</v>
      </c>
      <c r="F153" s="3233">
        <v>2260</v>
      </c>
      <c r="G153" s="3233">
        <v>6970</v>
      </c>
    </row>
    <row r="154" spans="1:7" s="3222" customFormat="1" ht="14.25" customHeight="1">
      <c r="A154" s="3233" t="s">
        <v>29</v>
      </c>
      <c r="B154" s="3233" t="s">
        <v>3082</v>
      </c>
      <c r="C154" s="3233">
        <v>11220</v>
      </c>
      <c r="D154" s="3233">
        <v>11160</v>
      </c>
      <c r="E154" s="3233">
        <v>14130</v>
      </c>
      <c r="F154" s="3233">
        <v>2230</v>
      </c>
      <c r="G154" s="3233">
        <v>7180</v>
      </c>
    </row>
    <row r="155" spans="1:7" s="3222" customFormat="1" ht="14.25" customHeight="1">
      <c r="A155" s="3233" t="s">
        <v>29</v>
      </c>
      <c r="B155" s="3233" t="s">
        <v>2968</v>
      </c>
      <c r="C155" s="3233">
        <v>10430</v>
      </c>
      <c r="D155" s="3233">
        <v>10380</v>
      </c>
      <c r="E155" s="3233">
        <v>13140</v>
      </c>
      <c r="F155" s="3233">
        <v>2080</v>
      </c>
      <c r="G155" s="3233">
        <v>6650</v>
      </c>
    </row>
    <row r="156" spans="1:7" s="3222" customFormat="1" ht="14.25" customHeight="1">
      <c r="A156" s="3233" t="s">
        <v>29</v>
      </c>
      <c r="B156" s="3233" t="s">
        <v>3083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3084</v>
      </c>
      <c r="C160" s="3233">
        <v>11180</v>
      </c>
      <c r="D160" s="3233">
        <v>11140</v>
      </c>
      <c r="E160" s="3233">
        <v>14050</v>
      </c>
      <c r="F160" s="3233">
        <v>2270</v>
      </c>
      <c r="G160" s="3233">
        <v>7170</v>
      </c>
    </row>
    <row r="161" spans="1:7" s="3222" customFormat="1" ht="14.25" customHeight="1">
      <c r="A161" s="3233" t="s">
        <v>29</v>
      </c>
      <c r="B161" s="3233" t="s">
        <v>3000</v>
      </c>
      <c r="C161" s="3233">
        <v>11160</v>
      </c>
      <c r="D161" s="3233">
        <v>11120</v>
      </c>
      <c r="E161" s="3233">
        <v>14020</v>
      </c>
      <c r="F161" s="3233">
        <v>2150</v>
      </c>
      <c r="G161" s="3233">
        <v>7160</v>
      </c>
    </row>
    <row r="162" spans="1:7" s="3222" customFormat="1" ht="14.25" customHeight="1">
      <c r="A162" s="3233" t="s">
        <v>29</v>
      </c>
      <c r="B162" s="3233" t="s">
        <v>3005</v>
      </c>
      <c r="C162" s="3233">
        <v>9620</v>
      </c>
      <c r="D162" s="3233">
        <v>9570</v>
      </c>
      <c r="E162" s="3233">
        <v>12320</v>
      </c>
      <c r="F162" s="3233">
        <v>2010</v>
      </c>
      <c r="G162" s="3233">
        <v>6160</v>
      </c>
    </row>
    <row r="163" spans="1:7" s="3222" customFormat="1" ht="14.25" customHeight="1">
      <c r="A163" s="3233" t="s">
        <v>29</v>
      </c>
      <c r="B163" s="3233" t="s">
        <v>3010</v>
      </c>
      <c r="C163" s="3233">
        <v>9320</v>
      </c>
      <c r="D163" s="3233">
        <v>9270</v>
      </c>
      <c r="E163" s="3233">
        <v>11790</v>
      </c>
      <c r="F163" s="3233">
        <v>1920</v>
      </c>
      <c r="G163" s="3233">
        <v>5960</v>
      </c>
    </row>
    <row r="164" spans="1:7" s="3222" customFormat="1" ht="14.25" customHeight="1">
      <c r="A164" s="3233" t="s">
        <v>29</v>
      </c>
      <c r="B164" s="3233" t="s">
        <v>3015</v>
      </c>
      <c r="C164" s="3233"/>
      <c r="D164" s="3233"/>
      <c r="E164" s="3233"/>
      <c r="F164" s="3233">
        <v>1980</v>
      </c>
      <c r="G164" s="3233"/>
    </row>
    <row r="165" spans="1:7" s="3222" customFormat="1" ht="14.25" customHeight="1">
      <c r="A165" s="3233" t="s">
        <v>29</v>
      </c>
      <c r="B165" s="3233" t="s">
        <v>3085</v>
      </c>
      <c r="C165" s="3233">
        <v>11060</v>
      </c>
      <c r="D165" s="3233">
        <v>11030</v>
      </c>
      <c r="E165" s="3233">
        <v>13850</v>
      </c>
      <c r="F165" s="3233">
        <v>2170</v>
      </c>
      <c r="G165" s="3233">
        <v>7090</v>
      </c>
    </row>
    <row r="166" spans="1:7" s="3222" customFormat="1" ht="14.25" customHeight="1">
      <c r="A166" s="3233" t="s">
        <v>29</v>
      </c>
      <c r="B166" s="3233" t="s">
        <v>3025</v>
      </c>
      <c r="C166" s="3233">
        <v>11050</v>
      </c>
      <c r="D166" s="3233">
        <v>11010</v>
      </c>
      <c r="E166" s="3233">
        <v>13920</v>
      </c>
      <c r="F166" s="3233">
        <v>2140</v>
      </c>
      <c r="G166" s="3233">
        <v>7080</v>
      </c>
    </row>
    <row r="167" spans="1:7" s="3222" customFormat="1" ht="14.25" customHeight="1">
      <c r="A167" s="3233" t="s">
        <v>29</v>
      </c>
      <c r="B167" s="3233" t="s">
        <v>3029</v>
      </c>
      <c r="C167" s="3233">
        <v>10930</v>
      </c>
      <c r="D167" s="3233">
        <v>10890</v>
      </c>
      <c r="E167" s="3233">
        <v>13790</v>
      </c>
      <c r="F167" s="3233">
        <v>2010</v>
      </c>
      <c r="G167" s="3233">
        <v>7000</v>
      </c>
    </row>
    <row r="168" spans="1:7" s="3222" customFormat="1" ht="14.25" customHeight="1">
      <c r="A168" s="3233" t="s">
        <v>29</v>
      </c>
      <c r="B168" s="3233" t="s">
        <v>3034</v>
      </c>
      <c r="C168" s="3233">
        <v>9420</v>
      </c>
      <c r="D168" s="3233">
        <v>9380</v>
      </c>
      <c r="E168" s="3233">
        <v>11970</v>
      </c>
      <c r="F168" s="3233"/>
      <c r="G168" s="3233">
        <v>6040</v>
      </c>
    </row>
    <row r="169" spans="1:7" s="3222" customFormat="1" ht="14.25" customHeight="1">
      <c r="A169" s="3233" t="s">
        <v>29</v>
      </c>
      <c r="B169" s="3233" t="s">
        <v>3086</v>
      </c>
      <c r="C169" s="3233"/>
      <c r="D169" s="3233"/>
      <c r="E169" s="3233"/>
      <c r="F169" s="3233">
        <v>2880</v>
      </c>
      <c r="G169" s="3233"/>
    </row>
    <row r="170" spans="1:7" s="3222" customFormat="1" ht="14.25" customHeight="1">
      <c r="A170" s="3233" t="s">
        <v>29</v>
      </c>
      <c r="B170" s="3233" t="s">
        <v>3042</v>
      </c>
      <c r="C170" s="3233"/>
      <c r="D170" s="3233"/>
      <c r="E170" s="3233"/>
      <c r="F170" s="3233">
        <v>2880</v>
      </c>
      <c r="G170" s="3233"/>
    </row>
    <row r="171" spans="1:7" s="3222" customFormat="1" ht="14.25" customHeight="1">
      <c r="A171" s="3233" t="s">
        <v>29</v>
      </c>
      <c r="B171" s="3233" t="s">
        <v>3045</v>
      </c>
      <c r="C171" s="3233"/>
      <c r="D171" s="3233"/>
      <c r="E171" s="3233"/>
      <c r="F171" s="3233">
        <v>2880</v>
      </c>
      <c r="G171" s="3233"/>
    </row>
    <row r="172" spans="1:7" s="3222" customFormat="1" ht="14.25" customHeight="1">
      <c r="A172" s="3233" t="s">
        <v>29</v>
      </c>
      <c r="B172" s="3233" t="s">
        <v>3047</v>
      </c>
      <c r="C172" s="3233"/>
      <c r="D172" s="3233"/>
      <c r="E172" s="3233"/>
      <c r="F172" s="3233">
        <v>2880</v>
      </c>
      <c r="G172" s="3233"/>
    </row>
    <row r="173" spans="1:7" s="3222" customFormat="1" ht="14.25" customHeight="1">
      <c r="A173" s="3233" t="s">
        <v>29</v>
      </c>
      <c r="B173" s="3233" t="s">
        <v>3049</v>
      </c>
      <c r="C173" s="3233"/>
      <c r="D173" s="3233"/>
      <c r="E173" s="3233"/>
      <c r="F173" s="3233">
        <v>2150</v>
      </c>
      <c r="G173" s="3233"/>
    </row>
    <row r="174" spans="1:7" s="3222" customFormat="1" ht="14.25" customHeight="1">
      <c r="A174" s="3233" t="s">
        <v>29</v>
      </c>
      <c r="B174" s="3233" t="s">
        <v>3051</v>
      </c>
      <c r="C174" s="3233"/>
      <c r="D174" s="3233"/>
      <c r="E174" s="3233"/>
      <c r="F174" s="3233">
        <v>2030</v>
      </c>
      <c r="G174" s="3233"/>
    </row>
    <row r="175" spans="1:7" s="3222" customFormat="1" ht="14.25" customHeight="1">
      <c r="A175" s="3233" t="s">
        <v>29</v>
      </c>
      <c r="B175" s="3233" t="s">
        <v>3053</v>
      </c>
      <c r="C175" s="3233"/>
      <c r="D175" s="3233"/>
      <c r="E175" s="3233"/>
      <c r="F175" s="3233">
        <v>2780</v>
      </c>
      <c r="G175" s="3233"/>
    </row>
    <row r="176" spans="1:7" s="3222" customFormat="1" ht="14.25" customHeight="1">
      <c r="A176" s="3233" t="s">
        <v>29</v>
      </c>
      <c r="B176" s="3233" t="s">
        <v>3055</v>
      </c>
      <c r="C176" s="3233"/>
      <c r="D176" s="3233"/>
      <c r="E176" s="3233"/>
      <c r="F176" s="3233">
        <v>2780</v>
      </c>
      <c r="G176" s="3233"/>
    </row>
    <row r="177" spans="1:7" s="3222" customFormat="1" ht="14.25" customHeight="1">
      <c r="A177" s="3233" t="s">
        <v>29</v>
      </c>
      <c r="B177" s="3233" t="s">
        <v>3087</v>
      </c>
      <c r="C177" s="3233"/>
      <c r="D177" s="3233"/>
      <c r="E177" s="3233"/>
      <c r="F177" s="3233">
        <v>2780</v>
      </c>
      <c r="G177" s="3233"/>
    </row>
    <row r="178" spans="1:7" s="3222" customFormat="1" ht="14.25" customHeight="1">
      <c r="A178" s="3233" t="s">
        <v>29</v>
      </c>
      <c r="B178" s="3233" t="s">
        <v>3088</v>
      </c>
      <c r="C178" s="3233"/>
      <c r="D178" s="3233"/>
      <c r="E178" s="3233"/>
      <c r="F178" s="3233">
        <v>2060</v>
      </c>
      <c r="G178" s="3233"/>
    </row>
    <row r="179" spans="1:7" s="3222" customFormat="1" ht="14.25" customHeight="1">
      <c r="A179" s="3233" t="s">
        <v>29</v>
      </c>
      <c r="B179" s="3233" t="s">
        <v>3089</v>
      </c>
      <c r="C179" s="3233"/>
      <c r="D179" s="3233"/>
      <c r="E179" s="3233"/>
      <c r="F179" s="3233">
        <v>2120</v>
      </c>
      <c r="G179" s="3233"/>
    </row>
    <row r="180" spans="1:7" s="3222" customFormat="1" ht="14.25" customHeight="1">
      <c r="A180" s="3233" t="s">
        <v>29</v>
      </c>
      <c r="B180" s="3233" t="s">
        <v>3061</v>
      </c>
      <c r="C180" s="3233"/>
      <c r="D180" s="3233"/>
      <c r="E180" s="3233"/>
      <c r="F180" s="3233">
        <v>2340</v>
      </c>
      <c r="G180" s="3233"/>
    </row>
    <row r="181" spans="1:7" s="3222" customFormat="1" ht="14.25" customHeight="1">
      <c r="A181" s="3233" t="s">
        <v>29</v>
      </c>
      <c r="B181" s="3233" t="s">
        <v>3062</v>
      </c>
      <c r="C181" s="3233"/>
      <c r="D181" s="3233"/>
      <c r="E181" s="3233"/>
      <c r="F181" s="3233">
        <v>2340</v>
      </c>
      <c r="G181" s="3233"/>
    </row>
    <row r="182" spans="1:7" s="3222" customFormat="1" ht="14.25" customHeight="1">
      <c r="A182" s="3233" t="s">
        <v>29</v>
      </c>
      <c r="B182" s="3233" t="s">
        <v>3063</v>
      </c>
      <c r="C182" s="3233"/>
      <c r="D182" s="3233"/>
      <c r="E182" s="3233"/>
      <c r="F182" s="3233">
        <v>2340</v>
      </c>
      <c r="G182" s="3233"/>
    </row>
    <row r="183" spans="1:7" s="3222" customFormat="1" ht="14.25" customHeight="1">
      <c r="A183" s="3233" t="s">
        <v>29</v>
      </c>
      <c r="B183" s="3233" t="s">
        <v>3064</v>
      </c>
      <c r="C183" s="3233"/>
      <c r="D183" s="3233"/>
      <c r="E183" s="3233"/>
      <c r="F183" s="3233">
        <v>2340</v>
      </c>
      <c r="G183" s="3233"/>
    </row>
    <row r="184" spans="1:7" s="3222" customFormat="1" ht="14.25" customHeight="1">
      <c r="A184" s="3233" t="s">
        <v>29</v>
      </c>
      <c r="B184" s="3233" t="s">
        <v>3065</v>
      </c>
      <c r="C184" s="3233"/>
      <c r="D184" s="3233"/>
      <c r="E184" s="3233"/>
      <c r="F184" s="3233">
        <v>2340</v>
      </c>
      <c r="G184" s="3233"/>
    </row>
    <row r="185" spans="1:7" s="3222" customFormat="1" ht="14.25" customHeight="1">
      <c r="A185" s="3233" t="s">
        <v>29</v>
      </c>
      <c r="B185" s="3233" t="s">
        <v>3066</v>
      </c>
      <c r="C185" s="3233"/>
      <c r="D185" s="3233"/>
      <c r="E185" s="3233"/>
      <c r="F185" s="3233">
        <v>2530</v>
      </c>
      <c r="G185" s="3233"/>
    </row>
    <row r="186" spans="1:7" s="3222" customFormat="1" ht="14.25" customHeight="1">
      <c r="A186" s="3233" t="s">
        <v>29</v>
      </c>
      <c r="B186" s="3233" t="s">
        <v>3067</v>
      </c>
      <c r="C186" s="3233"/>
      <c r="D186" s="3233"/>
      <c r="E186" s="3233"/>
      <c r="F186" s="3233">
        <v>2550</v>
      </c>
      <c r="G186" s="3233"/>
    </row>
    <row r="187" spans="1:7" s="3222" customFormat="1" ht="14.25" customHeight="1">
      <c r="A187" s="3233" t="s">
        <v>29</v>
      </c>
      <c r="B187" s="3233" t="s">
        <v>3068</v>
      </c>
      <c r="C187" s="3233"/>
      <c r="D187" s="3233"/>
      <c r="E187" s="3233"/>
      <c r="F187" s="3233">
        <v>2070</v>
      </c>
      <c r="G187" s="3233"/>
    </row>
    <row r="188" spans="1:7" s="3222" customFormat="1" ht="14.25" customHeight="1">
      <c r="A188" s="3233" t="s">
        <v>29</v>
      </c>
      <c r="B188" s="3233" t="s">
        <v>3069</v>
      </c>
      <c r="C188" s="3233"/>
      <c r="D188" s="3233"/>
      <c r="E188" s="3233"/>
      <c r="F188" s="3233">
        <v>2340</v>
      </c>
      <c r="G188" s="3233"/>
    </row>
    <row r="189" spans="1:7" s="3222" customFormat="1" ht="14.25" customHeight="1" thickBot="1">
      <c r="A189" s="3241" t="s">
        <v>29</v>
      </c>
      <c r="B189" s="3244" t="s">
        <v>3070</v>
      </c>
      <c r="C189" s="3244"/>
      <c r="D189" s="3244"/>
      <c r="E189" s="3244"/>
      <c r="F189" s="3244">
        <v>2050</v>
      </c>
      <c r="G189" s="3244"/>
    </row>
    <row r="190" spans="1:7" s="3222" customFormat="1" ht="14.25" customHeight="1">
      <c r="A190" s="3238" t="s">
        <v>304</v>
      </c>
      <c r="B190" s="3229" t="s">
        <v>3090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3091</v>
      </c>
      <c r="C199" s="3233">
        <v>8690</v>
      </c>
      <c r="D199" s="3233">
        <v>8630</v>
      </c>
      <c r="E199" s="3233">
        <v>11350</v>
      </c>
      <c r="F199" s="3233">
        <v>1600</v>
      </c>
      <c r="G199" s="3246">
        <v>5450</v>
      </c>
    </row>
    <row r="200" spans="1:7" s="3222" customFormat="1" ht="14.25" customHeight="1">
      <c r="A200" s="3233" t="s">
        <v>304</v>
      </c>
      <c r="B200" s="3233" t="s">
        <v>2902</v>
      </c>
      <c r="C200" s="3233"/>
      <c r="D200" s="3233"/>
      <c r="E200" s="3233"/>
      <c r="F200" s="3233">
        <v>1510</v>
      </c>
      <c r="G200" s="3246"/>
    </row>
    <row r="201" spans="1:7" s="3222" customFormat="1" ht="14.25" customHeight="1">
      <c r="A201" s="3233" t="s">
        <v>304</v>
      </c>
      <c r="B201" s="3233" t="s">
        <v>3092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3093</v>
      </c>
      <c r="C203" s="3233">
        <v>8130</v>
      </c>
      <c r="D203" s="3233">
        <v>8070</v>
      </c>
      <c r="E203" s="3233">
        <v>10820</v>
      </c>
      <c r="F203" s="3233">
        <v>1690</v>
      </c>
      <c r="G203" s="3246">
        <v>5100</v>
      </c>
    </row>
    <row r="204" spans="1:7" s="3222" customFormat="1" ht="14.25" customHeight="1">
      <c r="A204" s="3233" t="s">
        <v>304</v>
      </c>
      <c r="B204" s="3233" t="s">
        <v>2913</v>
      </c>
      <c r="C204" s="3233">
        <v>8350</v>
      </c>
      <c r="D204" s="3233">
        <v>8290</v>
      </c>
      <c r="E204" s="3233">
        <v>11080</v>
      </c>
      <c r="F204" s="3233">
        <v>1450</v>
      </c>
      <c r="G204" s="3246">
        <v>5240</v>
      </c>
    </row>
    <row r="205" spans="1:7" s="3222" customFormat="1" ht="14.25" customHeight="1">
      <c r="A205" s="3233" t="s">
        <v>304</v>
      </c>
      <c r="B205" s="3233" t="s">
        <v>2915</v>
      </c>
      <c r="C205" s="3233">
        <v>7190</v>
      </c>
      <c r="D205" s="3233">
        <v>7130</v>
      </c>
      <c r="E205" s="3233">
        <v>9490</v>
      </c>
      <c r="F205" s="3233">
        <v>1470</v>
      </c>
      <c r="G205" s="3246">
        <v>4510</v>
      </c>
    </row>
    <row r="206" spans="1:7" s="3222" customFormat="1" ht="14.25" customHeight="1">
      <c r="A206" s="3233" t="s">
        <v>304</v>
      </c>
      <c r="B206" s="3233" t="s">
        <v>2918</v>
      </c>
      <c r="C206" s="3233">
        <v>7000</v>
      </c>
      <c r="D206" s="3233">
        <v>6950</v>
      </c>
      <c r="E206" s="3233">
        <v>9170</v>
      </c>
      <c r="F206" s="3233">
        <v>1400</v>
      </c>
      <c r="G206" s="3246">
        <v>4380</v>
      </c>
    </row>
    <row r="207" spans="1:7" s="3222" customFormat="1" ht="14.25" customHeight="1">
      <c r="A207" s="3233" t="s">
        <v>304</v>
      </c>
      <c r="B207" s="3233" t="s">
        <v>2920</v>
      </c>
      <c r="C207" s="3233">
        <v>6950</v>
      </c>
      <c r="D207" s="3233">
        <v>6900</v>
      </c>
      <c r="E207" s="3233">
        <v>9110</v>
      </c>
      <c r="F207" s="3233">
        <v>1790</v>
      </c>
      <c r="G207" s="3246">
        <v>4360</v>
      </c>
    </row>
    <row r="208" spans="1:7" s="3222" customFormat="1" ht="14.25" customHeight="1">
      <c r="A208" s="3233" t="s">
        <v>304</v>
      </c>
      <c r="B208" s="3233" t="s">
        <v>3094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2930</v>
      </c>
      <c r="C210" s="3233">
        <v>8710</v>
      </c>
      <c r="D210" s="3233">
        <v>8660</v>
      </c>
      <c r="E210" s="3233">
        <v>11440</v>
      </c>
      <c r="F210" s="3233">
        <v>1740</v>
      </c>
      <c r="G210" s="3246">
        <v>5470</v>
      </c>
    </row>
    <row r="211" spans="1:7" s="3222" customFormat="1" ht="14.25" customHeight="1">
      <c r="A211" s="3233" t="s">
        <v>304</v>
      </c>
      <c r="B211" s="3233" t="s">
        <v>3095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3096</v>
      </c>
      <c r="C214" s="3233">
        <v>8090</v>
      </c>
      <c r="D214" s="3233">
        <v>8030</v>
      </c>
      <c r="E214" s="3233">
        <v>10780</v>
      </c>
      <c r="F214" s="3233">
        <v>1570</v>
      </c>
      <c r="G214" s="3246">
        <v>5070</v>
      </c>
    </row>
    <row r="215" spans="1:7" s="3222" customFormat="1" ht="14.25" customHeight="1">
      <c r="A215" s="3233" t="s">
        <v>304</v>
      </c>
      <c r="B215" s="3233" t="s">
        <v>3097</v>
      </c>
      <c r="C215" s="3233">
        <v>7950</v>
      </c>
      <c r="D215" s="3233">
        <v>7900</v>
      </c>
      <c r="E215" s="3233">
        <v>10560</v>
      </c>
      <c r="F215" s="3233">
        <v>1630</v>
      </c>
      <c r="G215" s="3246">
        <v>4990</v>
      </c>
    </row>
    <row r="216" spans="1:7" s="3222" customFormat="1" ht="14.25" customHeight="1">
      <c r="A216" s="3233" t="s">
        <v>304</v>
      </c>
      <c r="B216" s="3233" t="s">
        <v>3098</v>
      </c>
      <c r="C216" s="3233">
        <v>8490</v>
      </c>
      <c r="D216" s="3233">
        <v>8440</v>
      </c>
      <c r="E216" s="3233">
        <v>11260</v>
      </c>
      <c r="F216" s="3233">
        <v>1690</v>
      </c>
      <c r="G216" s="3246">
        <v>5330</v>
      </c>
    </row>
    <row r="217" spans="1:7" s="3222" customFormat="1" ht="14.25" customHeight="1">
      <c r="A217" s="3233" t="s">
        <v>304</v>
      </c>
      <c r="B217" s="3233" t="s">
        <v>2963</v>
      </c>
      <c r="C217" s="3233">
        <v>8200</v>
      </c>
      <c r="D217" s="3233">
        <v>8150</v>
      </c>
      <c r="E217" s="3233">
        <v>10910</v>
      </c>
      <c r="F217" s="3233">
        <v>1670</v>
      </c>
      <c r="G217" s="3246">
        <v>5150</v>
      </c>
    </row>
    <row r="218" spans="1:7" s="3222" customFormat="1" ht="14.25" customHeight="1">
      <c r="A218" s="3233" t="s">
        <v>304</v>
      </c>
      <c r="B218" s="3233" t="s">
        <v>3099</v>
      </c>
      <c r="C218" s="3233"/>
      <c r="D218" s="3233"/>
      <c r="E218" s="3233"/>
      <c r="F218" s="3233">
        <v>2040</v>
      </c>
      <c r="G218" s="3246"/>
    </row>
    <row r="219" spans="1:7" s="3222" customFormat="1" ht="14.25" customHeight="1">
      <c r="A219" s="3233" t="s">
        <v>304</v>
      </c>
      <c r="B219" s="3233" t="s">
        <v>3100</v>
      </c>
      <c r="C219" s="3233"/>
      <c r="D219" s="3233"/>
      <c r="E219" s="3233"/>
      <c r="F219" s="3233">
        <v>2040</v>
      </c>
      <c r="G219" s="3246"/>
    </row>
    <row r="220" spans="1:7" s="3222" customFormat="1" ht="14.25" customHeight="1">
      <c r="A220" s="3233" t="s">
        <v>304</v>
      </c>
      <c r="B220" s="3233" t="s">
        <v>3101</v>
      </c>
      <c r="C220" s="3233"/>
      <c r="D220" s="3233"/>
      <c r="E220" s="3233"/>
      <c r="F220" s="3233">
        <v>2040</v>
      </c>
      <c r="G220" s="3246"/>
    </row>
    <row r="221" spans="1:7" s="3222" customFormat="1" ht="14.25" customHeight="1">
      <c r="A221" s="3233" t="s">
        <v>304</v>
      </c>
      <c r="B221" s="3233" t="s">
        <v>3102</v>
      </c>
      <c r="C221" s="3233"/>
      <c r="D221" s="3233"/>
      <c r="E221" s="3233"/>
      <c r="F221" s="3233">
        <v>2040</v>
      </c>
      <c r="G221" s="3246"/>
    </row>
    <row r="222" spans="1:7" s="3222" customFormat="1" ht="14.25" customHeight="1">
      <c r="A222" s="3233" t="s">
        <v>304</v>
      </c>
      <c r="B222" s="3233" t="s">
        <v>3103</v>
      </c>
      <c r="C222" s="3233"/>
      <c r="D222" s="3233"/>
      <c r="E222" s="3233"/>
      <c r="F222" s="3233">
        <v>2040</v>
      </c>
      <c r="G222" s="3246"/>
    </row>
    <row r="223" spans="1:7" s="3222" customFormat="1" ht="14.25" customHeight="1">
      <c r="A223" s="3233" t="s">
        <v>304</v>
      </c>
      <c r="B223" s="3233" t="s">
        <v>3104</v>
      </c>
      <c r="C223" s="3233"/>
      <c r="D223" s="3233"/>
      <c r="E223" s="3233"/>
      <c r="F223" s="3233">
        <v>1930</v>
      </c>
      <c r="G223" s="3246"/>
    </row>
    <row r="224" spans="1:7" s="3222" customFormat="1" ht="14.25" customHeight="1">
      <c r="A224" s="3233" t="s">
        <v>304</v>
      </c>
      <c r="B224" s="3233" t="s">
        <v>3105</v>
      </c>
      <c r="C224" s="3233"/>
      <c r="D224" s="3233"/>
      <c r="E224" s="3233"/>
      <c r="F224" s="3233">
        <v>1930</v>
      </c>
      <c r="G224" s="3246"/>
    </row>
    <row r="225" spans="1:7" s="3222" customFormat="1" ht="14.25" customHeight="1">
      <c r="A225" s="3233" t="s">
        <v>304</v>
      </c>
      <c r="B225" s="3233" t="s">
        <v>3106</v>
      </c>
      <c r="C225" s="3233"/>
      <c r="D225" s="3233"/>
      <c r="E225" s="3233"/>
      <c r="F225" s="3233">
        <v>1930</v>
      </c>
      <c r="G225" s="3246"/>
    </row>
    <row r="226" spans="1:7" s="3222" customFormat="1" ht="14.25" customHeight="1">
      <c r="A226" s="3233" t="s">
        <v>304</v>
      </c>
      <c r="B226" s="3233" t="s">
        <v>3107</v>
      </c>
      <c r="C226" s="3233"/>
      <c r="D226" s="3233"/>
      <c r="E226" s="3233"/>
      <c r="F226" s="3233">
        <v>1700</v>
      </c>
      <c r="G226" s="3246"/>
    </row>
    <row r="227" spans="1:7" s="3222" customFormat="1" ht="14.25" customHeight="1">
      <c r="A227" s="3233" t="s">
        <v>304</v>
      </c>
      <c r="B227" s="3233" t="s">
        <v>3108</v>
      </c>
      <c r="C227" s="3233"/>
      <c r="D227" s="3233"/>
      <c r="E227" s="3233"/>
      <c r="F227" s="3233">
        <v>1520</v>
      </c>
      <c r="G227" s="3246"/>
    </row>
    <row r="228" spans="1:7" s="3222" customFormat="1" ht="14.25" customHeight="1">
      <c r="A228" s="3233" t="s">
        <v>304</v>
      </c>
      <c r="B228" s="3233" t="s">
        <v>3109</v>
      </c>
      <c r="C228" s="3233"/>
      <c r="D228" s="3233"/>
      <c r="E228" s="3233"/>
      <c r="F228" s="3233">
        <v>1520</v>
      </c>
      <c r="G228" s="3246"/>
    </row>
    <row r="229" spans="1:7" s="3222" customFormat="1" ht="14.25" customHeight="1">
      <c r="A229" s="3233" t="s">
        <v>304</v>
      </c>
      <c r="B229" s="3233" t="s">
        <v>3026</v>
      </c>
      <c r="C229" s="3233"/>
      <c r="D229" s="3233"/>
      <c r="E229" s="3233"/>
      <c r="F229" s="3233">
        <v>1520</v>
      </c>
      <c r="G229" s="3246"/>
    </row>
    <row r="230" spans="1:7" s="3222" customFormat="1" ht="14.25" customHeight="1">
      <c r="A230" s="3233" t="s">
        <v>304</v>
      </c>
      <c r="B230" s="3233" t="s">
        <v>3110</v>
      </c>
      <c r="C230" s="3233"/>
      <c r="D230" s="3233"/>
      <c r="E230" s="3233"/>
      <c r="F230" s="3233">
        <v>1820</v>
      </c>
      <c r="G230" s="3246"/>
    </row>
    <row r="231" spans="1:7" s="3222" customFormat="1" ht="14.25" customHeight="1">
      <c r="A231" s="3233" t="s">
        <v>304</v>
      </c>
      <c r="B231" s="3233" t="s">
        <v>3111</v>
      </c>
      <c r="C231" s="3233"/>
      <c r="D231" s="3233"/>
      <c r="E231" s="3233"/>
      <c r="F231" s="3233">
        <v>1760</v>
      </c>
      <c r="G231" s="3246"/>
    </row>
    <row r="232" spans="1:7" s="3222" customFormat="1" ht="14.25" customHeight="1">
      <c r="A232" s="3233" t="s">
        <v>304</v>
      </c>
      <c r="B232" s="3233" t="s">
        <v>3112</v>
      </c>
      <c r="C232" s="3233"/>
      <c r="D232" s="3233"/>
      <c r="E232" s="3233"/>
      <c r="F232" s="3233">
        <v>1840</v>
      </c>
      <c r="G232" s="3246"/>
    </row>
    <row r="233" spans="1:7" s="3222" customFormat="1" ht="14.25" customHeight="1" thickBot="1">
      <c r="A233" s="3247" t="s">
        <v>304</v>
      </c>
      <c r="B233" s="3240" t="s">
        <v>3043</v>
      </c>
      <c r="C233" s="3240"/>
      <c r="D233" s="3240"/>
      <c r="E233" s="3240"/>
      <c r="F233" s="3240">
        <v>1770</v>
      </c>
      <c r="G233" s="3248"/>
    </row>
    <row r="234" spans="1:7" s="3222" customFormat="1" ht="14.25" customHeight="1">
      <c r="A234" s="3238" t="s">
        <v>305</v>
      </c>
      <c r="B234" s="3229" t="s">
        <v>3113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2884</v>
      </c>
      <c r="C238" s="3233">
        <v>6920</v>
      </c>
      <c r="D238" s="3233">
        <v>6890</v>
      </c>
      <c r="E238" s="3233">
        <v>8640</v>
      </c>
      <c r="F238" s="3233">
        <v>1310</v>
      </c>
      <c r="G238" s="3233">
        <v>4230</v>
      </c>
    </row>
    <row r="239" spans="1:7" s="3222" customFormat="1" ht="14.25" customHeight="1">
      <c r="A239" s="3233" t="s">
        <v>305</v>
      </c>
      <c r="B239" s="3233" t="s">
        <v>3114</v>
      </c>
      <c r="C239" s="3233">
        <v>6780</v>
      </c>
      <c r="D239" s="3233">
        <v>6750</v>
      </c>
      <c r="E239" s="3233">
        <v>8440</v>
      </c>
      <c r="F239" s="3233">
        <v>1160</v>
      </c>
      <c r="G239" s="3233">
        <v>4140</v>
      </c>
    </row>
    <row r="240" spans="1:7" s="3222" customFormat="1" ht="14.25" customHeight="1">
      <c r="A240" s="3233" t="s">
        <v>305</v>
      </c>
      <c r="B240" s="3233" t="s">
        <v>3115</v>
      </c>
      <c r="C240" s="3233">
        <v>5420</v>
      </c>
      <c r="D240" s="3233">
        <v>5380</v>
      </c>
      <c r="E240" s="3233">
        <v>6640</v>
      </c>
      <c r="F240" s="3233">
        <v>1020</v>
      </c>
      <c r="G240" s="3233">
        <v>3300</v>
      </c>
    </row>
    <row r="241" spans="1:7" s="3222" customFormat="1" ht="14.25" customHeight="1">
      <c r="A241" s="3233" t="s">
        <v>305</v>
      </c>
      <c r="B241" s="3233" t="s">
        <v>3116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2946</v>
      </c>
      <c r="C258" s="3233">
        <v>6190</v>
      </c>
      <c r="D258" s="3233">
        <v>6160</v>
      </c>
      <c r="E258" s="3233">
        <v>7680</v>
      </c>
      <c r="F258" s="3233">
        <v>1170</v>
      </c>
      <c r="G258" s="3233">
        <v>3780</v>
      </c>
    </row>
    <row r="259" spans="1:7" s="3222" customFormat="1" ht="14.25" customHeight="1">
      <c r="A259" s="3233" t="s">
        <v>305</v>
      </c>
      <c r="B259" s="3233" t="s">
        <v>3122</v>
      </c>
      <c r="C259" s="3233">
        <v>7610</v>
      </c>
      <c r="D259" s="3233">
        <v>7570</v>
      </c>
      <c r="E259" s="3233">
        <v>9350</v>
      </c>
      <c r="F259" s="3233">
        <v>1350</v>
      </c>
      <c r="G259" s="3233">
        <v>4650</v>
      </c>
    </row>
    <row r="260" spans="1:7" s="3222" customFormat="1" ht="14.25" customHeight="1">
      <c r="A260" s="3233" t="s">
        <v>305</v>
      </c>
      <c r="B260" s="3233" t="s">
        <v>3123</v>
      </c>
      <c r="C260" s="3233">
        <v>6920</v>
      </c>
      <c r="D260" s="3233">
        <v>6880</v>
      </c>
      <c r="E260" s="3233">
        <v>8380</v>
      </c>
      <c r="F260" s="3233">
        <v>1160</v>
      </c>
      <c r="G260" s="3233">
        <v>4220</v>
      </c>
    </row>
    <row r="261" spans="1:7" s="3222" customFormat="1" ht="14.25" customHeight="1">
      <c r="A261" s="3233" t="s">
        <v>305</v>
      </c>
      <c r="B261" s="3233" t="s">
        <v>3124</v>
      </c>
      <c r="C261" s="3233">
        <v>6850</v>
      </c>
      <c r="D261" s="3233">
        <v>6810</v>
      </c>
      <c r="E261" s="3233">
        <v>8290</v>
      </c>
      <c r="F261" s="3233">
        <v>1130</v>
      </c>
      <c r="G261" s="3233">
        <v>4180</v>
      </c>
    </row>
    <row r="262" spans="1:7" s="3222" customFormat="1" ht="14.25" customHeight="1">
      <c r="A262" s="3233" t="s">
        <v>305</v>
      </c>
      <c r="B262" s="3233" t="s">
        <v>3125</v>
      </c>
      <c r="C262" s="3233">
        <v>5860</v>
      </c>
      <c r="D262" s="3233">
        <v>5820</v>
      </c>
      <c r="E262" s="3233">
        <v>7640</v>
      </c>
      <c r="F262" s="3233">
        <v>1070</v>
      </c>
      <c r="G262" s="3233">
        <v>3570</v>
      </c>
    </row>
    <row r="263" spans="1:7" s="3222" customFormat="1" ht="14.25" customHeight="1">
      <c r="A263" s="3233" t="s">
        <v>305</v>
      </c>
      <c r="B263" s="3233" t="s">
        <v>3126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3127</v>
      </c>
      <c r="C265" s="3233"/>
      <c r="D265" s="3233"/>
      <c r="E265" s="3233"/>
      <c r="F265" s="3233">
        <v>1500</v>
      </c>
      <c r="G265" s="3233"/>
    </row>
    <row r="266" spans="1:7" s="3222" customFormat="1" ht="14.25" customHeight="1">
      <c r="A266" s="3233" t="s">
        <v>305</v>
      </c>
      <c r="B266" s="3233" t="s">
        <v>3128</v>
      </c>
      <c r="C266" s="3233"/>
      <c r="D266" s="3233"/>
      <c r="E266" s="3233"/>
      <c r="F266" s="3233">
        <v>1500</v>
      </c>
      <c r="G266" s="3233"/>
    </row>
    <row r="267" spans="1:7" s="3222" customFormat="1" ht="14.25" customHeight="1">
      <c r="A267" s="3233" t="s">
        <v>305</v>
      </c>
      <c r="B267" s="3233" t="s">
        <v>3129</v>
      </c>
      <c r="C267" s="3233"/>
      <c r="D267" s="3233"/>
      <c r="E267" s="3233"/>
      <c r="F267" s="3233">
        <v>1500</v>
      </c>
      <c r="G267" s="3233"/>
    </row>
    <row r="268" spans="1:7" s="3222" customFormat="1" ht="14.25" customHeight="1">
      <c r="A268" s="3233" t="s">
        <v>305</v>
      </c>
      <c r="B268" s="3233" t="s">
        <v>3130</v>
      </c>
      <c r="C268" s="3233"/>
      <c r="D268" s="3233"/>
      <c r="E268" s="3233"/>
      <c r="F268" s="3233">
        <v>1290</v>
      </c>
      <c r="G268" s="3233"/>
    </row>
    <row r="269" spans="1:7" s="3222" customFormat="1" ht="14.25" customHeight="1">
      <c r="A269" s="3233" t="s">
        <v>305</v>
      </c>
      <c r="B269" s="3233" t="s">
        <v>3131</v>
      </c>
      <c r="C269" s="3233"/>
      <c r="D269" s="3233"/>
      <c r="E269" s="3233"/>
      <c r="F269" s="3233">
        <v>1150</v>
      </c>
      <c r="G269" s="3233"/>
    </row>
    <row r="270" spans="1:7" s="3222" customFormat="1" ht="14.25" customHeight="1">
      <c r="A270" s="3233" t="s">
        <v>305</v>
      </c>
      <c r="B270" s="3233" t="s">
        <v>3132</v>
      </c>
      <c r="C270" s="3233"/>
      <c r="D270" s="3233"/>
      <c r="E270" s="3233"/>
      <c r="F270" s="3233">
        <v>1380</v>
      </c>
      <c r="G270" s="3233"/>
    </row>
    <row r="271" spans="1:7" s="3222" customFormat="1" ht="14.25" customHeight="1">
      <c r="A271" s="3233" t="s">
        <v>305</v>
      </c>
      <c r="B271" s="3233" t="s">
        <v>3133</v>
      </c>
      <c r="C271" s="3233"/>
      <c r="D271" s="3233"/>
      <c r="E271" s="3233"/>
      <c r="F271" s="3233">
        <v>1460</v>
      </c>
      <c r="G271" s="3233"/>
    </row>
    <row r="272" spans="1:7" s="3222" customFormat="1" ht="14.25" customHeight="1">
      <c r="A272" s="3233" t="s">
        <v>305</v>
      </c>
      <c r="B272" s="3233" t="s">
        <v>3134</v>
      </c>
      <c r="C272" s="3233"/>
      <c r="D272" s="3233"/>
      <c r="E272" s="3233"/>
      <c r="F272" s="3233">
        <v>1460</v>
      </c>
      <c r="G272" s="3233"/>
    </row>
    <row r="273" spans="1:7" s="3222" customFormat="1" ht="14.25" customHeight="1">
      <c r="A273" s="3233" t="s">
        <v>305</v>
      </c>
      <c r="B273" s="3233" t="s">
        <v>3027</v>
      </c>
      <c r="C273" s="3233"/>
      <c r="D273" s="3233"/>
      <c r="E273" s="3233"/>
      <c r="F273" s="3233">
        <v>1490</v>
      </c>
      <c r="G273" s="3233"/>
    </row>
    <row r="274" spans="1:7" s="3222" customFormat="1" ht="14.25" customHeight="1">
      <c r="A274" s="3233" t="s">
        <v>305</v>
      </c>
      <c r="B274" s="3233" t="s">
        <v>3135</v>
      </c>
      <c r="C274" s="3233"/>
      <c r="D274" s="3233"/>
      <c r="E274" s="3233"/>
      <c r="F274" s="3233">
        <v>1490</v>
      </c>
      <c r="G274" s="3233"/>
    </row>
    <row r="275" spans="1:7" s="3222" customFormat="1" ht="14.25" customHeight="1">
      <c r="A275" s="3233" t="s">
        <v>305</v>
      </c>
      <c r="B275" s="3233" t="s">
        <v>3136</v>
      </c>
      <c r="C275" s="3233"/>
      <c r="D275" s="3233"/>
      <c r="E275" s="3233"/>
      <c r="F275" s="3233">
        <v>1220</v>
      </c>
      <c r="G275" s="3233"/>
    </row>
    <row r="276" spans="1:7" s="3222" customFormat="1" ht="14.25" customHeight="1" thickBot="1">
      <c r="A276" s="3241" t="s">
        <v>305</v>
      </c>
      <c r="B276" s="3243" t="s">
        <v>3137</v>
      </c>
      <c r="C276" s="3244"/>
      <c r="D276" s="3244"/>
      <c r="E276" s="3244"/>
      <c r="F276" s="3244">
        <v>1380</v>
      </c>
      <c r="G276" s="3244"/>
    </row>
    <row r="277" spans="1:7" s="3222" customFormat="1" ht="14.25" customHeight="1">
      <c r="A277" s="3238" t="s">
        <v>306</v>
      </c>
      <c r="B277" s="3229" t="s">
        <v>3138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3139</v>
      </c>
      <c r="C279" s="3233">
        <v>4760</v>
      </c>
      <c r="D279" s="3233">
        <v>4720</v>
      </c>
      <c r="E279" s="3233">
        <v>5540</v>
      </c>
      <c r="F279" s="3233">
        <v>810</v>
      </c>
      <c r="G279" s="3246">
        <v>2850</v>
      </c>
    </row>
    <row r="280" spans="1:7" s="3222" customFormat="1" ht="14.25" customHeight="1">
      <c r="A280" s="3233" t="s">
        <v>306</v>
      </c>
      <c r="B280" s="3233" t="s">
        <v>3140</v>
      </c>
      <c r="C280" s="3233">
        <v>4010</v>
      </c>
      <c r="D280" s="3233">
        <v>3950</v>
      </c>
      <c r="E280" s="3233">
        <v>4710</v>
      </c>
      <c r="F280" s="3233">
        <v>800</v>
      </c>
      <c r="G280" s="3246">
        <v>2390</v>
      </c>
    </row>
    <row r="281" spans="1:7" s="3222" customFormat="1" ht="14.25" customHeight="1">
      <c r="A281" s="3233" t="s">
        <v>306</v>
      </c>
      <c r="B281" s="3233" t="s">
        <v>3141</v>
      </c>
      <c r="C281" s="3233">
        <v>4480</v>
      </c>
      <c r="D281" s="3233">
        <v>4420</v>
      </c>
      <c r="E281" s="3233">
        <v>5230</v>
      </c>
      <c r="F281" s="3233">
        <v>870</v>
      </c>
      <c r="G281" s="3246">
        <v>2660</v>
      </c>
    </row>
    <row r="282" spans="1:7" s="3222" customFormat="1" ht="14.25" customHeight="1">
      <c r="A282" s="3233" t="s">
        <v>306</v>
      </c>
      <c r="B282" s="3233" t="s">
        <v>3142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2919</v>
      </c>
      <c r="C293" s="3233">
        <v>5320</v>
      </c>
      <c r="D293" s="3233">
        <v>5270</v>
      </c>
      <c r="E293" s="3233">
        <v>6160</v>
      </c>
      <c r="F293" s="3233">
        <v>990</v>
      </c>
      <c r="G293" s="3246">
        <v>3170</v>
      </c>
    </row>
    <row r="294" spans="1:7" s="3222" customFormat="1" ht="14.25" customHeight="1">
      <c r="A294" s="3233" t="s">
        <v>306</v>
      </c>
      <c r="B294" s="3233" t="s">
        <v>3145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3146</v>
      </c>
      <c r="C302" s="3233">
        <v>5520</v>
      </c>
      <c r="D302" s="3233">
        <v>5470</v>
      </c>
      <c r="E302" s="3233">
        <v>6410</v>
      </c>
      <c r="F302" s="3233">
        <v>950</v>
      </c>
      <c r="G302" s="3246">
        <v>3300</v>
      </c>
    </row>
    <row r="303" spans="1:7" s="3222" customFormat="1" ht="14.25" customHeight="1">
      <c r="A303" s="3233" t="s">
        <v>306</v>
      </c>
      <c r="B303" s="3233" t="s">
        <v>2958</v>
      </c>
      <c r="C303" s="3233">
        <v>5630</v>
      </c>
      <c r="D303" s="3233">
        <v>5590</v>
      </c>
      <c r="E303" s="3233">
        <v>6550</v>
      </c>
      <c r="F303" s="3233">
        <v>1010</v>
      </c>
      <c r="G303" s="3246">
        <v>3370</v>
      </c>
    </row>
    <row r="304" spans="1:7" s="3222" customFormat="1" ht="14.25" customHeight="1">
      <c r="A304" s="3233" t="s">
        <v>306</v>
      </c>
      <c r="B304" s="3233" t="s">
        <v>2965</v>
      </c>
      <c r="C304" s="3233">
        <v>5680</v>
      </c>
      <c r="D304" s="3233">
        <v>5620</v>
      </c>
      <c r="E304" s="3233">
        <v>6620</v>
      </c>
      <c r="F304" s="3233">
        <v>1050</v>
      </c>
      <c r="G304" s="3246">
        <v>3390</v>
      </c>
    </row>
    <row r="305" spans="1:7" s="3222" customFormat="1" ht="14.25" customHeight="1">
      <c r="A305" s="3233" t="s">
        <v>306</v>
      </c>
      <c r="B305" s="3233" t="s">
        <v>2971</v>
      </c>
      <c r="C305" s="3233">
        <v>5590</v>
      </c>
      <c r="D305" s="3233">
        <v>5530</v>
      </c>
      <c r="E305" s="3233">
        <v>6460</v>
      </c>
      <c r="F305" s="3233">
        <v>900</v>
      </c>
      <c r="G305" s="3246">
        <v>3340</v>
      </c>
    </row>
    <row r="306" spans="1:7" s="3222" customFormat="1" ht="14.25" customHeight="1">
      <c r="A306" s="3233" t="s">
        <v>306</v>
      </c>
      <c r="B306" s="3233" t="s">
        <v>3147</v>
      </c>
      <c r="C306" s="3233">
        <v>5560</v>
      </c>
      <c r="D306" s="3233">
        <v>5510</v>
      </c>
      <c r="E306" s="3233">
        <v>6440</v>
      </c>
      <c r="F306" s="3233">
        <v>900</v>
      </c>
      <c r="G306" s="3246">
        <v>3320</v>
      </c>
    </row>
    <row r="307" spans="1:7" s="3222" customFormat="1" ht="14.25" customHeight="1">
      <c r="A307" s="3233" t="s">
        <v>306</v>
      </c>
      <c r="B307" s="3233" t="s">
        <v>2983</v>
      </c>
      <c r="C307" s="3233">
        <v>5650</v>
      </c>
      <c r="D307" s="3233">
        <v>5600</v>
      </c>
      <c r="E307" s="3233">
        <v>6590</v>
      </c>
      <c r="F307" s="3233">
        <v>930</v>
      </c>
      <c r="G307" s="3246">
        <v>3380</v>
      </c>
    </row>
    <row r="308" spans="1:7" s="3222" customFormat="1" ht="14.25" customHeight="1">
      <c r="A308" s="3233" t="s">
        <v>306</v>
      </c>
      <c r="B308" s="3233" t="s">
        <v>3148</v>
      </c>
      <c r="C308" s="3233">
        <v>5620</v>
      </c>
      <c r="D308" s="3233">
        <v>5580</v>
      </c>
      <c r="E308" s="3233">
        <v>6540</v>
      </c>
      <c r="F308" s="3233">
        <v>910</v>
      </c>
      <c r="G308" s="3246">
        <v>3370</v>
      </c>
    </row>
    <row r="309" spans="1:7" s="3222" customFormat="1" ht="14.25" customHeight="1">
      <c r="A309" s="3233" t="s">
        <v>306</v>
      </c>
      <c r="B309" s="3233" t="s">
        <v>3149</v>
      </c>
      <c r="C309" s="3233">
        <v>5060</v>
      </c>
      <c r="D309" s="3233">
        <v>5020</v>
      </c>
      <c r="E309" s="3233">
        <v>6370</v>
      </c>
      <c r="F309" s="3233">
        <v>800</v>
      </c>
      <c r="G309" s="3246">
        <v>3020</v>
      </c>
    </row>
    <row r="310" spans="1:7" s="3222" customFormat="1" ht="14.25" customHeight="1">
      <c r="A310" s="3233" t="s">
        <v>306</v>
      </c>
      <c r="B310" s="3233" t="s">
        <v>2998</v>
      </c>
      <c r="C310" s="3233">
        <v>5150</v>
      </c>
      <c r="D310" s="3233">
        <v>5110</v>
      </c>
      <c r="E310" s="3233">
        <v>6500</v>
      </c>
      <c r="F310" s="3233">
        <v>880</v>
      </c>
      <c r="G310" s="3246">
        <v>3080</v>
      </c>
    </row>
    <row r="311" spans="1:7" s="3222" customFormat="1" ht="14.25" customHeight="1">
      <c r="A311" s="3233" t="s">
        <v>306</v>
      </c>
      <c r="B311" s="3233" t="s">
        <v>3150</v>
      </c>
      <c r="C311" s="3233">
        <v>4750</v>
      </c>
      <c r="D311" s="3233">
        <v>4710</v>
      </c>
      <c r="E311" s="3233">
        <v>5510</v>
      </c>
      <c r="F311" s="3233">
        <v>880</v>
      </c>
      <c r="G311" s="3246">
        <v>2840</v>
      </c>
    </row>
    <row r="312" spans="1:7" s="3222" customFormat="1" ht="14.25" customHeight="1">
      <c r="A312" s="3233" t="s">
        <v>306</v>
      </c>
      <c r="B312" s="3233" t="s">
        <v>3008</v>
      </c>
      <c r="C312" s="3233">
        <v>4690</v>
      </c>
      <c r="D312" s="3233">
        <v>4640</v>
      </c>
      <c r="E312" s="3233">
        <v>5420</v>
      </c>
      <c r="F312" s="3233">
        <v>800</v>
      </c>
      <c r="G312" s="3246">
        <v>2800</v>
      </c>
    </row>
    <row r="313" spans="1:7" s="3222" customFormat="1" ht="14.25" customHeight="1">
      <c r="A313" s="3233" t="s">
        <v>306</v>
      </c>
      <c r="B313" s="3233" t="s">
        <v>3013</v>
      </c>
      <c r="C313" s="3233">
        <v>4810</v>
      </c>
      <c r="D313" s="3233">
        <v>4760</v>
      </c>
      <c r="E313" s="3233">
        <v>5550</v>
      </c>
      <c r="F313" s="3233">
        <v>920</v>
      </c>
      <c r="G313" s="3246">
        <v>2870</v>
      </c>
    </row>
    <row r="314" spans="1:7" s="3222" customFormat="1" ht="14.25" customHeight="1">
      <c r="A314" s="3233" t="s">
        <v>306</v>
      </c>
      <c r="B314" s="3233" t="s">
        <v>3151</v>
      </c>
      <c r="C314" s="3233"/>
      <c r="D314" s="3233"/>
      <c r="E314" s="3233"/>
      <c r="F314" s="3233">
        <v>1020</v>
      </c>
      <c r="G314" s="3246"/>
    </row>
    <row r="315" spans="1:7" s="3222" customFormat="1" ht="14.25" customHeight="1">
      <c r="A315" s="3233" t="s">
        <v>306</v>
      </c>
      <c r="B315" s="3233" t="s">
        <v>3152</v>
      </c>
      <c r="C315" s="3233"/>
      <c r="D315" s="3233"/>
      <c r="E315" s="3233"/>
      <c r="F315" s="3233">
        <v>1050</v>
      </c>
      <c r="G315" s="3246"/>
    </row>
    <row r="316" spans="1:7" s="3222" customFormat="1" ht="14.25" customHeight="1">
      <c r="A316" s="3233" t="s">
        <v>306</v>
      </c>
      <c r="B316" s="3233" t="s">
        <v>3028</v>
      </c>
      <c r="C316" s="3233"/>
      <c r="D316" s="3233"/>
      <c r="E316" s="3233"/>
      <c r="F316" s="3233">
        <v>900</v>
      </c>
      <c r="G316" s="3246"/>
    </row>
    <row r="317" spans="1:7" s="3222" customFormat="1" ht="14.25" customHeight="1">
      <c r="A317" s="3233" t="s">
        <v>306</v>
      </c>
      <c r="B317" s="3233" t="s">
        <v>3153</v>
      </c>
      <c r="C317" s="3233"/>
      <c r="D317" s="3233"/>
      <c r="E317" s="3233"/>
      <c r="F317" s="3233">
        <v>920</v>
      </c>
      <c r="G317" s="3246"/>
    </row>
    <row r="318" spans="1:7" s="3222" customFormat="1" ht="14.25" customHeight="1">
      <c r="A318" s="3233" t="s">
        <v>306</v>
      </c>
      <c r="B318" s="3233" t="s">
        <v>3154</v>
      </c>
      <c r="C318" s="3233"/>
      <c r="D318" s="3233"/>
      <c r="E318" s="3233"/>
      <c r="F318" s="3233">
        <v>1080</v>
      </c>
      <c r="G318" s="3246"/>
    </row>
    <row r="319" spans="1:7" s="3222" customFormat="1" ht="14.25" customHeight="1">
      <c r="A319" s="3233" t="s">
        <v>306</v>
      </c>
      <c r="B319" s="3233" t="s">
        <v>3041</v>
      </c>
      <c r="C319" s="3233"/>
      <c r="D319" s="3233"/>
      <c r="E319" s="3233"/>
      <c r="F319" s="3233">
        <v>1020</v>
      </c>
      <c r="G319" s="3246"/>
    </row>
    <row r="320" spans="1:7" s="3222" customFormat="1" ht="14.25" customHeight="1">
      <c r="A320" s="3233" t="s">
        <v>306</v>
      </c>
      <c r="B320" s="3233" t="s">
        <v>3044</v>
      </c>
      <c r="C320" s="3233"/>
      <c r="D320" s="3233"/>
      <c r="E320" s="3233"/>
      <c r="F320" s="3233">
        <v>1050</v>
      </c>
      <c r="G320" s="3246"/>
    </row>
    <row r="321" spans="1:7" s="3222" customFormat="1" ht="14.25" customHeight="1">
      <c r="A321" s="3233" t="s">
        <v>306</v>
      </c>
      <c r="B321" s="3233" t="s">
        <v>3046</v>
      </c>
      <c r="C321" s="3233"/>
      <c r="D321" s="3233"/>
      <c r="E321" s="3233"/>
      <c r="F321" s="3233">
        <v>960</v>
      </c>
      <c r="G321" s="3246"/>
    </row>
    <row r="322" spans="1:7" s="3222" customFormat="1" ht="14.25" customHeight="1">
      <c r="A322" s="3233" t="s">
        <v>306</v>
      </c>
      <c r="B322" s="3233" t="s">
        <v>3048</v>
      </c>
      <c r="C322" s="3233"/>
      <c r="D322" s="3233"/>
      <c r="E322" s="3233"/>
      <c r="F322" s="3233">
        <v>960</v>
      </c>
      <c r="G322" s="3246"/>
    </row>
    <row r="323" spans="1:7" s="3222" customFormat="1" ht="14.25" customHeight="1">
      <c r="A323" s="3233" t="s">
        <v>306</v>
      </c>
      <c r="B323" s="3233" t="s">
        <v>3050</v>
      </c>
      <c r="C323" s="3233"/>
      <c r="D323" s="3233"/>
      <c r="E323" s="3233"/>
      <c r="F323" s="3233">
        <v>880</v>
      </c>
      <c r="G323" s="3246"/>
    </row>
    <row r="324" spans="1:7" s="3222" customFormat="1" ht="14.25" customHeight="1">
      <c r="A324" s="3233" t="s">
        <v>306</v>
      </c>
      <c r="B324" s="3233" t="s">
        <v>3052</v>
      </c>
      <c r="C324" s="3233"/>
      <c r="D324" s="3233"/>
      <c r="E324" s="3233"/>
      <c r="F324" s="3233">
        <v>930</v>
      </c>
      <c r="G324" s="3246"/>
    </row>
    <row r="325" spans="1:7" s="3222" customFormat="1" ht="14.25" customHeight="1">
      <c r="A325" s="3233" t="s">
        <v>306</v>
      </c>
      <c r="B325" s="3234" t="s">
        <v>3054</v>
      </c>
      <c r="C325" s="3233"/>
      <c r="D325" s="3233"/>
      <c r="E325" s="3233"/>
      <c r="F325" s="3233">
        <v>900</v>
      </c>
      <c r="G325" s="3246"/>
    </row>
    <row r="326" spans="1:7" s="3222" customFormat="1" ht="14.25" customHeight="1" thickBot="1">
      <c r="A326" s="3247" t="s">
        <v>306</v>
      </c>
      <c r="B326" s="3240" t="s">
        <v>3056</v>
      </c>
      <c r="C326" s="3240"/>
      <c r="D326" s="3240"/>
      <c r="E326" s="3240"/>
      <c r="F326" s="3240">
        <v>790</v>
      </c>
      <c r="G326" s="3248"/>
    </row>
    <row r="327" spans="1:7" s="3222" customFormat="1" ht="14.25" customHeight="1">
      <c r="A327" s="3238" t="s">
        <v>307</v>
      </c>
      <c r="B327" s="3229" t="s">
        <v>3155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3156</v>
      </c>
      <c r="C329" s="3233">
        <v>2730</v>
      </c>
      <c r="D329" s="3233">
        <v>2690</v>
      </c>
      <c r="E329" s="3233">
        <v>3100</v>
      </c>
      <c r="F329" s="3233">
        <v>660</v>
      </c>
      <c r="G329" s="3233">
        <v>1610</v>
      </c>
    </row>
    <row r="330" spans="1:7" s="3222" customFormat="1" ht="14.25" customHeight="1">
      <c r="A330" s="3233" t="s">
        <v>307</v>
      </c>
      <c r="B330" s="3233" t="s">
        <v>3157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2890</v>
      </c>
      <c r="C332" s="3233">
        <v>3520</v>
      </c>
      <c r="D332" s="3233">
        <v>3480</v>
      </c>
      <c r="E332" s="3233">
        <v>3830</v>
      </c>
      <c r="F332" s="3233">
        <v>720</v>
      </c>
      <c r="G332" s="3233">
        <v>2090</v>
      </c>
    </row>
    <row r="333" spans="1:7" s="3222" customFormat="1" ht="14.25" customHeight="1">
      <c r="A333" s="3233" t="s">
        <v>307</v>
      </c>
      <c r="B333" s="3233" t="s">
        <v>3158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2900</v>
      </c>
      <c r="C336" s="3233">
        <v>3570</v>
      </c>
      <c r="D336" s="3233">
        <v>3530</v>
      </c>
      <c r="E336" s="3233">
        <v>3880</v>
      </c>
      <c r="F336" s="3233">
        <v>770</v>
      </c>
      <c r="G336" s="3233">
        <v>2110</v>
      </c>
    </row>
    <row r="337" spans="1:10" s="3222" customFormat="1" ht="14.25" customHeight="1">
      <c r="A337" s="3233" t="s">
        <v>307</v>
      </c>
      <c r="B337" s="3233" t="s">
        <v>3159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2925</v>
      </c>
      <c r="C345" s="3233">
        <v>3190</v>
      </c>
      <c r="D345" s="3233">
        <v>3140</v>
      </c>
      <c r="E345" s="3233">
        <v>3450</v>
      </c>
      <c r="F345" s="3233">
        <v>720</v>
      </c>
      <c r="G345" s="3233">
        <v>1880</v>
      </c>
      <c r="J345" s="3222"/>
    </row>
    <row r="346" spans="1:10">
      <c r="A346" s="3233" t="s">
        <v>307</v>
      </c>
      <c r="B346" s="3233" t="s">
        <v>3162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2934</v>
      </c>
      <c r="C348" s="3233">
        <v>4000</v>
      </c>
      <c r="D348" s="3233">
        <v>3950</v>
      </c>
      <c r="E348" s="3233">
        <v>4430</v>
      </c>
      <c r="F348" s="3233">
        <v>760</v>
      </c>
      <c r="G348" s="3233">
        <v>2360</v>
      </c>
      <c r="J348" s="3222"/>
    </row>
    <row r="349" spans="1:10">
      <c r="A349" s="3233" t="s">
        <v>307</v>
      </c>
      <c r="B349" s="3233" t="s">
        <v>2939</v>
      </c>
      <c r="C349" s="3233">
        <v>3820</v>
      </c>
      <c r="D349" s="3233">
        <v>3780</v>
      </c>
      <c r="E349" s="3233">
        <v>4170</v>
      </c>
      <c r="F349" s="3233">
        <v>710</v>
      </c>
      <c r="G349" s="3233">
        <v>2260</v>
      </c>
      <c r="J349" s="3222"/>
    </row>
    <row r="350" spans="1:10">
      <c r="A350" s="3233" t="s">
        <v>307</v>
      </c>
      <c r="B350" s="3233" t="s">
        <v>3163</v>
      </c>
      <c r="C350" s="3233">
        <v>3760</v>
      </c>
      <c r="D350" s="3233">
        <v>3730</v>
      </c>
      <c r="E350" s="3233">
        <v>4100</v>
      </c>
      <c r="F350" s="3233">
        <v>800</v>
      </c>
      <c r="G350" s="3233">
        <v>2230</v>
      </c>
      <c r="J350" s="3222"/>
    </row>
    <row r="351" spans="1:10">
      <c r="A351" s="3233" t="s">
        <v>307</v>
      </c>
      <c r="B351" s="3233" t="s">
        <v>2947</v>
      </c>
      <c r="C351" s="3233">
        <v>3610</v>
      </c>
      <c r="D351" s="3233">
        <v>3580</v>
      </c>
      <c r="E351" s="3233">
        <v>3930</v>
      </c>
      <c r="F351" s="3233">
        <v>700</v>
      </c>
      <c r="G351" s="3233">
        <v>2140</v>
      </c>
      <c r="J351" s="3222"/>
    </row>
    <row r="352" spans="1:10">
      <c r="A352" s="3233" t="s">
        <v>307</v>
      </c>
      <c r="B352" s="3233" t="s">
        <v>2952</v>
      </c>
      <c r="C352" s="3233">
        <v>3670</v>
      </c>
      <c r="D352" s="3233">
        <v>3630</v>
      </c>
      <c r="E352" s="3233">
        <v>4000</v>
      </c>
      <c r="F352" s="3233">
        <v>750</v>
      </c>
      <c r="G352" s="3233">
        <v>2180</v>
      </c>
    </row>
    <row r="353" spans="1:7" s="3226" customFormat="1">
      <c r="A353" s="3233" t="s">
        <v>307</v>
      </c>
      <c r="B353" s="3233" t="s">
        <v>3164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2972</v>
      </c>
      <c r="C355" s="3233">
        <v>3650</v>
      </c>
      <c r="D355" s="3233">
        <v>3610</v>
      </c>
      <c r="E355" s="3233">
        <v>4200</v>
      </c>
      <c r="F355" s="3233">
        <v>640</v>
      </c>
      <c r="G355" s="3233">
        <v>2160</v>
      </c>
    </row>
    <row r="356" spans="1:7" s="3226" customFormat="1">
      <c r="A356" s="3233" t="s">
        <v>307</v>
      </c>
      <c r="B356" s="3233" t="s">
        <v>2979</v>
      </c>
      <c r="C356" s="3233">
        <v>3260</v>
      </c>
      <c r="D356" s="3233">
        <v>3230</v>
      </c>
      <c r="E356" s="3233">
        <v>3740</v>
      </c>
      <c r="F356" s="3233">
        <v>600</v>
      </c>
      <c r="G356" s="3233">
        <v>1930</v>
      </c>
    </row>
    <row r="357" spans="1:7" s="3226" customFormat="1" ht="12" thickBot="1">
      <c r="A357" s="3241" t="s">
        <v>307</v>
      </c>
      <c r="B357" s="3244" t="s">
        <v>3165</v>
      </c>
      <c r="C357" s="3244">
        <v>3690</v>
      </c>
      <c r="D357" s="3244">
        <v>3650</v>
      </c>
      <c r="E357" s="3244">
        <v>4020</v>
      </c>
      <c r="F357" s="3244">
        <v>700</v>
      </c>
      <c r="G357" s="3244">
        <v>2190</v>
      </c>
    </row>
    <row r="358" spans="1:7" s="3226" customFormat="1">
      <c r="A358" s="3238" t="s">
        <v>3166</v>
      </c>
      <c r="B358" s="3229" t="s">
        <v>3167</v>
      </c>
      <c r="C358" s="3229">
        <v>2080</v>
      </c>
      <c r="D358" s="3229">
        <v>2040</v>
      </c>
      <c r="E358" s="3229">
        <v>2010</v>
      </c>
      <c r="F358" s="3229">
        <v>530</v>
      </c>
      <c r="G358" s="3245">
        <v>1230</v>
      </c>
    </row>
    <row r="359" spans="1:7" s="3226" customFormat="1">
      <c r="A359" s="3233" t="s">
        <v>3166</v>
      </c>
      <c r="B359" s="3233" t="s">
        <v>3168</v>
      </c>
      <c r="C359" s="3233">
        <v>1850</v>
      </c>
      <c r="D359" s="3233">
        <v>1820</v>
      </c>
      <c r="E359" s="3233">
        <v>1780</v>
      </c>
      <c r="F359" s="3233">
        <v>520</v>
      </c>
      <c r="G359" s="3246">
        <v>1100</v>
      </c>
    </row>
    <row r="360" spans="1:7" s="3226" customFormat="1">
      <c r="A360" s="3233" t="s">
        <v>3166</v>
      </c>
      <c r="B360" s="3233" t="s">
        <v>3169</v>
      </c>
      <c r="C360" s="3233">
        <v>2020</v>
      </c>
      <c r="D360" s="3233">
        <v>1990</v>
      </c>
      <c r="E360" s="3233">
        <v>1950</v>
      </c>
      <c r="F360" s="3233">
        <v>500</v>
      </c>
      <c r="G360" s="3246">
        <v>1200</v>
      </c>
    </row>
    <row r="361" spans="1:7" s="3226" customFormat="1">
      <c r="A361" s="3233" t="s">
        <v>3166</v>
      </c>
      <c r="B361" s="3233" t="s">
        <v>153</v>
      </c>
      <c r="C361" s="3233">
        <v>2260</v>
      </c>
      <c r="D361" s="3233">
        <v>2220</v>
      </c>
      <c r="E361" s="3233">
        <v>2180</v>
      </c>
      <c r="F361" s="3233">
        <v>580</v>
      </c>
      <c r="G361" s="3246">
        <v>1340</v>
      </c>
    </row>
    <row r="362" spans="1:7" s="3226" customFormat="1">
      <c r="A362" s="3233" t="s">
        <v>3166</v>
      </c>
      <c r="B362" s="3233" t="s">
        <v>3170</v>
      </c>
      <c r="C362" s="3233">
        <v>2650</v>
      </c>
      <c r="D362" s="3233">
        <v>2610</v>
      </c>
      <c r="E362" s="3233">
        <v>2570</v>
      </c>
      <c r="F362" s="3233">
        <v>630</v>
      </c>
      <c r="G362" s="3246">
        <v>1570</v>
      </c>
    </row>
    <row r="363" spans="1:7" s="3226" customFormat="1">
      <c r="A363" s="3233" t="s">
        <v>3166</v>
      </c>
      <c r="B363" s="3233" t="s">
        <v>2891</v>
      </c>
      <c r="C363" s="3233">
        <v>2390</v>
      </c>
      <c r="D363" s="3233">
        <v>2360</v>
      </c>
      <c r="E363" s="3233">
        <v>2320</v>
      </c>
      <c r="F363" s="3233">
        <v>600</v>
      </c>
      <c r="G363" s="3246">
        <v>1420</v>
      </c>
    </row>
    <row r="364" spans="1:7" s="3226" customFormat="1">
      <c r="A364" s="3233" t="s">
        <v>3166</v>
      </c>
      <c r="B364" s="3233" t="s">
        <v>3171</v>
      </c>
      <c r="C364" s="3233">
        <v>2050</v>
      </c>
      <c r="D364" s="3233">
        <v>2030</v>
      </c>
      <c r="E364" s="3233">
        <v>1990</v>
      </c>
      <c r="F364" s="3233">
        <v>550</v>
      </c>
      <c r="G364" s="3246">
        <v>1220</v>
      </c>
    </row>
    <row r="365" spans="1:7" s="3226" customFormat="1">
      <c r="A365" s="3233" t="s">
        <v>3166</v>
      </c>
      <c r="B365" s="3233" t="s">
        <v>200</v>
      </c>
      <c r="C365" s="3233">
        <v>2140</v>
      </c>
      <c r="D365" s="3233">
        <v>2100</v>
      </c>
      <c r="E365" s="3233">
        <v>2060</v>
      </c>
      <c r="F365" s="3233">
        <v>540</v>
      </c>
      <c r="G365" s="3246">
        <v>1270</v>
      </c>
    </row>
    <row r="366" spans="1:7" s="3226" customFormat="1">
      <c r="A366" s="3233" t="s">
        <v>3166</v>
      </c>
      <c r="B366" s="3233" t="s">
        <v>2898</v>
      </c>
      <c r="C366" s="3233">
        <v>2410</v>
      </c>
      <c r="D366" s="3233">
        <v>2370</v>
      </c>
      <c r="E366" s="3233">
        <v>2330</v>
      </c>
      <c r="F366" s="3233">
        <v>570</v>
      </c>
      <c r="G366" s="3246">
        <v>1440</v>
      </c>
    </row>
    <row r="367" spans="1:7" s="3226" customFormat="1">
      <c r="A367" s="3233" t="s">
        <v>3166</v>
      </c>
      <c r="B367" s="3233" t="s">
        <v>3172</v>
      </c>
      <c r="C367" s="3233">
        <v>2300</v>
      </c>
      <c r="D367" s="3233">
        <v>2260</v>
      </c>
      <c r="E367" s="3233">
        <v>2220</v>
      </c>
      <c r="F367" s="3233">
        <v>560</v>
      </c>
      <c r="G367" s="3246">
        <v>1370</v>
      </c>
    </row>
    <row r="368" spans="1:7" s="3226" customFormat="1">
      <c r="A368" s="3233" t="s">
        <v>3166</v>
      </c>
      <c r="B368" s="3233" t="s">
        <v>3173</v>
      </c>
      <c r="C368" s="3233">
        <v>2430</v>
      </c>
      <c r="D368" s="3233">
        <v>2390</v>
      </c>
      <c r="E368" s="3233">
        <v>2350</v>
      </c>
      <c r="F368" s="3233">
        <v>570</v>
      </c>
      <c r="G368" s="3246">
        <v>1450</v>
      </c>
    </row>
    <row r="369" spans="1:7" s="3226" customFormat="1">
      <c r="A369" s="3233" t="s">
        <v>3166</v>
      </c>
      <c r="B369" s="3233" t="s">
        <v>214</v>
      </c>
      <c r="C369" s="3233">
        <v>2320</v>
      </c>
      <c r="D369" s="3233">
        <v>2290</v>
      </c>
      <c r="E369" s="3233">
        <v>2250</v>
      </c>
      <c r="F369" s="3233">
        <v>550</v>
      </c>
      <c r="G369" s="3246">
        <v>1380</v>
      </c>
    </row>
    <row r="370" spans="1:7" s="3226" customFormat="1">
      <c r="A370" s="3233" t="s">
        <v>3166</v>
      </c>
      <c r="B370" s="3233" t="s">
        <v>221</v>
      </c>
      <c r="C370" s="3233">
        <v>2190</v>
      </c>
      <c r="D370" s="3233">
        <v>2170</v>
      </c>
      <c r="E370" s="3233">
        <v>2130</v>
      </c>
      <c r="F370" s="3233">
        <v>530</v>
      </c>
      <c r="G370" s="3246">
        <v>1310</v>
      </c>
    </row>
    <row r="371" spans="1:7" s="3226" customFormat="1">
      <c r="A371" s="3233" t="s">
        <v>3166</v>
      </c>
      <c r="B371" s="3233" t="s">
        <v>229</v>
      </c>
      <c r="C371" s="3233">
        <v>2460</v>
      </c>
      <c r="D371" s="3233">
        <v>2420</v>
      </c>
      <c r="E371" s="3233">
        <v>2370</v>
      </c>
      <c r="F371" s="3233">
        <v>560</v>
      </c>
      <c r="G371" s="3246">
        <v>1470</v>
      </c>
    </row>
    <row r="372" spans="1:7" s="3226" customFormat="1">
      <c r="A372" s="3233" t="s">
        <v>3166</v>
      </c>
      <c r="B372" s="3233" t="s">
        <v>3174</v>
      </c>
      <c r="C372" s="3233">
        <v>2250</v>
      </c>
      <c r="D372" s="3233">
        <v>2210</v>
      </c>
      <c r="E372" s="3233">
        <v>2180</v>
      </c>
      <c r="F372" s="3233">
        <v>550</v>
      </c>
      <c r="G372" s="3246">
        <v>1340</v>
      </c>
    </row>
    <row r="373" spans="1:7" s="3226" customFormat="1">
      <c r="A373" s="3233" t="s">
        <v>3166</v>
      </c>
      <c r="B373" s="3233" t="s">
        <v>258</v>
      </c>
      <c r="C373" s="3233">
        <v>2210</v>
      </c>
      <c r="D373" s="3233">
        <v>2190</v>
      </c>
      <c r="E373" s="3233">
        <v>2150</v>
      </c>
      <c r="F373" s="3233">
        <v>530</v>
      </c>
      <c r="G373" s="3246">
        <v>1320</v>
      </c>
    </row>
    <row r="374" spans="1:7" s="3226" customFormat="1">
      <c r="A374" s="3233" t="s">
        <v>3166</v>
      </c>
      <c r="B374" s="3233" t="s">
        <v>266</v>
      </c>
      <c r="C374" s="3233">
        <v>2320</v>
      </c>
      <c r="D374" s="3233">
        <v>2280</v>
      </c>
      <c r="E374" s="3233">
        <v>2230</v>
      </c>
      <c r="F374" s="3233">
        <v>580</v>
      </c>
      <c r="G374" s="3246">
        <v>1380</v>
      </c>
    </row>
    <row r="375" spans="1:7" s="3226" customFormat="1">
      <c r="A375" s="3233" t="s">
        <v>3166</v>
      </c>
      <c r="B375" s="3233" t="s">
        <v>3175</v>
      </c>
      <c r="C375" s="3233">
        <v>2090</v>
      </c>
      <c r="D375" s="3233">
        <v>2050</v>
      </c>
      <c r="E375" s="3233">
        <v>2020</v>
      </c>
      <c r="F375" s="3233">
        <v>520</v>
      </c>
      <c r="G375" s="3246">
        <v>1240</v>
      </c>
    </row>
    <row r="376" spans="1:7" s="3226" customFormat="1">
      <c r="A376" s="3233" t="s">
        <v>3166</v>
      </c>
      <c r="B376" s="3233" t="s">
        <v>277</v>
      </c>
      <c r="C376" s="3233">
        <v>2010</v>
      </c>
      <c r="D376" s="3233">
        <v>1980</v>
      </c>
      <c r="E376" s="3233">
        <v>1940</v>
      </c>
      <c r="F376" s="3233">
        <v>540</v>
      </c>
      <c r="G376" s="3246">
        <v>1190</v>
      </c>
    </row>
    <row r="377" spans="1:7" s="3226" customFormat="1" ht="12" thickBot="1">
      <c r="A377" s="3241" t="s">
        <v>3166</v>
      </c>
      <c r="B377" s="3244" t="s">
        <v>2928</v>
      </c>
      <c r="C377" s="3244">
        <v>1930</v>
      </c>
      <c r="D377" s="3244">
        <v>1890</v>
      </c>
      <c r="E377" s="3244">
        <v>1860</v>
      </c>
      <c r="F377" s="3244">
        <v>530</v>
      </c>
      <c r="G377" s="3249">
        <v>1150</v>
      </c>
    </row>
    <row r="378" spans="1:7" s="3226" customFormat="1">
      <c r="A378" s="3250" t="s">
        <v>3176</v>
      </c>
      <c r="B378" s="3229" t="s">
        <v>3177</v>
      </c>
      <c r="C378" s="3229">
        <v>1520</v>
      </c>
      <c r="D378" s="3229">
        <v>1490</v>
      </c>
      <c r="E378" s="3229">
        <v>1460</v>
      </c>
      <c r="F378" s="3229">
        <v>460</v>
      </c>
      <c r="G378" s="3245">
        <v>940</v>
      </c>
    </row>
    <row r="379" spans="1:7" s="3226" customFormat="1">
      <c r="A379" s="3251" t="s">
        <v>3176</v>
      </c>
      <c r="B379" s="3233" t="s">
        <v>3178</v>
      </c>
      <c r="C379" s="3233">
        <v>1500</v>
      </c>
      <c r="D379" s="3233">
        <v>1470</v>
      </c>
      <c r="E379" s="3233">
        <v>1430</v>
      </c>
      <c r="F379" s="3233">
        <v>460</v>
      </c>
      <c r="G379" s="3246">
        <v>920</v>
      </c>
    </row>
    <row r="380" spans="1:7" s="3226" customFormat="1">
      <c r="A380" s="3251" t="s">
        <v>3176</v>
      </c>
      <c r="B380" s="3233" t="s">
        <v>3179</v>
      </c>
      <c r="C380" s="3233">
        <v>1620</v>
      </c>
      <c r="D380" s="3233">
        <v>1590</v>
      </c>
      <c r="E380" s="3233">
        <v>1560</v>
      </c>
      <c r="F380" s="3233">
        <v>480</v>
      </c>
      <c r="G380" s="3246">
        <v>1000</v>
      </c>
    </row>
    <row r="381" spans="1:7" s="3226" customFormat="1">
      <c r="A381" s="3251" t="s">
        <v>3176</v>
      </c>
      <c r="B381" s="3233" t="s">
        <v>3180</v>
      </c>
      <c r="C381" s="3233">
        <v>1460</v>
      </c>
      <c r="D381" s="3233">
        <v>1430</v>
      </c>
      <c r="E381" s="3233">
        <v>1390</v>
      </c>
      <c r="F381" s="3233">
        <v>450</v>
      </c>
      <c r="G381" s="3246">
        <v>900</v>
      </c>
    </row>
    <row r="382" spans="1:7" s="3226" customFormat="1">
      <c r="A382" s="3251" t="s">
        <v>3176</v>
      </c>
      <c r="B382" s="3233" t="s">
        <v>3181</v>
      </c>
      <c r="C382" s="3233">
        <v>1310</v>
      </c>
      <c r="D382" s="3233">
        <v>1280</v>
      </c>
      <c r="E382" s="3233">
        <v>1250</v>
      </c>
      <c r="F382" s="3233">
        <v>440</v>
      </c>
      <c r="G382" s="3246">
        <v>800</v>
      </c>
    </row>
    <row r="383" spans="1:7" s="3226" customFormat="1">
      <c r="A383" s="3251" t="s">
        <v>3176</v>
      </c>
      <c r="B383" s="3233" t="s">
        <v>3182</v>
      </c>
      <c r="C383" s="3233">
        <v>1260</v>
      </c>
      <c r="D383" s="3233">
        <v>1230</v>
      </c>
      <c r="E383" s="3233">
        <v>1200</v>
      </c>
      <c r="F383" s="3233">
        <v>420</v>
      </c>
      <c r="G383" s="3246">
        <v>770</v>
      </c>
    </row>
    <row r="384" spans="1:7" s="3226" customFormat="1" ht="12" thickBot="1">
      <c r="A384" s="3252" t="s">
        <v>3176</v>
      </c>
      <c r="B384" s="3240" t="s">
        <v>3183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3184</v>
      </c>
      <c r="B1" s="3782"/>
    </row>
    <row r="2" spans="1:7" ht="14.25" thickBot="1">
      <c r="A2" s="3255"/>
      <c r="B2" s="3255"/>
    </row>
    <row r="3" spans="1:7" ht="14.25" thickBot="1">
      <c r="A3" s="3255"/>
      <c r="B3" s="3255"/>
      <c r="C3" s="3256" t="s">
        <v>2814</v>
      </c>
      <c r="D3" s="3256" t="s">
        <v>2870</v>
      </c>
      <c r="E3" s="3256" t="s">
        <v>2816</v>
      </c>
      <c r="F3" s="3256" t="s">
        <v>2871</v>
      </c>
      <c r="G3" s="3256" t="s">
        <v>2634</v>
      </c>
    </row>
    <row r="4" spans="1:7" ht="14.25" thickBot="1">
      <c r="A4" s="3257" t="s">
        <v>2869</v>
      </c>
      <c r="B4" s="3258" t="s">
        <v>2875</v>
      </c>
      <c r="C4" s="3256"/>
      <c r="D4" s="3256"/>
      <c r="E4" s="3256"/>
      <c r="F4" s="3256"/>
      <c r="G4" s="3256"/>
    </row>
    <row r="5" spans="1:7">
      <c r="A5" s="3259" t="s">
        <v>2843</v>
      </c>
      <c r="B5" s="3260" t="s">
        <v>2857</v>
      </c>
      <c r="C5" s="3261">
        <v>9.8000000000000004E-2</v>
      </c>
      <c r="D5" s="3261">
        <v>8.6999999999999994E-2</v>
      </c>
      <c r="E5" s="3261">
        <v>8.6999999999999994E-2</v>
      </c>
      <c r="F5" s="3261">
        <v>9.8000000000000004E-2</v>
      </c>
      <c r="G5" s="3262">
        <v>9.5000000000000001E-2</v>
      </c>
    </row>
    <row r="6" spans="1:7">
      <c r="A6" s="3263" t="s">
        <v>144</v>
      </c>
      <c r="B6" s="3264" t="s">
        <v>2872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2926</v>
      </c>
      <c r="C29" s="3273"/>
      <c r="D29" s="3269">
        <v>5.1999999999999998E-2</v>
      </c>
      <c r="E29" s="3269">
        <v>7.0000000000000007E-2</v>
      </c>
      <c r="F29" s="3273"/>
      <c r="G29" s="3271">
        <v>7.0999999999999994E-2</v>
      </c>
    </row>
    <row r="30" spans="1:7">
      <c r="A30" s="3274" t="s">
        <v>296</v>
      </c>
      <c r="B30" s="3260" t="s">
        <v>2859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2929</v>
      </c>
      <c r="C50" s="3265">
        <v>9.8000000000000004E-2</v>
      </c>
      <c r="D50" s="3265">
        <v>7.2999999999999995E-2</v>
      </c>
      <c r="E50" s="3265">
        <v>7.0999999999999994E-2</v>
      </c>
      <c r="F50" s="3276"/>
      <c r="G50" s="3266">
        <v>7.2999999999999995E-2</v>
      </c>
    </row>
    <row r="51" spans="1:7">
      <c r="A51" s="3275" t="s">
        <v>296</v>
      </c>
      <c r="B51" s="3264" t="s">
        <v>2931</v>
      </c>
      <c r="C51" s="3265">
        <v>9.9000000000000005E-2</v>
      </c>
      <c r="D51" s="3265">
        <v>8.5000000000000006E-2</v>
      </c>
      <c r="E51" s="3265">
        <v>6.3E-2</v>
      </c>
      <c r="F51" s="3276"/>
      <c r="G51" s="3266">
        <v>9.6000000000000002E-2</v>
      </c>
    </row>
    <row r="52" spans="1:7">
      <c r="A52" s="3275" t="s">
        <v>296</v>
      </c>
      <c r="B52" s="3264" t="s">
        <v>2935</v>
      </c>
      <c r="C52" s="3265">
        <v>7.3999999999999996E-2</v>
      </c>
      <c r="D52" s="3265">
        <v>9.6000000000000002E-2</v>
      </c>
      <c r="E52" s="3265">
        <v>0.05</v>
      </c>
      <c r="F52" s="3276"/>
      <c r="G52" s="3266">
        <v>9.8000000000000004E-2</v>
      </c>
    </row>
    <row r="53" spans="1:7">
      <c r="A53" s="3275" t="s">
        <v>296</v>
      </c>
      <c r="B53" s="3264" t="s">
        <v>2940</v>
      </c>
      <c r="C53" s="3265">
        <v>8.5999999999999993E-2</v>
      </c>
      <c r="D53" s="3276"/>
      <c r="E53" s="3265">
        <v>9.1999999999999998E-2</v>
      </c>
      <c r="F53" s="3276"/>
      <c r="G53" s="3277"/>
    </row>
    <row r="54" spans="1:7" ht="14.25" thickBot="1">
      <c r="A54" s="3278" t="s">
        <v>296</v>
      </c>
      <c r="B54" s="3268" t="s">
        <v>2943</v>
      </c>
      <c r="C54" s="3269">
        <v>9.6000000000000002E-2</v>
      </c>
      <c r="D54" s="3270"/>
      <c r="E54" s="3279"/>
      <c r="F54" s="3270"/>
      <c r="G54" s="3280"/>
    </row>
    <row r="55" spans="1:7">
      <c r="A55" s="3274" t="s">
        <v>110</v>
      </c>
      <c r="B55" s="3260" t="s">
        <v>2860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2941</v>
      </c>
      <c r="C78" s="3265">
        <v>0.1</v>
      </c>
      <c r="D78" s="3265">
        <v>8.5000000000000006E-2</v>
      </c>
      <c r="E78" s="3265">
        <v>9.6000000000000002E-2</v>
      </c>
      <c r="F78" s="3276"/>
      <c r="G78" s="3266">
        <v>9.6000000000000002E-2</v>
      </c>
    </row>
    <row r="79" spans="1:7">
      <c r="A79" s="3275" t="s">
        <v>110</v>
      </c>
      <c r="B79" s="3264" t="s">
        <v>2944</v>
      </c>
      <c r="C79" s="3265">
        <v>0.05</v>
      </c>
      <c r="D79" s="3265">
        <v>9.6000000000000002E-2</v>
      </c>
      <c r="E79" s="3265">
        <v>9.5000000000000001E-2</v>
      </c>
      <c r="F79" s="3276"/>
      <c r="G79" s="3266">
        <v>9.8000000000000004E-2</v>
      </c>
    </row>
    <row r="80" spans="1:7">
      <c r="A80" s="3275" t="s">
        <v>110</v>
      </c>
      <c r="B80" s="3264" t="s">
        <v>2948</v>
      </c>
      <c r="C80" s="3265">
        <v>8.5999999999999993E-2</v>
      </c>
      <c r="D80" s="3281"/>
      <c r="E80" s="3265">
        <v>0.1</v>
      </c>
      <c r="F80" s="3276"/>
      <c r="G80" s="3277"/>
    </row>
    <row r="81" spans="1:7">
      <c r="A81" s="3275" t="s">
        <v>110</v>
      </c>
      <c r="B81" s="3264" t="s">
        <v>2953</v>
      </c>
      <c r="C81" s="3265">
        <v>9.6000000000000002E-2</v>
      </c>
      <c r="D81" s="3276"/>
      <c r="E81" s="3265">
        <v>9.8000000000000004E-2</v>
      </c>
      <c r="F81" s="3276"/>
      <c r="G81" s="3277"/>
    </row>
    <row r="82" spans="1:7">
      <c r="A82" s="3275" t="s">
        <v>110</v>
      </c>
      <c r="B82" s="3264" t="s">
        <v>2960</v>
      </c>
      <c r="C82" s="3281"/>
      <c r="D82" s="3276"/>
      <c r="E82" s="3265">
        <v>7.6999999999999999E-2</v>
      </c>
      <c r="F82" s="3276"/>
      <c r="G82" s="3277"/>
    </row>
    <row r="83" spans="1:7">
      <c r="A83" s="3275" t="s">
        <v>110</v>
      </c>
      <c r="B83" s="3264" t="s">
        <v>2966</v>
      </c>
      <c r="C83" s="3276"/>
      <c r="D83" s="3276"/>
      <c r="E83" s="3276"/>
      <c r="F83" s="3265">
        <v>0.1</v>
      </c>
      <c r="G83" s="3282"/>
    </row>
    <row r="84" spans="1:7">
      <c r="A84" s="3275" t="s">
        <v>110</v>
      </c>
      <c r="B84" s="3264" t="s">
        <v>2973</v>
      </c>
      <c r="C84" s="3276"/>
      <c r="D84" s="3276"/>
      <c r="E84" s="3276"/>
      <c r="F84" s="3265">
        <v>0.1</v>
      </c>
      <c r="G84" s="3282"/>
    </row>
    <row r="85" spans="1:7">
      <c r="A85" s="3275" t="s">
        <v>110</v>
      </c>
      <c r="B85" s="3264" t="s">
        <v>2980</v>
      </c>
      <c r="C85" s="3276"/>
      <c r="D85" s="3276"/>
      <c r="E85" s="3276"/>
      <c r="F85" s="3265">
        <v>0.1</v>
      </c>
      <c r="G85" s="3282"/>
    </row>
    <row r="86" spans="1:7" ht="14.25" thickBot="1">
      <c r="A86" s="3278" t="s">
        <v>110</v>
      </c>
      <c r="B86" s="3268" t="s">
        <v>2985</v>
      </c>
      <c r="C86" s="3269">
        <v>9.8000000000000004E-2</v>
      </c>
      <c r="D86" s="3269">
        <v>9.8000000000000004E-2</v>
      </c>
      <c r="E86" s="3269">
        <v>9.6000000000000002E-2</v>
      </c>
      <c r="F86" s="3279"/>
      <c r="G86" s="3271">
        <v>0.1</v>
      </c>
    </row>
    <row r="87" spans="1:7">
      <c r="A87" s="3274" t="s">
        <v>303</v>
      </c>
      <c r="B87" s="3260" t="s">
        <v>2861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2954</v>
      </c>
      <c r="C113" s="3265">
        <v>0.1</v>
      </c>
      <c r="D113" s="3265">
        <v>0.1</v>
      </c>
      <c r="E113" s="3276"/>
      <c r="F113" s="3276"/>
      <c r="G113" s="3266">
        <v>0.1</v>
      </c>
    </row>
    <row r="114" spans="1:7">
      <c r="A114" s="3275" t="s">
        <v>303</v>
      </c>
      <c r="B114" s="3264" t="s">
        <v>2961</v>
      </c>
      <c r="C114" s="3265">
        <v>9.7000000000000003E-2</v>
      </c>
      <c r="D114" s="3265">
        <v>9.7000000000000003E-2</v>
      </c>
      <c r="E114" s="3276"/>
      <c r="F114" s="3276"/>
      <c r="G114" s="3266">
        <v>9.9000000000000005E-2</v>
      </c>
    </row>
    <row r="115" spans="1:7">
      <c r="A115" s="3275" t="s">
        <v>303</v>
      </c>
      <c r="B115" s="3264" t="s">
        <v>2967</v>
      </c>
      <c r="C115" s="3265">
        <v>0.1</v>
      </c>
      <c r="D115" s="3265">
        <v>0.1</v>
      </c>
      <c r="E115" s="3276"/>
      <c r="F115" s="3276"/>
      <c r="G115" s="3266">
        <v>0.1</v>
      </c>
    </row>
    <row r="116" spans="1:7">
      <c r="A116" s="3275" t="s">
        <v>303</v>
      </c>
      <c r="B116" s="3264" t="s">
        <v>2974</v>
      </c>
      <c r="C116" s="3265">
        <v>0.1</v>
      </c>
      <c r="D116" s="3265">
        <v>0.1</v>
      </c>
      <c r="E116" s="3276"/>
      <c r="F116" s="3276"/>
      <c r="G116" s="3266">
        <v>0.1</v>
      </c>
    </row>
    <row r="117" spans="1:7">
      <c r="A117" s="3275" t="s">
        <v>303</v>
      </c>
      <c r="B117" s="3264" t="s">
        <v>2981</v>
      </c>
      <c r="C117" s="3265">
        <v>9.7000000000000003E-2</v>
      </c>
      <c r="D117" s="3265">
        <v>9.7000000000000003E-2</v>
      </c>
      <c r="E117" s="3276"/>
      <c r="F117" s="3276"/>
      <c r="G117" s="3266">
        <v>9.7000000000000003E-2</v>
      </c>
    </row>
    <row r="118" spans="1:7">
      <c r="A118" s="3275" t="s">
        <v>303</v>
      </c>
      <c r="B118" s="3264" t="s">
        <v>2986</v>
      </c>
      <c r="C118" s="3265">
        <v>0.1</v>
      </c>
      <c r="D118" s="3265">
        <v>0.1</v>
      </c>
      <c r="E118" s="3276"/>
      <c r="F118" s="3276"/>
      <c r="G118" s="3266">
        <v>0.1</v>
      </c>
    </row>
    <row r="119" spans="1:7">
      <c r="A119" s="3275" t="s">
        <v>303</v>
      </c>
      <c r="B119" s="3264" t="s">
        <v>2990</v>
      </c>
      <c r="C119" s="3265">
        <v>5.0999999999999997E-2</v>
      </c>
      <c r="D119" s="3265">
        <v>5.1999999999999998E-2</v>
      </c>
      <c r="E119" s="3276"/>
      <c r="F119" s="3281"/>
      <c r="G119" s="3266">
        <v>0.06</v>
      </c>
    </row>
    <row r="120" spans="1:7">
      <c r="A120" s="3275" t="s">
        <v>303</v>
      </c>
      <c r="B120" s="3264" t="s">
        <v>2994</v>
      </c>
      <c r="C120" s="3276"/>
      <c r="D120" s="3276"/>
      <c r="E120" s="3276"/>
      <c r="F120" s="3265">
        <v>0.1</v>
      </c>
      <c r="G120" s="3282"/>
    </row>
    <row r="121" spans="1:7">
      <c r="A121" s="3275" t="s">
        <v>303</v>
      </c>
      <c r="B121" s="3264" t="s">
        <v>2999</v>
      </c>
      <c r="C121" s="3276"/>
      <c r="D121" s="3276"/>
      <c r="E121" s="3276"/>
      <c r="F121" s="3265">
        <v>0.1</v>
      </c>
      <c r="G121" s="3282"/>
    </row>
    <row r="122" spans="1:7">
      <c r="A122" s="3275" t="s">
        <v>303</v>
      </c>
      <c r="B122" s="3264" t="s">
        <v>3004</v>
      </c>
      <c r="C122" s="3265">
        <v>0.1</v>
      </c>
      <c r="D122" s="3265">
        <v>0.1</v>
      </c>
      <c r="E122" s="3265">
        <v>9.8000000000000004E-2</v>
      </c>
      <c r="F122" s="3265">
        <v>0.1</v>
      </c>
      <c r="G122" s="3266">
        <v>0.1</v>
      </c>
    </row>
    <row r="123" spans="1:7">
      <c r="A123" s="3275" t="s">
        <v>303</v>
      </c>
      <c r="B123" s="3264" t="s">
        <v>3009</v>
      </c>
      <c r="C123" s="3265">
        <v>0.1</v>
      </c>
      <c r="D123" s="3265">
        <v>0.1</v>
      </c>
      <c r="E123" s="3265">
        <v>9.8000000000000004E-2</v>
      </c>
      <c r="F123" s="3265">
        <v>0.1</v>
      </c>
      <c r="G123" s="3266">
        <v>0.1</v>
      </c>
    </row>
    <row r="124" spans="1:7">
      <c r="A124" s="3275" t="s">
        <v>303</v>
      </c>
      <c r="B124" s="3264" t="s">
        <v>3014</v>
      </c>
      <c r="C124" s="3265">
        <v>0.1</v>
      </c>
      <c r="D124" s="3265">
        <v>0.1</v>
      </c>
      <c r="E124" s="3265">
        <v>9.8000000000000004E-2</v>
      </c>
      <c r="F124" s="3281"/>
      <c r="G124" s="3266">
        <v>0.1</v>
      </c>
    </row>
    <row r="125" spans="1:7">
      <c r="A125" s="3275" t="s">
        <v>303</v>
      </c>
      <c r="B125" s="3264" t="s">
        <v>3019</v>
      </c>
      <c r="C125" s="3265">
        <v>9.8000000000000004E-2</v>
      </c>
      <c r="D125" s="3265">
        <v>9.8000000000000004E-2</v>
      </c>
      <c r="E125" s="3265">
        <v>9.6000000000000002E-2</v>
      </c>
      <c r="F125" s="3281"/>
      <c r="G125" s="3266">
        <v>0.1</v>
      </c>
    </row>
    <row r="126" spans="1:7" ht="14.25" thickBot="1">
      <c r="A126" s="3278" t="s">
        <v>303</v>
      </c>
      <c r="B126" s="3268" t="s">
        <v>3185</v>
      </c>
      <c r="C126" s="3269">
        <v>0.1</v>
      </c>
      <c r="D126" s="3269">
        <v>0.1</v>
      </c>
      <c r="E126" s="3269">
        <v>9.8000000000000004E-2</v>
      </c>
      <c r="F126" s="3269">
        <v>0.1</v>
      </c>
      <c r="G126" s="3271">
        <v>0.1</v>
      </c>
    </row>
    <row r="127" spans="1:7">
      <c r="A127" s="3274" t="s">
        <v>29</v>
      </c>
      <c r="B127" s="3260" t="s">
        <v>2862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2932</v>
      </c>
      <c r="C148" s="3265">
        <v>0.13</v>
      </c>
      <c r="D148" s="3265">
        <v>0.13</v>
      </c>
      <c r="E148" s="3265">
        <v>0.13</v>
      </c>
      <c r="F148" s="3276"/>
      <c r="G148" s="3266">
        <v>0.13</v>
      </c>
    </row>
    <row r="149" spans="1:7">
      <c r="A149" s="3275" t="s">
        <v>29</v>
      </c>
      <c r="B149" s="3264" t="s">
        <v>2936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2955</v>
      </c>
      <c r="C153" s="3265">
        <v>0.13</v>
      </c>
      <c r="D153" s="3265">
        <v>0.13</v>
      </c>
      <c r="E153" s="3265">
        <v>0.13</v>
      </c>
      <c r="F153" s="3265">
        <v>0.13</v>
      </c>
      <c r="G153" s="3266">
        <v>0.13</v>
      </c>
    </row>
    <row r="154" spans="1:7">
      <c r="A154" s="3275" t="s">
        <v>29</v>
      </c>
      <c r="B154" s="3264" t="s">
        <v>2962</v>
      </c>
      <c r="C154" s="3265">
        <v>0.121</v>
      </c>
      <c r="D154" s="3265">
        <v>0.121</v>
      </c>
      <c r="E154" s="3265">
        <v>0.105</v>
      </c>
      <c r="F154" s="3265">
        <v>0.121</v>
      </c>
      <c r="G154" s="3266">
        <v>0.123</v>
      </c>
    </row>
    <row r="155" spans="1:7">
      <c r="A155" s="3275" t="s">
        <v>29</v>
      </c>
      <c r="B155" s="3264" t="s">
        <v>2968</v>
      </c>
      <c r="C155" s="3265">
        <v>0.1</v>
      </c>
      <c r="D155" s="3265">
        <v>0.1</v>
      </c>
      <c r="E155" s="3265">
        <v>0.1</v>
      </c>
      <c r="F155" s="3265">
        <v>0.1</v>
      </c>
      <c r="G155" s="3266">
        <v>0.1</v>
      </c>
    </row>
    <row r="156" spans="1:7">
      <c r="A156" s="3275" t="s">
        <v>29</v>
      </c>
      <c r="B156" s="3264" t="s">
        <v>2975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2995</v>
      </c>
      <c r="C160" s="3265">
        <v>0.13</v>
      </c>
      <c r="D160" s="3265">
        <v>0.13</v>
      </c>
      <c r="E160" s="3265">
        <v>0.124</v>
      </c>
      <c r="F160" s="3265">
        <v>0.126</v>
      </c>
      <c r="G160" s="3266">
        <v>0.13</v>
      </c>
    </row>
    <row r="161" spans="1:7">
      <c r="A161" s="3275" t="s">
        <v>29</v>
      </c>
      <c r="B161" s="3264" t="s">
        <v>3000</v>
      </c>
      <c r="C161" s="3265">
        <v>0.13</v>
      </c>
      <c r="D161" s="3265">
        <v>0.13</v>
      </c>
      <c r="E161" s="3265">
        <v>0.124</v>
      </c>
      <c r="F161" s="3265">
        <v>0.127</v>
      </c>
      <c r="G161" s="3266">
        <v>0.13</v>
      </c>
    </row>
    <row r="162" spans="1:7">
      <c r="A162" s="3275" t="s">
        <v>29</v>
      </c>
      <c r="B162" s="3264" t="s">
        <v>3005</v>
      </c>
      <c r="C162" s="3265">
        <v>0.1</v>
      </c>
      <c r="D162" s="3265">
        <v>0.1</v>
      </c>
      <c r="E162" s="3265">
        <v>0.1</v>
      </c>
      <c r="F162" s="3265">
        <v>0.121</v>
      </c>
      <c r="G162" s="3266">
        <v>0.105</v>
      </c>
    </row>
    <row r="163" spans="1:7">
      <c r="A163" s="3275" t="s">
        <v>29</v>
      </c>
      <c r="B163" s="3264" t="s">
        <v>3010</v>
      </c>
      <c r="C163" s="3265">
        <v>0.1</v>
      </c>
      <c r="D163" s="3265">
        <v>0.1</v>
      </c>
      <c r="E163" s="3265">
        <v>0.1</v>
      </c>
      <c r="F163" s="3265">
        <v>0.1</v>
      </c>
      <c r="G163" s="3266">
        <v>0.1</v>
      </c>
    </row>
    <row r="164" spans="1:7">
      <c r="A164" s="3275" t="s">
        <v>29</v>
      </c>
      <c r="B164" s="3264" t="s">
        <v>3015</v>
      </c>
      <c r="C164" s="3281"/>
      <c r="D164" s="3281"/>
      <c r="E164" s="3281"/>
      <c r="F164" s="3265">
        <v>0.1</v>
      </c>
      <c r="G164" s="3277"/>
    </row>
    <row r="165" spans="1:7">
      <c r="A165" s="3275" t="s">
        <v>29</v>
      </c>
      <c r="B165" s="3264" t="s">
        <v>3186</v>
      </c>
      <c r="C165" s="3265">
        <v>0.126</v>
      </c>
      <c r="D165" s="3265">
        <v>0.126</v>
      </c>
      <c r="E165" s="3265">
        <v>0.11899999999999999</v>
      </c>
      <c r="F165" s="3265">
        <v>0.13</v>
      </c>
      <c r="G165" s="3266">
        <v>0.128</v>
      </c>
    </row>
    <row r="166" spans="1:7">
      <c r="A166" s="3275" t="s">
        <v>29</v>
      </c>
      <c r="B166" s="3264" t="s">
        <v>3025</v>
      </c>
      <c r="C166" s="3265">
        <v>0.129</v>
      </c>
      <c r="D166" s="3265">
        <v>0.129</v>
      </c>
      <c r="E166" s="3265">
        <v>0.123</v>
      </c>
      <c r="F166" s="3265">
        <v>0.128</v>
      </c>
      <c r="G166" s="3266">
        <v>0.13</v>
      </c>
    </row>
    <row r="167" spans="1:7">
      <c r="A167" s="3275" t="s">
        <v>29</v>
      </c>
      <c r="B167" s="3264" t="s">
        <v>3029</v>
      </c>
      <c r="C167" s="3265">
        <v>0.125</v>
      </c>
      <c r="D167" s="3265">
        <v>0.125</v>
      </c>
      <c r="E167" s="3265">
        <v>0.11700000000000001</v>
      </c>
      <c r="F167" s="3265">
        <v>0.13</v>
      </c>
      <c r="G167" s="3266">
        <v>0.126</v>
      </c>
    </row>
    <row r="168" spans="1:7">
      <c r="A168" s="3275" t="s">
        <v>29</v>
      </c>
      <c r="B168" s="3264" t="s">
        <v>3034</v>
      </c>
      <c r="C168" s="3265">
        <v>0.128</v>
      </c>
      <c r="D168" s="3265">
        <v>0.128</v>
      </c>
      <c r="E168" s="3265">
        <v>0.123</v>
      </c>
      <c r="F168" s="3276"/>
      <c r="G168" s="3266">
        <v>0.13</v>
      </c>
    </row>
    <row r="169" spans="1:7">
      <c r="A169" s="3275" t="s">
        <v>29</v>
      </c>
      <c r="B169" s="3264" t="s">
        <v>3187</v>
      </c>
      <c r="C169" s="3281"/>
      <c r="D169" s="3281"/>
      <c r="E169" s="3281"/>
      <c r="F169" s="3265">
        <v>0.05</v>
      </c>
      <c r="G169" s="3277"/>
    </row>
    <row r="170" spans="1:7">
      <c r="A170" s="3275" t="s">
        <v>29</v>
      </c>
      <c r="B170" s="3264" t="s">
        <v>3188</v>
      </c>
      <c r="C170" s="3281"/>
      <c r="D170" s="3281"/>
      <c r="E170" s="3281"/>
      <c r="F170" s="3265">
        <v>0.05</v>
      </c>
      <c r="G170" s="3277"/>
    </row>
    <row r="171" spans="1:7">
      <c r="A171" s="3275" t="s">
        <v>29</v>
      </c>
      <c r="B171" s="3264" t="s">
        <v>3189</v>
      </c>
      <c r="C171" s="3281"/>
      <c r="D171" s="3281"/>
      <c r="E171" s="3281"/>
      <c r="F171" s="3265">
        <v>0.05</v>
      </c>
      <c r="G171" s="3282"/>
    </row>
    <row r="172" spans="1:7">
      <c r="A172" s="3275" t="s">
        <v>29</v>
      </c>
      <c r="B172" s="3264" t="s">
        <v>3190</v>
      </c>
      <c r="C172" s="3281"/>
      <c r="D172" s="3281"/>
      <c r="E172" s="3281"/>
      <c r="F172" s="3265">
        <v>0.05</v>
      </c>
      <c r="G172" s="3282"/>
    </row>
    <row r="173" spans="1:7">
      <c r="A173" s="3275" t="s">
        <v>29</v>
      </c>
      <c r="B173" s="3264" t="s">
        <v>3191</v>
      </c>
      <c r="C173" s="3281"/>
      <c r="D173" s="3281"/>
      <c r="E173" s="3281"/>
      <c r="F173" s="3265">
        <v>0.05</v>
      </c>
      <c r="G173" s="3277"/>
    </row>
    <row r="174" spans="1:7">
      <c r="A174" s="3275" t="s">
        <v>29</v>
      </c>
      <c r="B174" s="3264" t="s">
        <v>3192</v>
      </c>
      <c r="C174" s="3281"/>
      <c r="D174" s="3281"/>
      <c r="E174" s="3281"/>
      <c r="F174" s="3265">
        <v>0.05</v>
      </c>
      <c r="G174" s="3277"/>
    </row>
    <row r="175" spans="1:7">
      <c r="A175" s="3275" t="s">
        <v>29</v>
      </c>
      <c r="B175" s="3264" t="s">
        <v>3193</v>
      </c>
      <c r="C175" s="3281"/>
      <c r="D175" s="3281"/>
      <c r="E175" s="3281"/>
      <c r="F175" s="3265">
        <v>0.05</v>
      </c>
      <c r="G175" s="3277"/>
    </row>
    <row r="176" spans="1:7">
      <c r="A176" s="3275" t="s">
        <v>29</v>
      </c>
      <c r="B176" s="3264" t="s">
        <v>3194</v>
      </c>
      <c r="C176" s="3281"/>
      <c r="D176" s="3281"/>
      <c r="E176" s="3281"/>
      <c r="F176" s="3265">
        <v>0.05</v>
      </c>
      <c r="G176" s="3277"/>
    </row>
    <row r="177" spans="1:7">
      <c r="A177" s="3275" t="s">
        <v>29</v>
      </c>
      <c r="B177" s="3264" t="s">
        <v>3195</v>
      </c>
      <c r="C177" s="3276"/>
      <c r="D177" s="3276"/>
      <c r="E177" s="3276"/>
      <c r="F177" s="3265">
        <v>0.05</v>
      </c>
      <c r="G177" s="3282"/>
    </row>
    <row r="178" spans="1:7">
      <c r="A178" s="3275" t="s">
        <v>29</v>
      </c>
      <c r="B178" s="3264" t="s">
        <v>3196</v>
      </c>
      <c r="C178" s="3276"/>
      <c r="D178" s="3276"/>
      <c r="E178" s="3276"/>
      <c r="F178" s="3265">
        <v>0.05</v>
      </c>
      <c r="G178" s="3282"/>
    </row>
    <row r="179" spans="1:7">
      <c r="A179" s="3275" t="s">
        <v>29</v>
      </c>
      <c r="B179" s="3264" t="s">
        <v>3197</v>
      </c>
      <c r="C179" s="3276"/>
      <c r="D179" s="3276"/>
      <c r="E179" s="3276"/>
      <c r="F179" s="3265">
        <v>0.05</v>
      </c>
      <c r="G179" s="3282"/>
    </row>
    <row r="180" spans="1:7">
      <c r="A180" s="3275" t="s">
        <v>29</v>
      </c>
      <c r="B180" s="3264" t="s">
        <v>3198</v>
      </c>
      <c r="C180" s="3276"/>
      <c r="D180" s="3276"/>
      <c r="E180" s="3276"/>
      <c r="F180" s="3265">
        <v>0.05</v>
      </c>
      <c r="G180" s="3282"/>
    </row>
    <row r="181" spans="1:7">
      <c r="A181" s="3275" t="s">
        <v>29</v>
      </c>
      <c r="B181" s="3264" t="s">
        <v>3199</v>
      </c>
      <c r="C181" s="3276"/>
      <c r="D181" s="3276"/>
      <c r="E181" s="3276"/>
      <c r="F181" s="3265">
        <v>0.05</v>
      </c>
      <c r="G181" s="3282"/>
    </row>
    <row r="182" spans="1:7">
      <c r="A182" s="3275" t="s">
        <v>29</v>
      </c>
      <c r="B182" s="3264" t="s">
        <v>3200</v>
      </c>
      <c r="C182" s="3276"/>
      <c r="D182" s="3276"/>
      <c r="E182" s="3276"/>
      <c r="F182" s="3265">
        <v>0.05</v>
      </c>
      <c r="G182" s="3282"/>
    </row>
    <row r="183" spans="1:7">
      <c r="A183" s="3275" t="s">
        <v>29</v>
      </c>
      <c r="B183" s="3264" t="s">
        <v>3201</v>
      </c>
      <c r="C183" s="3276"/>
      <c r="D183" s="3276"/>
      <c r="E183" s="3276"/>
      <c r="F183" s="3265">
        <v>0.05</v>
      </c>
      <c r="G183" s="3282"/>
    </row>
    <row r="184" spans="1:7">
      <c r="A184" s="3275" t="s">
        <v>29</v>
      </c>
      <c r="B184" s="3264" t="s">
        <v>3202</v>
      </c>
      <c r="C184" s="3276"/>
      <c r="D184" s="3276"/>
      <c r="E184" s="3276"/>
      <c r="F184" s="3265">
        <v>0.05</v>
      </c>
      <c r="G184" s="3282"/>
    </row>
    <row r="185" spans="1:7">
      <c r="A185" s="3275" t="s">
        <v>29</v>
      </c>
      <c r="B185" s="3264" t="s">
        <v>3203</v>
      </c>
      <c r="C185" s="3276"/>
      <c r="D185" s="3276"/>
      <c r="E185" s="3276"/>
      <c r="F185" s="3265">
        <v>0.05</v>
      </c>
      <c r="G185" s="3282"/>
    </row>
    <row r="186" spans="1:7">
      <c r="A186" s="3275" t="s">
        <v>29</v>
      </c>
      <c r="B186" s="3264" t="s">
        <v>3204</v>
      </c>
      <c r="C186" s="3276"/>
      <c r="D186" s="3276"/>
      <c r="E186" s="3276"/>
      <c r="F186" s="3265">
        <v>0.05</v>
      </c>
      <c r="G186" s="3282"/>
    </row>
    <row r="187" spans="1:7">
      <c r="A187" s="3275" t="s">
        <v>29</v>
      </c>
      <c r="B187" s="3264" t="s">
        <v>3205</v>
      </c>
      <c r="C187" s="3276"/>
      <c r="D187" s="3276"/>
      <c r="E187" s="3276"/>
      <c r="F187" s="3265">
        <v>0.05</v>
      </c>
      <c r="G187" s="3282"/>
    </row>
    <row r="188" spans="1:7">
      <c r="A188" s="3275" t="s">
        <v>29</v>
      </c>
      <c r="B188" s="3264" t="s">
        <v>3206</v>
      </c>
      <c r="C188" s="3276"/>
      <c r="D188" s="3276"/>
      <c r="E188" s="3276"/>
      <c r="F188" s="3265">
        <v>0.05</v>
      </c>
      <c r="G188" s="3282"/>
    </row>
    <row r="189" spans="1:7" ht="14.25" thickBot="1">
      <c r="A189" s="3278" t="s">
        <v>29</v>
      </c>
      <c r="B189" s="3268" t="s">
        <v>3207</v>
      </c>
      <c r="C189" s="3270"/>
      <c r="D189" s="3270"/>
      <c r="E189" s="3270"/>
      <c r="F189" s="3269">
        <v>0.05</v>
      </c>
      <c r="G189" s="3283"/>
    </row>
    <row r="190" spans="1:7">
      <c r="A190" s="3274" t="s">
        <v>304</v>
      </c>
      <c r="B190" s="3260" t="s">
        <v>2863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2899</v>
      </c>
      <c r="C199" s="3265">
        <v>0.13</v>
      </c>
      <c r="D199" s="3265">
        <v>0.13</v>
      </c>
      <c r="E199" s="3265">
        <v>0.13</v>
      </c>
      <c r="F199" s="3265">
        <v>0.13</v>
      </c>
      <c r="G199" s="3266">
        <v>0.13</v>
      </c>
    </row>
    <row r="200" spans="1:7">
      <c r="A200" s="3275" t="s">
        <v>304</v>
      </c>
      <c r="B200" s="3264" t="s">
        <v>2902</v>
      </c>
      <c r="C200" s="3281"/>
      <c r="D200" s="3281"/>
      <c r="E200" s="3281"/>
      <c r="F200" s="3265">
        <v>0.13</v>
      </c>
      <c r="G200" s="3277"/>
    </row>
    <row r="201" spans="1:7">
      <c r="A201" s="3275" t="s">
        <v>304</v>
      </c>
      <c r="B201" s="3264" t="s">
        <v>2907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2910</v>
      </c>
      <c r="C203" s="3265">
        <v>0.129</v>
      </c>
      <c r="D203" s="3265">
        <v>0.129</v>
      </c>
      <c r="E203" s="3265">
        <v>0.13</v>
      </c>
      <c r="F203" s="3265">
        <v>0.13</v>
      </c>
      <c r="G203" s="3266">
        <v>0.13</v>
      </c>
    </row>
    <row r="204" spans="1:7">
      <c r="A204" s="3275" t="s">
        <v>304</v>
      </c>
      <c r="B204" s="3264" t="s">
        <v>2913</v>
      </c>
      <c r="C204" s="3265">
        <v>0.129</v>
      </c>
      <c r="D204" s="3265">
        <v>0.129</v>
      </c>
      <c r="E204" s="3265">
        <v>0.123</v>
      </c>
      <c r="F204" s="3265">
        <v>0.13</v>
      </c>
      <c r="G204" s="3266">
        <v>0.13</v>
      </c>
    </row>
    <row r="205" spans="1:7">
      <c r="A205" s="3275" t="s">
        <v>304</v>
      </c>
      <c r="B205" s="3264" t="s">
        <v>2915</v>
      </c>
      <c r="C205" s="3265">
        <v>0.13</v>
      </c>
      <c r="D205" s="3265">
        <v>0.13</v>
      </c>
      <c r="E205" s="3265">
        <v>0.13</v>
      </c>
      <c r="F205" s="3265">
        <v>0.13</v>
      </c>
      <c r="G205" s="3266">
        <v>0.13</v>
      </c>
    </row>
    <row r="206" spans="1:7">
      <c r="A206" s="3275" t="s">
        <v>304</v>
      </c>
      <c r="B206" s="3264" t="s">
        <v>2918</v>
      </c>
      <c r="C206" s="3265">
        <v>0.13</v>
      </c>
      <c r="D206" s="3265">
        <v>0.13</v>
      </c>
      <c r="E206" s="3265">
        <v>0.13</v>
      </c>
      <c r="F206" s="3265">
        <v>0.128</v>
      </c>
      <c r="G206" s="3266">
        <v>0.13</v>
      </c>
    </row>
    <row r="207" spans="1:7">
      <c r="A207" s="3275" t="s">
        <v>304</v>
      </c>
      <c r="B207" s="3264" t="s">
        <v>2920</v>
      </c>
      <c r="C207" s="3265">
        <v>0.13</v>
      </c>
      <c r="D207" s="3265">
        <v>0.13</v>
      </c>
      <c r="E207" s="3265">
        <v>0.13</v>
      </c>
      <c r="F207" s="3265">
        <v>0.13</v>
      </c>
      <c r="G207" s="3266">
        <v>0.13</v>
      </c>
    </row>
    <row r="208" spans="1:7">
      <c r="A208" s="3275" t="s">
        <v>304</v>
      </c>
      <c r="B208" s="3264" t="s">
        <v>2923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2930</v>
      </c>
      <c r="C210" s="3265">
        <v>0.121</v>
      </c>
      <c r="D210" s="3265">
        <v>0.121</v>
      </c>
      <c r="E210" s="3265">
        <v>0.125</v>
      </c>
      <c r="F210" s="3265">
        <v>0.13</v>
      </c>
      <c r="G210" s="3266">
        <v>0.123</v>
      </c>
    </row>
    <row r="211" spans="1:7">
      <c r="A211" s="3275" t="s">
        <v>304</v>
      </c>
      <c r="B211" s="3264" t="s">
        <v>2933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2945</v>
      </c>
      <c r="C214" s="3265">
        <v>0.128</v>
      </c>
      <c r="D214" s="3265">
        <v>0.128</v>
      </c>
      <c r="E214" s="3265">
        <v>0.13</v>
      </c>
      <c r="F214" s="3265">
        <v>0.13</v>
      </c>
      <c r="G214" s="3266">
        <v>0.13</v>
      </c>
    </row>
    <row r="215" spans="1:7">
      <c r="A215" s="3275" t="s">
        <v>304</v>
      </c>
      <c r="B215" s="3264" t="s">
        <v>2949</v>
      </c>
      <c r="C215" s="3265">
        <v>0.13</v>
      </c>
      <c r="D215" s="3265">
        <v>0.13</v>
      </c>
      <c r="E215" s="3265">
        <v>0.13</v>
      </c>
      <c r="F215" s="3265">
        <v>0.129</v>
      </c>
      <c r="G215" s="3266">
        <v>0.13</v>
      </c>
    </row>
    <row r="216" spans="1:7">
      <c r="A216" s="3275" t="s">
        <v>304</v>
      </c>
      <c r="B216" s="3264" t="s">
        <v>2956</v>
      </c>
      <c r="C216" s="3265">
        <v>0.13</v>
      </c>
      <c r="D216" s="3265">
        <v>0.13</v>
      </c>
      <c r="E216" s="3265">
        <v>0.13</v>
      </c>
      <c r="F216" s="3265">
        <v>0.13</v>
      </c>
      <c r="G216" s="3266">
        <v>0.13</v>
      </c>
    </row>
    <row r="217" spans="1:7">
      <c r="A217" s="3275" t="s">
        <v>304</v>
      </c>
      <c r="B217" s="3264" t="s">
        <v>2963</v>
      </c>
      <c r="C217" s="3265">
        <v>0.129</v>
      </c>
      <c r="D217" s="3265">
        <v>0.129</v>
      </c>
      <c r="E217" s="3265">
        <v>0.13</v>
      </c>
      <c r="F217" s="3265">
        <v>0.13</v>
      </c>
      <c r="G217" s="3266">
        <v>0.13</v>
      </c>
    </row>
    <row r="218" spans="1:7">
      <c r="A218" s="3275" t="s">
        <v>304</v>
      </c>
      <c r="B218" s="3264" t="s">
        <v>2969</v>
      </c>
      <c r="C218" s="3276"/>
      <c r="D218" s="3276"/>
      <c r="E218" s="3276"/>
      <c r="F218" s="3265">
        <v>0.05</v>
      </c>
      <c r="G218" s="3282"/>
    </row>
    <row r="219" spans="1:7">
      <c r="A219" s="3275" t="s">
        <v>304</v>
      </c>
      <c r="B219" s="3264" t="s">
        <v>2976</v>
      </c>
      <c r="C219" s="3276"/>
      <c r="D219" s="3276"/>
      <c r="E219" s="3276"/>
      <c r="F219" s="3265">
        <v>0.05</v>
      </c>
      <c r="G219" s="3282"/>
    </row>
    <row r="220" spans="1:7">
      <c r="A220" s="3275" t="s">
        <v>304</v>
      </c>
      <c r="B220" s="3264" t="s">
        <v>2982</v>
      </c>
      <c r="C220" s="3276"/>
      <c r="D220" s="3276"/>
      <c r="E220" s="3276"/>
      <c r="F220" s="3265">
        <v>0.05</v>
      </c>
      <c r="G220" s="3282"/>
    </row>
    <row r="221" spans="1:7">
      <c r="A221" s="3275" t="s">
        <v>304</v>
      </c>
      <c r="B221" s="3264" t="s">
        <v>2987</v>
      </c>
      <c r="C221" s="3276"/>
      <c r="D221" s="3276"/>
      <c r="E221" s="3276"/>
      <c r="F221" s="3265">
        <v>0.05</v>
      </c>
      <c r="G221" s="3282"/>
    </row>
    <row r="222" spans="1:7">
      <c r="A222" s="3275" t="s">
        <v>304</v>
      </c>
      <c r="B222" s="3264" t="s">
        <v>2991</v>
      </c>
      <c r="C222" s="3276"/>
      <c r="D222" s="3276"/>
      <c r="E222" s="3276"/>
      <c r="F222" s="3265">
        <v>0.05</v>
      </c>
      <c r="G222" s="3282"/>
    </row>
    <row r="223" spans="1:7">
      <c r="A223" s="3275" t="s">
        <v>304</v>
      </c>
      <c r="B223" s="3264" t="s">
        <v>2996</v>
      </c>
      <c r="C223" s="3276"/>
      <c r="D223" s="3276"/>
      <c r="E223" s="3276"/>
      <c r="F223" s="3265">
        <v>0.05</v>
      </c>
      <c r="G223" s="3282"/>
    </row>
    <row r="224" spans="1:7">
      <c r="A224" s="3275" t="s">
        <v>304</v>
      </c>
      <c r="B224" s="3264" t="s">
        <v>3001</v>
      </c>
      <c r="C224" s="3276"/>
      <c r="D224" s="3276"/>
      <c r="E224" s="3276"/>
      <c r="F224" s="3265">
        <v>0.05</v>
      </c>
      <c r="G224" s="3282"/>
    </row>
    <row r="225" spans="1:7">
      <c r="A225" s="3275" t="s">
        <v>304</v>
      </c>
      <c r="B225" s="3264" t="s">
        <v>3006</v>
      </c>
      <c r="C225" s="3276"/>
      <c r="D225" s="3276"/>
      <c r="E225" s="3276"/>
      <c r="F225" s="3265">
        <v>0.05</v>
      </c>
      <c r="G225" s="3282"/>
    </row>
    <row r="226" spans="1:7">
      <c r="A226" s="3275" t="s">
        <v>304</v>
      </c>
      <c r="B226" s="3264" t="s">
        <v>3208</v>
      </c>
      <c r="C226" s="3276"/>
      <c r="D226" s="3276"/>
      <c r="E226" s="3276"/>
      <c r="F226" s="3265">
        <v>0.05</v>
      </c>
      <c r="G226" s="3282"/>
    </row>
    <row r="227" spans="1:7">
      <c r="A227" s="3275" t="s">
        <v>304</v>
      </c>
      <c r="B227" s="3264" t="s">
        <v>3209</v>
      </c>
      <c r="C227" s="3276"/>
      <c r="D227" s="3276"/>
      <c r="E227" s="3276"/>
      <c r="F227" s="3265">
        <v>0.05</v>
      </c>
      <c r="G227" s="3282"/>
    </row>
    <row r="228" spans="1:7">
      <c r="A228" s="3275" t="s">
        <v>304</v>
      </c>
      <c r="B228" s="3264" t="s">
        <v>3210</v>
      </c>
      <c r="C228" s="3276"/>
      <c r="D228" s="3276"/>
      <c r="E228" s="3276"/>
      <c r="F228" s="3265">
        <v>0.05</v>
      </c>
      <c r="G228" s="3282"/>
    </row>
    <row r="229" spans="1:7">
      <c r="A229" s="3275" t="s">
        <v>304</v>
      </c>
      <c r="B229" s="3264" t="s">
        <v>3211</v>
      </c>
      <c r="C229" s="3276"/>
      <c r="D229" s="3276"/>
      <c r="E229" s="3276"/>
      <c r="F229" s="3265">
        <v>0.05</v>
      </c>
      <c r="G229" s="3282"/>
    </row>
    <row r="230" spans="1:7">
      <c r="A230" s="3275" t="s">
        <v>304</v>
      </c>
      <c r="B230" s="3264" t="s">
        <v>3212</v>
      </c>
      <c r="C230" s="3276"/>
      <c r="D230" s="3276"/>
      <c r="E230" s="3276"/>
      <c r="F230" s="3265">
        <v>0.05</v>
      </c>
      <c r="G230" s="3282"/>
    </row>
    <row r="231" spans="1:7">
      <c r="A231" s="3275" t="s">
        <v>304</v>
      </c>
      <c r="B231" s="3264" t="s">
        <v>3213</v>
      </c>
      <c r="C231" s="3276"/>
      <c r="D231" s="3276"/>
      <c r="E231" s="3276"/>
      <c r="F231" s="3265">
        <v>0.05</v>
      </c>
      <c r="G231" s="3282"/>
    </row>
    <row r="232" spans="1:7">
      <c r="A232" s="3275" t="s">
        <v>304</v>
      </c>
      <c r="B232" s="3264" t="s">
        <v>3214</v>
      </c>
      <c r="C232" s="3276"/>
      <c r="D232" s="3276"/>
      <c r="E232" s="3276"/>
      <c r="F232" s="3265">
        <v>0.05</v>
      </c>
      <c r="G232" s="3282"/>
    </row>
    <row r="233" spans="1:7" ht="14.25" thickBot="1">
      <c r="A233" s="3278" t="s">
        <v>304</v>
      </c>
      <c r="B233" s="3268" t="s">
        <v>3215</v>
      </c>
      <c r="C233" s="3270"/>
      <c r="D233" s="3270"/>
      <c r="E233" s="3270"/>
      <c r="F233" s="3269">
        <v>0.05</v>
      </c>
      <c r="G233" s="3283"/>
    </row>
    <row r="234" spans="1:7">
      <c r="A234" s="3274" t="s">
        <v>305</v>
      </c>
      <c r="B234" s="3260" t="s">
        <v>2864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2884</v>
      </c>
      <c r="C238" s="3265">
        <v>0.14899999999999999</v>
      </c>
      <c r="D238" s="3265">
        <v>0.14899999999999999</v>
      </c>
      <c r="E238" s="3265">
        <v>0.15</v>
      </c>
      <c r="F238" s="3265">
        <v>0.15</v>
      </c>
      <c r="G238" s="3266">
        <v>0.15</v>
      </c>
    </row>
    <row r="239" spans="1:7">
      <c r="A239" s="3275" t="s">
        <v>305</v>
      </c>
      <c r="B239" s="3264" t="s">
        <v>2888</v>
      </c>
      <c r="C239" s="3265">
        <v>0.15</v>
      </c>
      <c r="D239" s="3265">
        <v>0.15</v>
      </c>
      <c r="E239" s="3265">
        <v>0.15</v>
      </c>
      <c r="F239" s="3265">
        <v>0.15</v>
      </c>
      <c r="G239" s="3266">
        <v>0.15</v>
      </c>
    </row>
    <row r="240" spans="1:7">
      <c r="A240" s="3275" t="s">
        <v>305</v>
      </c>
      <c r="B240" s="3264" t="s">
        <v>2893</v>
      </c>
      <c r="C240" s="3265">
        <v>0.15</v>
      </c>
      <c r="D240" s="3265">
        <v>0.15</v>
      </c>
      <c r="E240" s="3265">
        <v>0.15</v>
      </c>
      <c r="F240" s="3265">
        <v>0.15</v>
      </c>
      <c r="G240" s="3266">
        <v>0.15</v>
      </c>
    </row>
    <row r="241" spans="1:7">
      <c r="A241" s="3275" t="s">
        <v>305</v>
      </c>
      <c r="B241" s="3264" t="s">
        <v>2897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2946</v>
      </c>
      <c r="C258" s="3265">
        <v>0.14299999999999999</v>
      </c>
      <c r="D258" s="3265">
        <v>0.14299999999999999</v>
      </c>
      <c r="E258" s="3265">
        <v>0.15</v>
      </c>
      <c r="F258" s="3265">
        <v>0.14799999999999999</v>
      </c>
      <c r="G258" s="3266">
        <v>0.14599999999999999</v>
      </c>
    </row>
    <row r="259" spans="1:7">
      <c r="A259" s="3275" t="s">
        <v>305</v>
      </c>
      <c r="B259" s="3264" t="s">
        <v>2950</v>
      </c>
      <c r="C259" s="3265">
        <v>0.14399999999999999</v>
      </c>
      <c r="D259" s="3265">
        <v>0.14399999999999999</v>
      </c>
      <c r="E259" s="3265">
        <v>0.14899999999999999</v>
      </c>
      <c r="F259" s="3265">
        <v>0.14699999999999999</v>
      </c>
      <c r="G259" s="3266">
        <v>0.14599999999999999</v>
      </c>
    </row>
    <row r="260" spans="1:7">
      <c r="A260" s="3275" t="s">
        <v>305</v>
      </c>
      <c r="B260" s="3264" t="s">
        <v>2957</v>
      </c>
      <c r="C260" s="3265">
        <v>0.109</v>
      </c>
      <c r="D260" s="3265">
        <v>0.111</v>
      </c>
      <c r="E260" s="3265">
        <v>0.13100000000000001</v>
      </c>
      <c r="F260" s="3265">
        <v>0.126</v>
      </c>
      <c r="G260" s="3266">
        <v>0.11899999999999999</v>
      </c>
    </row>
    <row r="261" spans="1:7">
      <c r="A261" s="3275" t="s">
        <v>305</v>
      </c>
      <c r="B261" s="3264" t="s">
        <v>2964</v>
      </c>
      <c r="C261" s="3265">
        <v>0.1</v>
      </c>
      <c r="D261" s="3265">
        <v>0.1</v>
      </c>
      <c r="E261" s="3265">
        <v>0.11799999999999999</v>
      </c>
      <c r="F261" s="3265">
        <v>0.108</v>
      </c>
      <c r="G261" s="3266">
        <v>0.107</v>
      </c>
    </row>
    <row r="262" spans="1:7">
      <c r="A262" s="3275" t="s">
        <v>305</v>
      </c>
      <c r="B262" s="3264" t="s">
        <v>2970</v>
      </c>
      <c r="C262" s="3265">
        <v>0.1</v>
      </c>
      <c r="D262" s="3265">
        <v>0.1</v>
      </c>
      <c r="E262" s="3265">
        <v>0.1</v>
      </c>
      <c r="F262" s="3265">
        <v>0.14099999999999999</v>
      </c>
      <c r="G262" s="3266">
        <v>0.1</v>
      </c>
    </row>
    <row r="263" spans="1:7">
      <c r="A263" s="3275" t="s">
        <v>305</v>
      </c>
      <c r="B263" s="3264" t="s">
        <v>2977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2988</v>
      </c>
      <c r="C265" s="3276"/>
      <c r="D265" s="3276"/>
      <c r="E265" s="3276"/>
      <c r="F265" s="3265">
        <v>0.05</v>
      </c>
      <c r="G265" s="3282"/>
    </row>
    <row r="266" spans="1:7">
      <c r="A266" s="3275" t="s">
        <v>305</v>
      </c>
      <c r="B266" s="3264" t="s">
        <v>2992</v>
      </c>
      <c r="C266" s="3276"/>
      <c r="D266" s="3276"/>
      <c r="E266" s="3276"/>
      <c r="F266" s="3265">
        <v>0.05</v>
      </c>
      <c r="G266" s="3282"/>
    </row>
    <row r="267" spans="1:7">
      <c r="A267" s="3275" t="s">
        <v>305</v>
      </c>
      <c r="B267" s="3264" t="s">
        <v>2997</v>
      </c>
      <c r="C267" s="3276"/>
      <c r="D267" s="3276"/>
      <c r="E267" s="3276"/>
      <c r="F267" s="3265">
        <v>0.05</v>
      </c>
      <c r="G267" s="3282"/>
    </row>
    <row r="268" spans="1:7">
      <c r="A268" s="3275" t="s">
        <v>305</v>
      </c>
      <c r="B268" s="3264" t="s">
        <v>3002</v>
      </c>
      <c r="C268" s="3276"/>
      <c r="D268" s="3276"/>
      <c r="E268" s="3276"/>
      <c r="F268" s="3265">
        <v>0.05</v>
      </c>
      <c r="G268" s="3282"/>
    </row>
    <row r="269" spans="1:7">
      <c r="A269" s="3275" t="s">
        <v>305</v>
      </c>
      <c r="B269" s="3264" t="s">
        <v>3007</v>
      </c>
      <c r="C269" s="3276"/>
      <c r="D269" s="3276"/>
      <c r="E269" s="3276"/>
      <c r="F269" s="3265">
        <v>0.05</v>
      </c>
      <c r="G269" s="3282"/>
    </row>
    <row r="270" spans="1:7">
      <c r="A270" s="3275" t="s">
        <v>305</v>
      </c>
      <c r="B270" s="3264" t="s">
        <v>3012</v>
      </c>
      <c r="C270" s="3276"/>
      <c r="D270" s="3276"/>
      <c r="E270" s="3276"/>
      <c r="F270" s="3265">
        <v>0.05</v>
      </c>
      <c r="G270" s="3282"/>
    </row>
    <row r="271" spans="1:7">
      <c r="A271" s="3275" t="s">
        <v>305</v>
      </c>
      <c r="B271" s="3264" t="s">
        <v>3216</v>
      </c>
      <c r="C271" s="3276"/>
      <c r="D271" s="3276"/>
      <c r="E271" s="3276"/>
      <c r="F271" s="3265">
        <v>0.05</v>
      </c>
      <c r="G271" s="3282"/>
    </row>
    <row r="272" spans="1:7">
      <c r="A272" s="3275" t="s">
        <v>305</v>
      </c>
      <c r="B272" s="3264" t="s">
        <v>3217</v>
      </c>
      <c r="C272" s="3276"/>
      <c r="D272" s="3276"/>
      <c r="E272" s="3276"/>
      <c r="F272" s="3265">
        <v>0.05</v>
      </c>
      <c r="G272" s="3282"/>
    </row>
    <row r="273" spans="1:7">
      <c r="A273" s="3275" t="s">
        <v>305</v>
      </c>
      <c r="B273" s="3264" t="s">
        <v>3218</v>
      </c>
      <c r="C273" s="3276"/>
      <c r="D273" s="3276"/>
      <c r="E273" s="3276"/>
      <c r="F273" s="3265">
        <v>0.05</v>
      </c>
      <c r="G273" s="3282"/>
    </row>
    <row r="274" spans="1:7">
      <c r="A274" s="3275" t="s">
        <v>305</v>
      </c>
      <c r="B274" s="3264" t="s">
        <v>3219</v>
      </c>
      <c r="C274" s="3276"/>
      <c r="D274" s="3276"/>
      <c r="E274" s="3276"/>
      <c r="F274" s="3265">
        <v>0.05</v>
      </c>
      <c r="G274" s="3282"/>
    </row>
    <row r="275" spans="1:7">
      <c r="A275" s="3275" t="s">
        <v>305</v>
      </c>
      <c r="B275" s="3264" t="s">
        <v>3220</v>
      </c>
      <c r="C275" s="3276"/>
      <c r="D275" s="3276"/>
      <c r="E275" s="3276"/>
      <c r="F275" s="3265">
        <v>0.05</v>
      </c>
      <c r="G275" s="3282"/>
    </row>
    <row r="276" spans="1:7" ht="14.25" thickBot="1">
      <c r="A276" s="3278" t="s">
        <v>305</v>
      </c>
      <c r="B276" s="3268" t="s">
        <v>3221</v>
      </c>
      <c r="C276" s="3270"/>
      <c r="D276" s="3270"/>
      <c r="E276" s="3270"/>
      <c r="F276" s="3269">
        <v>0.05</v>
      </c>
      <c r="G276" s="3283"/>
    </row>
    <row r="277" spans="1:7">
      <c r="A277" s="3274" t="s">
        <v>306</v>
      </c>
      <c r="B277" s="3260" t="s">
        <v>2865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2877</v>
      </c>
      <c r="C279" s="3265">
        <v>0.15</v>
      </c>
      <c r="D279" s="3265">
        <v>0.15</v>
      </c>
      <c r="E279" s="3265">
        <v>0.15</v>
      </c>
      <c r="F279" s="3265">
        <v>0.15</v>
      </c>
      <c r="G279" s="3266">
        <v>0.15</v>
      </c>
    </row>
    <row r="280" spans="1:7">
      <c r="A280" s="3275" t="s">
        <v>306</v>
      </c>
      <c r="B280" s="3264" t="s">
        <v>2881</v>
      </c>
      <c r="C280" s="3265">
        <v>0.15</v>
      </c>
      <c r="D280" s="3265">
        <v>0.15</v>
      </c>
      <c r="E280" s="3265">
        <v>0.15</v>
      </c>
      <c r="F280" s="3265">
        <v>0.15</v>
      </c>
      <c r="G280" s="3266">
        <v>0.15</v>
      </c>
    </row>
    <row r="281" spans="1:7">
      <c r="A281" s="3275" t="s">
        <v>306</v>
      </c>
      <c r="B281" s="3264" t="s">
        <v>2885</v>
      </c>
      <c r="C281" s="3265">
        <v>0.15</v>
      </c>
      <c r="D281" s="3265">
        <v>0.15</v>
      </c>
      <c r="E281" s="3265">
        <v>0.15</v>
      </c>
      <c r="F281" s="3265">
        <v>0.15</v>
      </c>
      <c r="G281" s="3266">
        <v>0.15</v>
      </c>
    </row>
    <row r="282" spans="1:7">
      <c r="A282" s="3275" t="s">
        <v>306</v>
      </c>
      <c r="B282" s="3264" t="s">
        <v>2889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2919</v>
      </c>
      <c r="C293" s="3265">
        <v>0.15</v>
      </c>
      <c r="D293" s="3265">
        <v>0.15</v>
      </c>
      <c r="E293" s="3265">
        <v>0.15</v>
      </c>
      <c r="F293" s="3265">
        <v>0.14499999999999999</v>
      </c>
      <c r="G293" s="3266">
        <v>0.15</v>
      </c>
    </row>
    <row r="294" spans="1:7">
      <c r="A294" s="3275" t="s">
        <v>306</v>
      </c>
      <c r="B294" s="3264" t="s">
        <v>2921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2951</v>
      </c>
      <c r="C302" s="3265">
        <v>0.15</v>
      </c>
      <c r="D302" s="3265">
        <v>0.15</v>
      </c>
      <c r="E302" s="3265">
        <v>0.15</v>
      </c>
      <c r="F302" s="3265">
        <v>0.14699999999999999</v>
      </c>
      <c r="G302" s="3266">
        <v>0.15</v>
      </c>
    </row>
    <row r="303" spans="1:7">
      <c r="A303" s="3275" t="s">
        <v>306</v>
      </c>
      <c r="B303" s="3264" t="s">
        <v>2958</v>
      </c>
      <c r="C303" s="3265">
        <v>0.15</v>
      </c>
      <c r="D303" s="3265">
        <v>0.15</v>
      </c>
      <c r="E303" s="3265">
        <v>0.15</v>
      </c>
      <c r="F303" s="3265">
        <v>0.14199999999999999</v>
      </c>
      <c r="G303" s="3266">
        <v>0.15</v>
      </c>
    </row>
    <row r="304" spans="1:7">
      <c r="A304" s="3275" t="s">
        <v>306</v>
      </c>
      <c r="B304" s="3264" t="s">
        <v>2965</v>
      </c>
      <c r="C304" s="3265">
        <v>0.15</v>
      </c>
      <c r="D304" s="3265">
        <v>0.15</v>
      </c>
      <c r="E304" s="3265">
        <v>0.15</v>
      </c>
      <c r="F304" s="3265">
        <v>0.14499999999999999</v>
      </c>
      <c r="G304" s="3266">
        <v>0.15</v>
      </c>
    </row>
    <row r="305" spans="1:7">
      <c r="A305" s="3275" t="s">
        <v>306</v>
      </c>
      <c r="B305" s="3264" t="s">
        <v>2971</v>
      </c>
      <c r="C305" s="3265">
        <v>0.15</v>
      </c>
      <c r="D305" s="3265">
        <v>0.15</v>
      </c>
      <c r="E305" s="3265">
        <v>0.15</v>
      </c>
      <c r="F305" s="3265">
        <v>0.111</v>
      </c>
      <c r="G305" s="3266">
        <v>0.15</v>
      </c>
    </row>
    <row r="306" spans="1:7">
      <c r="A306" s="3275" t="s">
        <v>306</v>
      </c>
      <c r="B306" s="3264" t="s">
        <v>2978</v>
      </c>
      <c r="C306" s="3265">
        <v>0.15</v>
      </c>
      <c r="D306" s="3265">
        <v>0.15</v>
      </c>
      <c r="E306" s="3265">
        <v>0.15</v>
      </c>
      <c r="F306" s="3265">
        <v>0.126</v>
      </c>
      <c r="G306" s="3266">
        <v>0.15</v>
      </c>
    </row>
    <row r="307" spans="1:7">
      <c r="A307" s="3275" t="s">
        <v>306</v>
      </c>
      <c r="B307" s="3264" t="s">
        <v>2983</v>
      </c>
      <c r="C307" s="3265">
        <v>0.15</v>
      </c>
      <c r="D307" s="3265">
        <v>0.15</v>
      </c>
      <c r="E307" s="3265">
        <v>0.15</v>
      </c>
      <c r="F307" s="3265">
        <v>0.12</v>
      </c>
      <c r="G307" s="3266">
        <v>0.15</v>
      </c>
    </row>
    <row r="308" spans="1:7">
      <c r="A308" s="3275" t="s">
        <v>306</v>
      </c>
      <c r="B308" s="3264" t="s">
        <v>2989</v>
      </c>
      <c r="C308" s="3265">
        <v>0.15</v>
      </c>
      <c r="D308" s="3265">
        <v>0.15</v>
      </c>
      <c r="E308" s="3265">
        <v>0.15</v>
      </c>
      <c r="F308" s="3265">
        <v>0.13</v>
      </c>
      <c r="G308" s="3266">
        <v>0.15</v>
      </c>
    </row>
    <row r="309" spans="1:7">
      <c r="A309" s="3275" t="s">
        <v>306</v>
      </c>
      <c r="B309" s="3264" t="s">
        <v>2993</v>
      </c>
      <c r="C309" s="3265">
        <v>0.15</v>
      </c>
      <c r="D309" s="3265">
        <v>0.15</v>
      </c>
      <c r="E309" s="3265">
        <v>0.15</v>
      </c>
      <c r="F309" s="3265">
        <v>0.14099999999999999</v>
      </c>
      <c r="G309" s="3266">
        <v>0.15</v>
      </c>
    </row>
    <row r="310" spans="1:7">
      <c r="A310" s="3275" t="s">
        <v>306</v>
      </c>
      <c r="B310" s="3264" t="s">
        <v>2998</v>
      </c>
      <c r="C310" s="3265">
        <v>0.15</v>
      </c>
      <c r="D310" s="3265">
        <v>0.15</v>
      </c>
      <c r="E310" s="3265">
        <v>0.15</v>
      </c>
      <c r="F310" s="3265">
        <v>0.15</v>
      </c>
      <c r="G310" s="3266">
        <v>0.15</v>
      </c>
    </row>
    <row r="311" spans="1:7">
      <c r="A311" s="3275" t="s">
        <v>306</v>
      </c>
      <c r="B311" s="3264" t="s">
        <v>3003</v>
      </c>
      <c r="C311" s="3265">
        <v>0.13200000000000001</v>
      </c>
      <c r="D311" s="3265">
        <v>0.13300000000000001</v>
      </c>
      <c r="E311" s="3265">
        <v>0.14499999999999999</v>
      </c>
      <c r="F311" s="3265">
        <v>0.14199999999999999</v>
      </c>
      <c r="G311" s="3266">
        <v>0.14000000000000001</v>
      </c>
    </row>
    <row r="312" spans="1:7">
      <c r="A312" s="3275" t="s">
        <v>306</v>
      </c>
      <c r="B312" s="3264" t="s">
        <v>3008</v>
      </c>
      <c r="C312" s="3265">
        <v>0.13800000000000001</v>
      </c>
      <c r="D312" s="3265">
        <v>0.14000000000000001</v>
      </c>
      <c r="E312" s="3265">
        <v>0.14599999999999999</v>
      </c>
      <c r="F312" s="3265">
        <v>0.14899999999999999</v>
      </c>
      <c r="G312" s="3266">
        <v>0.14199999999999999</v>
      </c>
    </row>
    <row r="313" spans="1:7">
      <c r="A313" s="3275" t="s">
        <v>306</v>
      </c>
      <c r="B313" s="3264" t="s">
        <v>3013</v>
      </c>
      <c r="C313" s="3265">
        <v>0.125</v>
      </c>
      <c r="D313" s="3265">
        <v>0.127</v>
      </c>
      <c r="E313" s="3265">
        <v>0.14399999999999999</v>
      </c>
      <c r="F313" s="3265">
        <v>0.115</v>
      </c>
      <c r="G313" s="3266">
        <v>0.13600000000000001</v>
      </c>
    </row>
    <row r="314" spans="1:7">
      <c r="A314" s="3275" t="s">
        <v>306</v>
      </c>
      <c r="B314" s="3264" t="s">
        <v>3222</v>
      </c>
      <c r="C314" s="3281"/>
      <c r="D314" s="3281"/>
      <c r="E314" s="3281"/>
      <c r="F314" s="3265">
        <v>0.05</v>
      </c>
      <c r="G314" s="3282"/>
    </row>
    <row r="315" spans="1:7">
      <c r="A315" s="3275" t="s">
        <v>306</v>
      </c>
      <c r="B315" s="3264" t="s">
        <v>3223</v>
      </c>
      <c r="C315" s="3281"/>
      <c r="D315" s="3281"/>
      <c r="E315" s="3281"/>
      <c r="F315" s="3265">
        <v>0.05</v>
      </c>
      <c r="G315" s="3282"/>
    </row>
    <row r="316" spans="1:7">
      <c r="A316" s="3275" t="s">
        <v>306</v>
      </c>
      <c r="B316" s="3264" t="s">
        <v>3224</v>
      </c>
      <c r="C316" s="3276"/>
      <c r="D316" s="3276"/>
      <c r="E316" s="3276"/>
      <c r="F316" s="3265">
        <v>0.05</v>
      </c>
      <c r="G316" s="3282"/>
    </row>
    <row r="317" spans="1:7">
      <c r="A317" s="3275" t="s">
        <v>306</v>
      </c>
      <c r="B317" s="3264" t="s">
        <v>3225</v>
      </c>
      <c r="C317" s="3276"/>
      <c r="D317" s="3276"/>
      <c r="E317" s="3276"/>
      <c r="F317" s="3265">
        <v>0.05</v>
      </c>
      <c r="G317" s="3282"/>
    </row>
    <row r="318" spans="1:7">
      <c r="A318" s="3275" t="s">
        <v>306</v>
      </c>
      <c r="B318" s="3264" t="s">
        <v>3226</v>
      </c>
      <c r="C318" s="3276"/>
      <c r="D318" s="3276"/>
      <c r="E318" s="3276"/>
      <c r="F318" s="3265">
        <v>0.05</v>
      </c>
      <c r="G318" s="3282"/>
    </row>
    <row r="319" spans="1:7">
      <c r="A319" s="3275" t="s">
        <v>306</v>
      </c>
      <c r="B319" s="3264" t="s">
        <v>3227</v>
      </c>
      <c r="C319" s="3276"/>
      <c r="D319" s="3276"/>
      <c r="E319" s="3276"/>
      <c r="F319" s="3265">
        <v>0.05</v>
      </c>
      <c r="G319" s="3282"/>
    </row>
    <row r="320" spans="1:7">
      <c r="A320" s="3275" t="s">
        <v>306</v>
      </c>
      <c r="B320" s="3264" t="s">
        <v>3228</v>
      </c>
      <c r="C320" s="3276"/>
      <c r="D320" s="3276"/>
      <c r="E320" s="3276"/>
      <c r="F320" s="3265">
        <v>0.05</v>
      </c>
      <c r="G320" s="3282"/>
    </row>
    <row r="321" spans="1:7">
      <c r="A321" s="3275" t="s">
        <v>306</v>
      </c>
      <c r="B321" s="3264" t="s">
        <v>3229</v>
      </c>
      <c r="C321" s="3276"/>
      <c r="D321" s="3276"/>
      <c r="E321" s="3276"/>
      <c r="F321" s="3265">
        <v>0.05</v>
      </c>
      <c r="G321" s="3282"/>
    </row>
    <row r="322" spans="1:7">
      <c r="A322" s="3275" t="s">
        <v>306</v>
      </c>
      <c r="B322" s="3264" t="s">
        <v>3230</v>
      </c>
      <c r="C322" s="3276"/>
      <c r="D322" s="3276"/>
      <c r="E322" s="3276"/>
      <c r="F322" s="3265">
        <v>0.05</v>
      </c>
      <c r="G322" s="3282"/>
    </row>
    <row r="323" spans="1:7">
      <c r="A323" s="3275" t="s">
        <v>306</v>
      </c>
      <c r="B323" s="3264" t="s">
        <v>3231</v>
      </c>
      <c r="C323" s="3276"/>
      <c r="D323" s="3276"/>
      <c r="E323" s="3276"/>
      <c r="F323" s="3265">
        <v>0.05</v>
      </c>
      <c r="G323" s="3282"/>
    </row>
    <row r="324" spans="1:7">
      <c r="A324" s="3275" t="s">
        <v>306</v>
      </c>
      <c r="B324" s="3264" t="s">
        <v>3232</v>
      </c>
      <c r="C324" s="3276"/>
      <c r="D324" s="3276"/>
      <c r="E324" s="3276"/>
      <c r="F324" s="3265">
        <v>0.05</v>
      </c>
      <c r="G324" s="3282"/>
    </row>
    <row r="325" spans="1:7">
      <c r="A325" s="3275" t="s">
        <v>306</v>
      </c>
      <c r="B325" s="3264" t="s">
        <v>3233</v>
      </c>
      <c r="C325" s="3276"/>
      <c r="D325" s="3276"/>
      <c r="E325" s="3276"/>
      <c r="F325" s="3265">
        <v>0.05</v>
      </c>
      <c r="G325" s="3282"/>
    </row>
    <row r="326" spans="1:7" ht="14.25" thickBot="1">
      <c r="A326" s="3278" t="s">
        <v>306</v>
      </c>
      <c r="B326" s="3268" t="s">
        <v>3234</v>
      </c>
      <c r="C326" s="3270"/>
      <c r="D326" s="3270"/>
      <c r="E326" s="3270"/>
      <c r="F326" s="3269">
        <v>0.05</v>
      </c>
      <c r="G326" s="3283"/>
    </row>
    <row r="327" spans="1:7">
      <c r="A327" s="3274" t="s">
        <v>307</v>
      </c>
      <c r="B327" s="3260" t="s">
        <v>2866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2878</v>
      </c>
      <c r="C329" s="3265">
        <v>0.15</v>
      </c>
      <c r="D329" s="3265">
        <v>0.15</v>
      </c>
      <c r="E329" s="3265">
        <v>0.15</v>
      </c>
      <c r="F329" s="3265">
        <v>0.15</v>
      </c>
      <c r="G329" s="3266">
        <v>0.15</v>
      </c>
    </row>
    <row r="330" spans="1:7">
      <c r="A330" s="3275" t="s">
        <v>307</v>
      </c>
      <c r="B330" s="3264" t="s">
        <v>2882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2890</v>
      </c>
      <c r="C332" s="3265">
        <v>0.15</v>
      </c>
      <c r="D332" s="3265">
        <v>0.15</v>
      </c>
      <c r="E332" s="3265">
        <v>0.15</v>
      </c>
      <c r="F332" s="3265">
        <v>0.15</v>
      </c>
      <c r="G332" s="3266">
        <v>0.15</v>
      </c>
    </row>
    <row r="333" spans="1:7">
      <c r="A333" s="3275" t="s">
        <v>307</v>
      </c>
      <c r="B333" s="3264" t="s">
        <v>2894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2900</v>
      </c>
      <c r="C336" s="3265">
        <v>0.15</v>
      </c>
      <c r="D336" s="3265">
        <v>0.15</v>
      </c>
      <c r="E336" s="3265">
        <v>0.15</v>
      </c>
      <c r="F336" s="3265">
        <v>0.14199999999999999</v>
      </c>
      <c r="G336" s="3266">
        <v>0.15</v>
      </c>
    </row>
    <row r="337" spans="1:7">
      <c r="A337" s="3275" t="s">
        <v>307</v>
      </c>
      <c r="B337" s="3264" t="s">
        <v>2905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2925</v>
      </c>
      <c r="C345" s="3265">
        <v>0.15</v>
      </c>
      <c r="D345" s="3265">
        <v>0.15</v>
      </c>
      <c r="E345" s="3265">
        <v>0.15</v>
      </c>
      <c r="F345" s="3265">
        <v>0.13800000000000001</v>
      </c>
      <c r="G345" s="3266">
        <v>0.15</v>
      </c>
    </row>
    <row r="346" spans="1:7">
      <c r="A346" s="3275" t="s">
        <v>307</v>
      </c>
      <c r="B346" s="3264" t="s">
        <v>2927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2934</v>
      </c>
      <c r="C348" s="3265">
        <v>0.15</v>
      </c>
      <c r="D348" s="3265">
        <v>0.15</v>
      </c>
      <c r="E348" s="3265">
        <v>0.15</v>
      </c>
      <c r="F348" s="3265">
        <v>0.14399999999999999</v>
      </c>
      <c r="G348" s="3266">
        <v>0.15</v>
      </c>
    </row>
    <row r="349" spans="1:7">
      <c r="A349" s="3275" t="s">
        <v>307</v>
      </c>
      <c r="B349" s="3264" t="s">
        <v>2939</v>
      </c>
      <c r="C349" s="3265">
        <v>0.15</v>
      </c>
      <c r="D349" s="3265">
        <v>0.15</v>
      </c>
      <c r="E349" s="3265">
        <v>0.15</v>
      </c>
      <c r="F349" s="3265">
        <v>0.15</v>
      </c>
      <c r="G349" s="3266">
        <v>0.15</v>
      </c>
    </row>
    <row r="350" spans="1:7">
      <c r="A350" s="3275" t="s">
        <v>307</v>
      </c>
      <c r="B350" s="3264" t="s">
        <v>2942</v>
      </c>
      <c r="C350" s="3265">
        <v>0.15</v>
      </c>
      <c r="D350" s="3265">
        <v>0.15</v>
      </c>
      <c r="E350" s="3265">
        <v>0.15</v>
      </c>
      <c r="F350" s="3265">
        <v>0.14699999999999999</v>
      </c>
      <c r="G350" s="3266">
        <v>0.15</v>
      </c>
    </row>
    <row r="351" spans="1:7">
      <c r="A351" s="3275" t="s">
        <v>307</v>
      </c>
      <c r="B351" s="3264" t="s">
        <v>2947</v>
      </c>
      <c r="C351" s="3265">
        <v>0.15</v>
      </c>
      <c r="D351" s="3265">
        <v>0.15</v>
      </c>
      <c r="E351" s="3265">
        <v>0.15</v>
      </c>
      <c r="F351" s="3265">
        <v>0.13</v>
      </c>
      <c r="G351" s="3266">
        <v>0.15</v>
      </c>
    </row>
    <row r="352" spans="1:7">
      <c r="A352" s="3275" t="s">
        <v>307</v>
      </c>
      <c r="B352" s="3264" t="s">
        <v>2952</v>
      </c>
      <c r="C352" s="3265">
        <v>0.15</v>
      </c>
      <c r="D352" s="3265">
        <v>0.15</v>
      </c>
      <c r="E352" s="3265">
        <v>0.15</v>
      </c>
      <c r="F352" s="3265">
        <v>0.14599999999999999</v>
      </c>
      <c r="G352" s="3266">
        <v>0.15</v>
      </c>
    </row>
    <row r="353" spans="1:7">
      <c r="A353" s="3275" t="s">
        <v>307</v>
      </c>
      <c r="B353" s="3264" t="s">
        <v>2959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2972</v>
      </c>
      <c r="C355" s="3265">
        <v>0.15</v>
      </c>
      <c r="D355" s="3265">
        <v>0.15</v>
      </c>
      <c r="E355" s="3265">
        <v>0.15</v>
      </c>
      <c r="F355" s="3265">
        <v>0.15</v>
      </c>
      <c r="G355" s="3266">
        <v>0.15</v>
      </c>
    </row>
    <row r="356" spans="1:7">
      <c r="A356" s="3275" t="s">
        <v>307</v>
      </c>
      <c r="B356" s="3264" t="s">
        <v>2979</v>
      </c>
      <c r="C356" s="3265">
        <v>0.15</v>
      </c>
      <c r="D356" s="3265">
        <v>0.15</v>
      </c>
      <c r="E356" s="3265">
        <v>0.15</v>
      </c>
      <c r="F356" s="3265">
        <v>0.15</v>
      </c>
      <c r="G356" s="3266">
        <v>0.15</v>
      </c>
    </row>
    <row r="357" spans="1:7" ht="14.25" thickBot="1">
      <c r="A357" s="3278" t="s">
        <v>307</v>
      </c>
      <c r="B357" s="3268" t="s">
        <v>2984</v>
      </c>
      <c r="C357" s="3269">
        <v>0.126</v>
      </c>
      <c r="D357" s="3269">
        <v>0.127</v>
      </c>
      <c r="E357" s="3269">
        <v>0.14299999999999999</v>
      </c>
      <c r="F357" s="3269">
        <v>0.125</v>
      </c>
      <c r="G357" s="3271">
        <v>0.129</v>
      </c>
    </row>
    <row r="358" spans="1:7">
      <c r="A358" s="3274" t="s">
        <v>2853</v>
      </c>
      <c r="B358" s="3260" t="s">
        <v>2867</v>
      </c>
      <c r="C358" s="3261">
        <v>0.15</v>
      </c>
      <c r="D358" s="3261">
        <v>0.15</v>
      </c>
      <c r="E358" s="3261">
        <v>0.15</v>
      </c>
      <c r="F358" s="3261">
        <v>0.15</v>
      </c>
      <c r="G358" s="3262">
        <v>0.15</v>
      </c>
    </row>
    <row r="359" spans="1:7">
      <c r="A359" s="3275" t="s">
        <v>2853</v>
      </c>
      <c r="B359" s="3264" t="s">
        <v>2873</v>
      </c>
      <c r="C359" s="3265">
        <v>0.1</v>
      </c>
      <c r="D359" s="3265">
        <v>0.1</v>
      </c>
      <c r="E359" s="3265">
        <v>0.1</v>
      </c>
      <c r="F359" s="3265">
        <v>0.1</v>
      </c>
      <c r="G359" s="3266">
        <v>0.1</v>
      </c>
    </row>
    <row r="360" spans="1:7">
      <c r="A360" s="3275" t="s">
        <v>2853</v>
      </c>
      <c r="B360" s="3264" t="s">
        <v>2879</v>
      </c>
      <c r="C360" s="3265">
        <v>0.15</v>
      </c>
      <c r="D360" s="3265">
        <v>0.15</v>
      </c>
      <c r="E360" s="3265">
        <v>0.15</v>
      </c>
      <c r="F360" s="3265">
        <v>0.14899999999999999</v>
      </c>
      <c r="G360" s="3266">
        <v>0.15</v>
      </c>
    </row>
    <row r="361" spans="1:7">
      <c r="A361" s="3275" t="s">
        <v>2853</v>
      </c>
      <c r="B361" s="3264" t="s">
        <v>153</v>
      </c>
      <c r="C361" s="3265">
        <v>0.15</v>
      </c>
      <c r="D361" s="3265">
        <v>0.15</v>
      </c>
      <c r="E361" s="3265">
        <v>0.15</v>
      </c>
      <c r="F361" s="3265">
        <v>0.115</v>
      </c>
      <c r="G361" s="3266">
        <v>0.15</v>
      </c>
    </row>
    <row r="362" spans="1:7">
      <c r="A362" s="3275" t="s">
        <v>2853</v>
      </c>
      <c r="B362" s="3264" t="s">
        <v>2886</v>
      </c>
      <c r="C362" s="3265">
        <v>0.15</v>
      </c>
      <c r="D362" s="3265">
        <v>0.15</v>
      </c>
      <c r="E362" s="3265">
        <v>0.15</v>
      </c>
      <c r="F362" s="3265">
        <v>0.106</v>
      </c>
      <c r="G362" s="3266">
        <v>0.15</v>
      </c>
    </row>
    <row r="363" spans="1:7">
      <c r="A363" s="3275" t="s">
        <v>2853</v>
      </c>
      <c r="B363" s="3264" t="s">
        <v>2891</v>
      </c>
      <c r="C363" s="3265">
        <v>0.15</v>
      </c>
      <c r="D363" s="3265">
        <v>0.15</v>
      </c>
      <c r="E363" s="3265">
        <v>0.15</v>
      </c>
      <c r="F363" s="3265">
        <v>0.14699999999999999</v>
      </c>
      <c r="G363" s="3266">
        <v>0.15</v>
      </c>
    </row>
    <row r="364" spans="1:7">
      <c r="A364" s="3275" t="s">
        <v>2853</v>
      </c>
      <c r="B364" s="3264" t="s">
        <v>2895</v>
      </c>
      <c r="C364" s="3265">
        <v>0.15</v>
      </c>
      <c r="D364" s="3265">
        <v>0.15</v>
      </c>
      <c r="E364" s="3265">
        <v>0.15</v>
      </c>
      <c r="F364" s="3265">
        <v>0.14799999999999999</v>
      </c>
      <c r="G364" s="3266">
        <v>0.15</v>
      </c>
    </row>
    <row r="365" spans="1:7">
      <c r="A365" s="3275" t="s">
        <v>2853</v>
      </c>
      <c r="B365" s="3264" t="s">
        <v>200</v>
      </c>
      <c r="C365" s="3265">
        <v>0.15</v>
      </c>
      <c r="D365" s="3265">
        <v>0.15</v>
      </c>
      <c r="E365" s="3265">
        <v>0.15</v>
      </c>
      <c r="F365" s="3265">
        <v>0.15</v>
      </c>
      <c r="G365" s="3266">
        <v>0.15</v>
      </c>
    </row>
    <row r="366" spans="1:7">
      <c r="A366" s="3275" t="s">
        <v>2853</v>
      </c>
      <c r="B366" s="3264" t="s">
        <v>2898</v>
      </c>
      <c r="C366" s="3265">
        <v>0.15</v>
      </c>
      <c r="D366" s="3265">
        <v>0.15</v>
      </c>
      <c r="E366" s="3265">
        <v>0.15</v>
      </c>
      <c r="F366" s="3265">
        <v>0.15</v>
      </c>
      <c r="G366" s="3266">
        <v>0.15</v>
      </c>
    </row>
    <row r="367" spans="1:7">
      <c r="A367" s="3275" t="s">
        <v>2853</v>
      </c>
      <c r="B367" s="3264" t="s">
        <v>2901</v>
      </c>
      <c r="C367" s="3265">
        <v>0.15</v>
      </c>
      <c r="D367" s="3265">
        <v>0.15</v>
      </c>
      <c r="E367" s="3265">
        <v>0.15</v>
      </c>
      <c r="F367" s="3265">
        <v>0.14699999999999999</v>
      </c>
      <c r="G367" s="3266">
        <v>0.15</v>
      </c>
    </row>
    <row r="368" spans="1:7">
      <c r="A368" s="3275" t="s">
        <v>2853</v>
      </c>
      <c r="B368" s="3264" t="s">
        <v>2906</v>
      </c>
      <c r="C368" s="3265">
        <v>0.15</v>
      </c>
      <c r="D368" s="3265">
        <v>0.15</v>
      </c>
      <c r="E368" s="3265">
        <v>0.15</v>
      </c>
      <c r="F368" s="3265">
        <v>0.13600000000000001</v>
      </c>
      <c r="G368" s="3266">
        <v>0.15</v>
      </c>
    </row>
    <row r="369" spans="1:7">
      <c r="A369" s="3275" t="s">
        <v>2853</v>
      </c>
      <c r="B369" s="3264" t="s">
        <v>214</v>
      </c>
      <c r="C369" s="3265">
        <v>0.15</v>
      </c>
      <c r="D369" s="3265">
        <v>0.15</v>
      </c>
      <c r="E369" s="3265">
        <v>0.15</v>
      </c>
      <c r="F369" s="3265">
        <v>0.14399999999999999</v>
      </c>
      <c r="G369" s="3266">
        <v>0.15</v>
      </c>
    </row>
    <row r="370" spans="1:7">
      <c r="A370" s="3275" t="s">
        <v>2853</v>
      </c>
      <c r="B370" s="3264" t="s">
        <v>221</v>
      </c>
      <c r="C370" s="3265">
        <v>0.15</v>
      </c>
      <c r="D370" s="3265">
        <v>0.15</v>
      </c>
      <c r="E370" s="3265">
        <v>0.15</v>
      </c>
      <c r="F370" s="3265">
        <v>0.14599999999999999</v>
      </c>
      <c r="G370" s="3266">
        <v>0.15</v>
      </c>
    </row>
    <row r="371" spans="1:7">
      <c r="A371" s="3275" t="s">
        <v>2853</v>
      </c>
      <c r="B371" s="3264" t="s">
        <v>229</v>
      </c>
      <c r="C371" s="3265">
        <v>0.15</v>
      </c>
      <c r="D371" s="3265">
        <v>0.15</v>
      </c>
      <c r="E371" s="3265">
        <v>0.15</v>
      </c>
      <c r="F371" s="3265">
        <v>0.12</v>
      </c>
      <c r="G371" s="3266">
        <v>0.15</v>
      </c>
    </row>
    <row r="372" spans="1:7">
      <c r="A372" s="3275" t="s">
        <v>2853</v>
      </c>
      <c r="B372" s="3264" t="s">
        <v>2914</v>
      </c>
      <c r="C372" s="3265">
        <v>0.15</v>
      </c>
      <c r="D372" s="3265">
        <v>0.15</v>
      </c>
      <c r="E372" s="3265">
        <v>0.15</v>
      </c>
      <c r="F372" s="3265">
        <v>0.14299999999999999</v>
      </c>
      <c r="G372" s="3266">
        <v>0.15</v>
      </c>
    </row>
    <row r="373" spans="1:7">
      <c r="A373" s="3275" t="s">
        <v>2853</v>
      </c>
      <c r="B373" s="3264" t="s">
        <v>258</v>
      </c>
      <c r="C373" s="3265">
        <v>0.15</v>
      </c>
      <c r="D373" s="3265">
        <v>0.15</v>
      </c>
      <c r="E373" s="3265">
        <v>0.15</v>
      </c>
      <c r="F373" s="3265">
        <v>0.14599999999999999</v>
      </c>
      <c r="G373" s="3266">
        <v>0.15</v>
      </c>
    </row>
    <row r="374" spans="1:7">
      <c r="A374" s="3275" t="s">
        <v>2853</v>
      </c>
      <c r="B374" s="3264" t="s">
        <v>266</v>
      </c>
      <c r="C374" s="3265">
        <v>0.15</v>
      </c>
      <c r="D374" s="3265">
        <v>0.15</v>
      </c>
      <c r="E374" s="3265">
        <v>0.15</v>
      </c>
      <c r="F374" s="3265">
        <v>0.14399999999999999</v>
      </c>
      <c r="G374" s="3266">
        <v>0.15</v>
      </c>
    </row>
    <row r="375" spans="1:7">
      <c r="A375" s="3275" t="s">
        <v>2853</v>
      </c>
      <c r="B375" s="3264" t="s">
        <v>2922</v>
      </c>
      <c r="C375" s="3265">
        <v>0.15</v>
      </c>
      <c r="D375" s="3265">
        <v>0.15</v>
      </c>
      <c r="E375" s="3265">
        <v>0.15</v>
      </c>
      <c r="F375" s="3265">
        <v>0.13</v>
      </c>
      <c r="G375" s="3266">
        <v>0.15</v>
      </c>
    </row>
    <row r="376" spans="1:7">
      <c r="A376" s="3275" t="s">
        <v>2853</v>
      </c>
      <c r="B376" s="3264" t="s">
        <v>277</v>
      </c>
      <c r="C376" s="3265">
        <v>0.15</v>
      </c>
      <c r="D376" s="3265">
        <v>0.15</v>
      </c>
      <c r="E376" s="3265">
        <v>0.15</v>
      </c>
      <c r="F376" s="3265">
        <v>0.14199999999999999</v>
      </c>
      <c r="G376" s="3266">
        <v>0.15</v>
      </c>
    </row>
    <row r="377" spans="1:7" ht="14.25" thickBot="1">
      <c r="A377" s="3278" t="s">
        <v>2853</v>
      </c>
      <c r="B377" s="3268" t="s">
        <v>2928</v>
      </c>
      <c r="C377" s="3269">
        <v>0.15</v>
      </c>
      <c r="D377" s="3269">
        <v>0.15</v>
      </c>
      <c r="E377" s="3269">
        <v>0.15</v>
      </c>
      <c r="F377" s="3269">
        <v>0.14000000000000001</v>
      </c>
      <c r="G377" s="3271">
        <v>0.15</v>
      </c>
    </row>
    <row r="378" spans="1:7">
      <c r="A378" s="3274" t="s">
        <v>2854</v>
      </c>
      <c r="B378" s="3260" t="s">
        <v>2868</v>
      </c>
      <c r="C378" s="3261">
        <v>0.15</v>
      </c>
      <c r="D378" s="3261">
        <v>0.15</v>
      </c>
      <c r="E378" s="3261">
        <v>0.15</v>
      </c>
      <c r="F378" s="3261">
        <v>0.107</v>
      </c>
      <c r="G378" s="3262">
        <v>0.15</v>
      </c>
    </row>
    <row r="379" spans="1:7">
      <c r="A379" s="3275" t="s">
        <v>2854</v>
      </c>
      <c r="B379" s="3264" t="s">
        <v>2874</v>
      </c>
      <c r="C379" s="3265">
        <v>0.15</v>
      </c>
      <c r="D379" s="3265">
        <v>0.15</v>
      </c>
      <c r="E379" s="3265">
        <v>0.15</v>
      </c>
      <c r="F379" s="3265">
        <v>0.115</v>
      </c>
      <c r="G379" s="3266">
        <v>0.14899999999999999</v>
      </c>
    </row>
    <row r="380" spans="1:7">
      <c r="A380" s="3275" t="s">
        <v>2854</v>
      </c>
      <c r="B380" s="3264" t="s">
        <v>2880</v>
      </c>
      <c r="C380" s="3265">
        <v>0.15</v>
      </c>
      <c r="D380" s="3265">
        <v>0.15</v>
      </c>
      <c r="E380" s="3265">
        <v>0.15</v>
      </c>
      <c r="F380" s="3265">
        <v>0.1</v>
      </c>
      <c r="G380" s="3266">
        <v>0.14799999999999999</v>
      </c>
    </row>
    <row r="381" spans="1:7">
      <c r="A381" s="3275" t="s">
        <v>2854</v>
      </c>
      <c r="B381" s="3264" t="s">
        <v>2883</v>
      </c>
      <c r="C381" s="3265">
        <v>0.15</v>
      </c>
      <c r="D381" s="3265">
        <v>0.15</v>
      </c>
      <c r="E381" s="3265">
        <v>0.15</v>
      </c>
      <c r="F381" s="3265">
        <v>0.126</v>
      </c>
      <c r="G381" s="3266">
        <v>0.15</v>
      </c>
    </row>
    <row r="382" spans="1:7">
      <c r="A382" s="3275" t="s">
        <v>2854</v>
      </c>
      <c r="B382" s="3264" t="s">
        <v>2887</v>
      </c>
      <c r="C382" s="3265">
        <v>0.15</v>
      </c>
      <c r="D382" s="3265">
        <v>0.15</v>
      </c>
      <c r="E382" s="3265">
        <v>0.15</v>
      </c>
      <c r="F382" s="3265">
        <v>0.15</v>
      </c>
      <c r="G382" s="3266">
        <v>0.15</v>
      </c>
    </row>
    <row r="383" spans="1:7">
      <c r="A383" s="3275" t="s">
        <v>2854</v>
      </c>
      <c r="B383" s="3264" t="s">
        <v>2892</v>
      </c>
      <c r="C383" s="3265">
        <v>0.15</v>
      </c>
      <c r="D383" s="3265">
        <v>0.15</v>
      </c>
      <c r="E383" s="3265">
        <v>0.15</v>
      </c>
      <c r="F383" s="3265">
        <v>0.14699999999999999</v>
      </c>
      <c r="G383" s="3266">
        <v>0.15</v>
      </c>
    </row>
    <row r="384" spans="1:7" ht="14.25" thickBot="1">
      <c r="A384" s="3285" t="s">
        <v>2854</v>
      </c>
      <c r="B384" s="3286" t="s">
        <v>2896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3" t="s">
        <v>3235</v>
      </c>
      <c r="B1" s="3783"/>
      <c r="C1" s="3783"/>
      <c r="D1" s="3783"/>
      <c r="E1" s="3783"/>
      <c r="F1" s="3784"/>
    </row>
    <row r="2" spans="1:6">
      <c r="A2" s="3291" t="s">
        <v>3236</v>
      </c>
      <c r="B2" s="3292"/>
      <c r="C2" s="3292"/>
      <c r="D2" s="3292"/>
      <c r="E2" s="3292"/>
      <c r="F2" s="3292"/>
    </row>
    <row r="3" spans="1:6">
      <c r="A3" s="3291" t="s">
        <v>3237</v>
      </c>
      <c r="B3" s="3292"/>
      <c r="C3" s="3292"/>
      <c r="D3" s="3292"/>
      <c r="E3" s="3292"/>
      <c r="F3" s="3293" t="s">
        <v>3238</v>
      </c>
    </row>
    <row r="4" spans="1:6">
      <c r="A4" s="3294" t="s">
        <v>672</v>
      </c>
      <c r="B4" s="3294" t="s">
        <v>673</v>
      </c>
      <c r="C4" s="3294" t="s">
        <v>21</v>
      </c>
      <c r="D4" s="3294" t="s">
        <v>674</v>
      </c>
      <c r="E4" s="3294" t="s">
        <v>3</v>
      </c>
      <c r="F4" s="3294" t="s">
        <v>3239</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45407</v>
      </c>
      <c r="B1" s="3210" t="s">
        <v>3373</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3377</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3378</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3379</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3372</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3371</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3370</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3366</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3357</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2823</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2824</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2825</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2826</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2827</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3368</v>
      </c>
    </row>
    <row r="21" spans="1:30" s="3009" customFormat="1">
      <c r="I21" s="3208" t="s">
        <v>2828</v>
      </c>
    </row>
    <row r="22" spans="1:30" s="3009" customFormat="1"/>
    <row r="23" spans="1:30" s="3209" customFormat="1" ht="12.75">
      <c r="B23" s="3210" t="s">
        <v>3374</v>
      </c>
      <c r="C23" s="3211"/>
      <c r="D23" s="3211"/>
      <c r="E23" s="3211"/>
      <c r="F23" s="3211"/>
      <c r="G23" s="3211"/>
      <c r="H23" s="3211"/>
      <c r="I23" s="3211"/>
      <c r="J23" s="3165"/>
      <c r="K23" s="3211" t="s">
        <v>2829</v>
      </c>
      <c r="L23" s="3211"/>
      <c r="M23" s="3211"/>
      <c r="N23" s="3211"/>
      <c r="O23" s="3211"/>
      <c r="P23" s="3211"/>
      <c r="Q23" s="3165"/>
      <c r="R23" s="3785" t="s">
        <v>2830</v>
      </c>
      <c r="S23" s="3786"/>
      <c r="T23" s="3786"/>
      <c r="U23" s="3786"/>
      <c r="V23" s="3786"/>
      <c r="W23" s="3786"/>
      <c r="X23" s="3165"/>
      <c r="Y23" s="3785" t="s">
        <v>2831</v>
      </c>
      <c r="Z23" s="3786"/>
      <c r="AA23" s="3786"/>
      <c r="AB23" s="3786"/>
      <c r="AC23" s="3786"/>
      <c r="AD23" s="3786"/>
    </row>
    <row r="24" spans="1:30" s="3143" customFormat="1" ht="14.25" thickBot="1">
      <c r="B24" s="3144"/>
      <c r="C24" s="3145"/>
      <c r="D24" s="3146" t="s">
        <v>2832</v>
      </c>
      <c r="E24" s="3147" t="s">
        <v>2833</v>
      </c>
      <c r="F24" s="3147" t="s">
        <v>2834</v>
      </c>
      <c r="G24" s="3147" t="s">
        <v>2835</v>
      </c>
      <c r="H24" s="3147"/>
      <c r="I24" s="3147" t="s">
        <v>2836</v>
      </c>
      <c r="J24" s="3148"/>
      <c r="K24" s="3146" t="s">
        <v>2832</v>
      </c>
      <c r="L24" s="3147" t="s">
        <v>2833</v>
      </c>
      <c r="M24" s="3147" t="s">
        <v>2834</v>
      </c>
      <c r="N24" s="3147" t="s">
        <v>2835</v>
      </c>
      <c r="O24" s="3147"/>
      <c r="P24" s="3147" t="s">
        <v>2836</v>
      </c>
      <c r="Q24" s="3148"/>
      <c r="R24" s="3146" t="s">
        <v>2832</v>
      </c>
      <c r="S24" s="3147" t="s">
        <v>2833</v>
      </c>
      <c r="T24" s="3147" t="s">
        <v>2834</v>
      </c>
      <c r="U24" s="3147" t="s">
        <v>2835</v>
      </c>
      <c r="V24" s="3147"/>
      <c r="W24" s="3147" t="s">
        <v>2836</v>
      </c>
      <c r="X24" s="3148"/>
      <c r="Y24" s="3146" t="s">
        <v>2832</v>
      </c>
      <c r="Z24" s="3147" t="s">
        <v>2833</v>
      </c>
      <c r="AA24" s="3147" t="s">
        <v>2834</v>
      </c>
      <c r="AB24" s="3147" t="s">
        <v>2835</v>
      </c>
      <c r="AC24" s="3147"/>
      <c r="AD24" s="3147" t="s">
        <v>2836</v>
      </c>
    </row>
    <row r="25" spans="1:30" s="3161" customFormat="1" ht="12.75">
      <c r="A25" s="3149" t="s">
        <v>2837</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3376</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3377</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3380</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3379</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3375</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3371</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3370</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3367</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3357</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2838</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2839</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2840</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2841</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2827</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45407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估价结果一览表</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房地产市场价值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30.22</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0" t="s">
        <v>927</v>
      </c>
      <c r="B5" s="3470"/>
      <c r="C5" s="3470"/>
      <c r="D5" s="3470" t="e">
        <f ca="1">结果表!D119</f>
        <v>#REF!</v>
      </c>
      <c r="E5" s="3470"/>
      <c r="F5" s="3470" t="e">
        <f ca="1">结果表!F119</f>
        <v>#REF!</v>
      </c>
      <c r="G5" s="3470"/>
      <c r="H5" s="3470" t="e">
        <f ca="1">结果表!H119</f>
        <v>#REF!</v>
      </c>
      <c r="I5" s="3470"/>
    </row>
    <row r="6" spans="1:9" ht="15.75">
      <c r="A6" s="3471" t="str">
        <f>结果表!A120</f>
        <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
      </c>
      <c r="B8" s="3471"/>
      <c r="C8" s="3471"/>
      <c r="D8" s="3471" t="e">
        <f ca="1">结果表!D122</f>
        <v>#REF!</v>
      </c>
      <c r="E8" s="3471"/>
      <c r="F8" s="3471"/>
      <c r="G8" s="3471"/>
      <c r="H8" s="3471"/>
      <c r="I8" s="3471"/>
    </row>
    <row r="9" spans="1:9" ht="15">
      <c r="A9" s="3470" t="s">
        <v>927</v>
      </c>
      <c r="B9" s="3470"/>
      <c r="C9" s="3470"/>
      <c r="D9" s="3470" t="e">
        <f ca="1">结果表!D123</f>
        <v>#REF!</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1"/>
      <c r="C12" s="3481"/>
      <c r="D12" s="3481"/>
    </row>
    <row r="13" spans="1:4" ht="30" customHeight="1">
      <c r="A13" s="3480" t="str">
        <f>IF(项目基本情况!B8="抵押","3.抵押双方在办理抵押登记手续时，应使用本公司出具的正式《房地产评估报告》，特提醒报告使用者注意。","——")</f>
        <v>——</v>
      </c>
      <c r="B13" s="3481"/>
      <c r="C13" s="3481"/>
      <c r="D13" s="3481"/>
    </row>
    <row r="14" spans="1:4" ht="15.75" customHeight="1">
      <c r="A14" s="3480" t="str">
        <f>IF(项目基本情况!B8="抵押","4.本次评估估价师所知悉的法定优先受偿款情况说明如下：","——")</f>
        <v>——</v>
      </c>
      <c r="B14" s="3481"/>
      <c r="C14" s="3481"/>
      <c r="D14" s="3481"/>
    </row>
    <row r="15" spans="1:4" ht="42" customHeight="1">
      <c r="A15" s="3480" t="str">
        <f>IF(项目基本情况!B8="抵押","（1）"&amp;CONCATENATE(项目基本情况!L20,项目基本情况!L21,项目基本情况!L22),"——")</f>
        <v>——</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比较法-车位</vt:lpstr>
      <vt:lpstr>车位案例</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2024-05-17T08:49:10Z</dcterms:modified>
</cp:coreProperties>
</file>