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 (17层19C5)" sheetId="79"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租金办公" sheetId="78"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9" hidden="1">'比较法-租金办公'!$A$1:$L$50</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9">'比较法-租金办公'!$A$1:$K$55,'比较法-租金办公'!$A$58:$M$132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2">'结果表 (17层19C5)'!$A$1:$I$127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9">'比较法-租金办公'!$B$119:$M$119</definedName>
    <definedName name="办公层高">'比较法-办公'!$B$119:$M$119</definedName>
    <definedName name="办公朝向" localSheetId="39">'比较法-租金办公'!$B$91:$M$91</definedName>
    <definedName name="办公朝向">'比较法-办公'!$B$91:$M$91</definedName>
    <definedName name="办公道路级别" localSheetId="39">'比较法-租金办公'!$B$87:$M$87</definedName>
    <definedName name="办公道路级别">'比较法-办公'!$B$87:$M$87</definedName>
    <definedName name="办公公共部分装修" localSheetId="39">'比较法-租金办公'!$B$108:$M$108</definedName>
    <definedName name="办公公共部分装修">'比较法-办公'!$B$108:$M$108</definedName>
    <definedName name="办公基础设施水平" localSheetId="39">'比较法-租金办公'!$B$117:$M$117</definedName>
    <definedName name="办公基础设施水平">'比较法-办公'!$B$117:$M$117</definedName>
    <definedName name="办公集聚程度">定义!$M$1:$M$6</definedName>
    <definedName name="办公建筑结构" localSheetId="39">'比较法-租金办公'!$B$106:$M$106</definedName>
    <definedName name="办公建筑结构">'比较法-办公'!$B$106:$M$106</definedName>
    <definedName name="办公建筑类型" localSheetId="39">'比较法-租金办公'!$B$101:$M$101</definedName>
    <definedName name="办公建筑类型">'比较法-办公'!$B$101:$M$101</definedName>
    <definedName name="办公交易情况" localSheetId="39">'比较法-租金办公'!$A$62:$M$62</definedName>
    <definedName name="办公交易情况">'比较法-办公'!$A$62:$M$62</definedName>
    <definedName name="办公楼层" localSheetId="39">'比较法-租金办公'!$B$89:$M$89</definedName>
    <definedName name="办公楼层">'比较法-办公'!$B$89:$M$89</definedName>
    <definedName name="办公内部装修" localSheetId="39">'比较法-租金办公'!$B$123:$M$123</definedName>
    <definedName name="办公内部装修">'比较法-办公'!$B$123:$M$123</definedName>
    <definedName name="办公物业管理" localSheetId="39">'比较法-租金办公'!$B$115:$M$115</definedName>
    <definedName name="办公物业管理">'比较法-办公'!$B$115:$M$115</definedName>
    <definedName name="办公用途" localSheetId="39">'比较法-租金办公'!$B$64:$M$64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9">'比较法-租金办公'!$B$113:$M$113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N6" i="1" l="1"/>
  <c r="I48" i="34"/>
  <c r="G48" i="34"/>
  <c r="E48" i="34"/>
  <c r="I121" i="34"/>
  <c r="I42" i="34"/>
  <c r="F121" i="78"/>
  <c r="I42" i="78"/>
  <c r="H121" i="78"/>
  <c r="G42" i="78"/>
  <c r="E121" i="78"/>
  <c r="E42" i="78"/>
  <c r="D121" i="78"/>
  <c r="C42" i="78"/>
  <c r="H121" i="34"/>
  <c r="G42" i="34"/>
  <c r="A120" i="79"/>
  <c r="S2" i="4"/>
  <c r="A118" i="79"/>
  <c r="E111" i="79"/>
  <c r="H111" i="79"/>
  <c r="D126" i="79"/>
  <c r="D127" i="79"/>
  <c r="A126" i="79"/>
  <c r="E109" i="79"/>
  <c r="A124" i="79"/>
  <c r="E107" i="79"/>
  <c r="A122" i="79"/>
  <c r="H106" i="79"/>
  <c r="H105" i="79"/>
  <c r="H103" i="79"/>
  <c r="D120" i="79"/>
  <c r="H104" i="79"/>
  <c r="D101" i="79"/>
  <c r="C101" i="79"/>
  <c r="B43" i="1"/>
  <c r="D93" i="79"/>
  <c r="C91" i="79"/>
  <c r="E90" i="79"/>
  <c r="D89" i="79"/>
  <c r="C89" i="79"/>
  <c r="C87" i="79"/>
  <c r="D78" i="79"/>
  <c r="H77" i="79"/>
  <c r="D77" i="79"/>
  <c r="D3" i="4"/>
  <c r="B2" i="1"/>
  <c r="C42" i="1"/>
  <c r="C77" i="79"/>
  <c r="C76" i="79"/>
  <c r="B41" i="1"/>
  <c r="D68" i="79"/>
  <c r="F59" i="79"/>
  <c r="E59" i="79"/>
  <c r="K6" i="4"/>
  <c r="N56" i="79"/>
  <c r="M56" i="79"/>
  <c r="K56" i="79"/>
  <c r="J56" i="79"/>
  <c r="F56" i="79"/>
  <c r="O55" i="79"/>
  <c r="N55" i="79"/>
  <c r="K55" i="79"/>
  <c r="J55" i="79"/>
  <c r="J57" i="79"/>
  <c r="J59" i="79"/>
  <c r="J61" i="79"/>
  <c r="I55" i="79"/>
  <c r="F55" i="79"/>
  <c r="O53" i="79"/>
  <c r="O54" i="79"/>
  <c r="N54" i="79"/>
  <c r="F54" i="79"/>
  <c r="N53" i="79"/>
  <c r="F53" i="79"/>
  <c r="F52" i="79"/>
  <c r="K49" i="79"/>
  <c r="F48" i="79"/>
  <c r="O52" i="79"/>
  <c r="E48" i="79"/>
  <c r="N52" i="79"/>
  <c r="D48" i="79"/>
  <c r="M52" i="79"/>
  <c r="M47" i="79"/>
  <c r="F33" i="79"/>
  <c r="D27" i="79"/>
  <c r="C25" i="79"/>
  <c r="C24"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F19" i="6"/>
  <c r="E19" i="6"/>
  <c r="E3" i="6"/>
  <c r="D19" i="6"/>
  <c r="M19" i="79"/>
  <c r="C118" i="79"/>
  <c r="BQ5" i="3"/>
  <c r="BS5" i="3"/>
  <c r="F28" i="6"/>
  <c r="BR5" i="3"/>
  <c r="BT5" i="3"/>
  <c r="G28" i="6"/>
  <c r="E28" i="6"/>
  <c r="F20" i="6"/>
  <c r="E20" i="6"/>
  <c r="E21" i="6"/>
  <c r="E22" i="6"/>
  <c r="E23" i="6"/>
  <c r="E24" i="6"/>
  <c r="E25" i="6"/>
  <c r="E26" i="6"/>
  <c r="BA5" i="3"/>
  <c r="E27" i="6"/>
  <c r="K19" i="6"/>
  <c r="L19" i="6"/>
  <c r="M19" i="6"/>
  <c r="I19" i="6"/>
  <c r="H19" i="6"/>
  <c r="L19" i="79"/>
  <c r="M18" i="79"/>
  <c r="B118" i="79"/>
  <c r="L18" i="79"/>
  <c r="D17" i="79"/>
  <c r="C17" i="79"/>
  <c r="C18" i="79"/>
  <c r="D18" i="79"/>
  <c r="L4" i="79"/>
  <c r="K4" i="79"/>
  <c r="A2" i="79"/>
  <c r="H1" i="79"/>
  <c r="B131" i="78"/>
  <c r="B129" i="78"/>
  <c r="B127" i="78"/>
  <c r="D126" i="78"/>
  <c r="E126" i="78"/>
  <c r="F126" i="78"/>
  <c r="G126" i="78"/>
  <c r="D124" i="78"/>
  <c r="E124" i="78"/>
  <c r="F124" i="78"/>
  <c r="G124" i="78"/>
  <c r="H124" i="78"/>
  <c r="I124" i="78"/>
  <c r="J124" i="78"/>
  <c r="K124" i="78"/>
  <c r="L124" i="78"/>
  <c r="M124" i="78"/>
  <c r="J122" i="78"/>
  <c r="I122" i="78"/>
  <c r="H122" i="78"/>
  <c r="G122" i="78"/>
  <c r="F122" i="78"/>
  <c r="E122" i="78"/>
  <c r="D122" i="78"/>
  <c r="C122" i="78"/>
  <c r="J121" i="78"/>
  <c r="I121" i="78"/>
  <c r="G121" i="78"/>
  <c r="C121" i="78"/>
  <c r="D120" i="78"/>
  <c r="E120" i="78"/>
  <c r="F120" i="78"/>
  <c r="G120" i="78"/>
  <c r="H120" i="78"/>
  <c r="I120" i="78"/>
  <c r="J120" i="78"/>
  <c r="K120" i="78"/>
  <c r="L120" i="78"/>
  <c r="M120" i="78"/>
  <c r="D118" i="78"/>
  <c r="E118" i="78"/>
  <c r="F118" i="78"/>
  <c r="G118" i="78"/>
  <c r="D116" i="78"/>
  <c r="E116" i="78"/>
  <c r="F116" i="78"/>
  <c r="G116" i="78"/>
  <c r="H116" i="78"/>
  <c r="I116" i="78"/>
  <c r="J116" i="78"/>
  <c r="K116" i="78"/>
  <c r="L116" i="78"/>
  <c r="M116" i="78"/>
  <c r="D114" i="78"/>
  <c r="E114" i="78"/>
  <c r="F114" i="78"/>
  <c r="G114" i="78"/>
  <c r="H114" i="78"/>
  <c r="I114" i="78"/>
  <c r="J114" i="78"/>
  <c r="K114" i="78"/>
  <c r="L114" i="78"/>
  <c r="M114" i="78"/>
  <c r="D112" i="78"/>
  <c r="E112" i="78"/>
  <c r="F112" i="78"/>
  <c r="G112" i="78"/>
  <c r="H112" i="78"/>
  <c r="I112" i="78"/>
  <c r="J112" i="78"/>
  <c r="K112" i="78"/>
  <c r="L112" i="78"/>
  <c r="M112" i="78"/>
  <c r="G110" i="78"/>
  <c r="F110" i="78"/>
  <c r="E110" i="78"/>
  <c r="D110" i="78"/>
  <c r="C110" i="78"/>
  <c r="D109" i="78"/>
  <c r="E109" i="78"/>
  <c r="F109" i="78"/>
  <c r="G109" i="78"/>
  <c r="H109" i="78"/>
  <c r="I109" i="78"/>
  <c r="J109" i="78"/>
  <c r="K109" i="78"/>
  <c r="L109" i="78"/>
  <c r="M109" i="78"/>
  <c r="D107" i="78"/>
  <c r="E107" i="78"/>
  <c r="F107" i="78"/>
  <c r="G107" i="78"/>
  <c r="H107" i="78"/>
  <c r="I107" i="78"/>
  <c r="J107" i="78"/>
  <c r="K107" i="78"/>
  <c r="L107" i="78"/>
  <c r="M107" i="78"/>
  <c r="M103" i="78"/>
  <c r="L103" i="78"/>
  <c r="K103" i="78"/>
  <c r="J103" i="78"/>
  <c r="I103" i="78"/>
  <c r="H103" i="78"/>
  <c r="G103" i="78"/>
  <c r="F103" i="78"/>
  <c r="E103" i="78"/>
  <c r="D103" i="78"/>
  <c r="C103" i="78"/>
  <c r="D102" i="78"/>
  <c r="E102" i="78"/>
  <c r="F102" i="78"/>
  <c r="G102" i="78"/>
  <c r="H102" i="78"/>
  <c r="I102" i="78"/>
  <c r="J102" i="78"/>
  <c r="K102" i="78"/>
  <c r="L102" i="78"/>
  <c r="M102" i="78"/>
  <c r="B99" i="78"/>
  <c r="B97" i="78"/>
  <c r="B95" i="78"/>
  <c r="B93" i="78"/>
  <c r="D92" i="78"/>
  <c r="E92" i="78"/>
  <c r="F92" i="78"/>
  <c r="G92" i="78"/>
  <c r="H92" i="78"/>
  <c r="I92" i="78"/>
  <c r="J92" i="78"/>
  <c r="K92" i="78"/>
  <c r="L92" i="78"/>
  <c r="M92" i="78"/>
  <c r="B91" i="78"/>
  <c r="D90" i="78"/>
  <c r="E90" i="78"/>
  <c r="F90" i="78"/>
  <c r="G90" i="78"/>
  <c r="H90" i="78"/>
  <c r="I90" i="78"/>
  <c r="J90" i="78"/>
  <c r="K90" i="78"/>
  <c r="L90" i="78"/>
  <c r="M90" i="78"/>
  <c r="B89" i="78"/>
  <c r="D88" i="78"/>
  <c r="E88" i="78"/>
  <c r="F88" i="78"/>
  <c r="G88" i="78"/>
  <c r="H88" i="78"/>
  <c r="I88" i="78"/>
  <c r="J88" i="78"/>
  <c r="K88" i="78"/>
  <c r="L88" i="78"/>
  <c r="M88" i="78"/>
  <c r="D86" i="78"/>
  <c r="E86" i="78"/>
  <c r="F86" i="78"/>
  <c r="G86" i="78"/>
  <c r="D84" i="78"/>
  <c r="E84" i="78"/>
  <c r="F84" i="78"/>
  <c r="G84" i="78"/>
  <c r="D82" i="78"/>
  <c r="E82" i="78"/>
  <c r="F82" i="78"/>
  <c r="G82" i="78"/>
  <c r="D80" i="78"/>
  <c r="E80" i="78"/>
  <c r="F80" i="78"/>
  <c r="G80" i="78"/>
  <c r="D78" i="78"/>
  <c r="E78" i="78"/>
  <c r="F78" i="78"/>
  <c r="G78" i="78"/>
  <c r="B75" i="78"/>
  <c r="B73" i="78"/>
  <c r="B71" i="78"/>
  <c r="D70" i="78"/>
  <c r="E70" i="78"/>
  <c r="F70" i="78"/>
  <c r="G70" i="78"/>
  <c r="H70" i="78"/>
  <c r="I70" i="78"/>
  <c r="J70" i="78"/>
  <c r="K70" i="78"/>
  <c r="L70" i="78"/>
  <c r="M70" i="78"/>
  <c r="M68" i="78"/>
  <c r="L68" i="78"/>
  <c r="K68" i="78"/>
  <c r="J68" i="78"/>
  <c r="I68" i="78"/>
  <c r="H68" i="78"/>
  <c r="G68" i="78"/>
  <c r="F68" i="78"/>
  <c r="E68" i="78"/>
  <c r="D68" i="78"/>
  <c r="C68" i="78"/>
  <c r="F67" i="78"/>
  <c r="G67" i="78"/>
  <c r="H67" i="78"/>
  <c r="I67" i="78"/>
  <c r="C64" i="78"/>
  <c r="D60" i="78"/>
  <c r="E60" i="78"/>
  <c r="F60" i="78"/>
  <c r="G60" i="78"/>
  <c r="H60" i="78"/>
  <c r="I60" i="78"/>
  <c r="J60" i="78"/>
  <c r="K60" i="78"/>
  <c r="L60" i="78"/>
  <c r="M60" i="78"/>
  <c r="I55" i="78"/>
  <c r="J55" i="78"/>
  <c r="G55" i="78"/>
  <c r="H55" i="78"/>
  <c r="E55" i="78"/>
  <c r="F55" i="78"/>
  <c r="P50" i="78"/>
  <c r="P49" i="78"/>
  <c r="K49" i="78"/>
  <c r="V48" i="78"/>
  <c r="T48" i="78"/>
  <c r="R48" i="78"/>
  <c r="P48" i="78"/>
  <c r="Q47" i="78"/>
  <c r="Z47" i="78"/>
  <c r="J47" i="78"/>
  <c r="AC47" i="78"/>
  <c r="H47" i="78"/>
  <c r="AB47" i="78"/>
  <c r="F47" i="78"/>
  <c r="AA47" i="78"/>
  <c r="Q46" i="78"/>
  <c r="Z46" i="78"/>
  <c r="J46" i="78"/>
  <c r="AC46" i="78"/>
  <c r="H46" i="78"/>
  <c r="AB46" i="78"/>
  <c r="F46" i="78"/>
  <c r="AA46" i="78"/>
  <c r="Q45" i="78"/>
  <c r="Z45" i="78"/>
  <c r="J45" i="78"/>
  <c r="AC45" i="78"/>
  <c r="H45" i="78"/>
  <c r="AB45" i="78"/>
  <c r="F45" i="78"/>
  <c r="AA45" i="78"/>
  <c r="Q44" i="78"/>
  <c r="Z44" i="78"/>
  <c r="J44" i="78"/>
  <c r="AC44" i="78"/>
  <c r="H44" i="78"/>
  <c r="AB44" i="78"/>
  <c r="F44" i="78"/>
  <c r="AA44" i="78"/>
  <c r="Q43" i="78"/>
  <c r="Z43" i="78"/>
  <c r="J43" i="78"/>
  <c r="AC43" i="78"/>
  <c r="H43" i="78"/>
  <c r="AB43" i="78"/>
  <c r="F43" i="78"/>
  <c r="AA43" i="78"/>
  <c r="Q42" i="78"/>
  <c r="Z42" i="78"/>
  <c r="J42" i="78"/>
  <c r="H42" i="78"/>
  <c r="F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C37" i="78"/>
  <c r="I37" i="78"/>
  <c r="J37" i="78"/>
  <c r="Q36" i="78"/>
  <c r="Z36" i="78"/>
  <c r="J36" i="78"/>
  <c r="AC36" i="78"/>
  <c r="H36" i="78"/>
  <c r="AB36" i="78"/>
  <c r="F36" i="78"/>
  <c r="AA36" i="78"/>
  <c r="Q35" i="78"/>
  <c r="Z35" i="78"/>
  <c r="J35" i="78"/>
  <c r="AC35" i="78"/>
  <c r="H35" i="78"/>
  <c r="AB35" i="78"/>
  <c r="F35" i="78"/>
  <c r="AA35" i="78"/>
  <c r="Q34" i="78"/>
  <c r="Z34" i="78"/>
  <c r="I34" i="78"/>
  <c r="J34" i="78"/>
  <c r="G34" i="78"/>
  <c r="H34" i="78"/>
  <c r="E34" i="78"/>
  <c r="F34" i="78"/>
  <c r="Q33" i="78"/>
  <c r="Z33" i="78"/>
  <c r="J33" i="78"/>
  <c r="AC33" i="78"/>
  <c r="H33" i="78"/>
  <c r="AB33" i="78"/>
  <c r="F33" i="78"/>
  <c r="AA33" i="78"/>
  <c r="Q32" i="78"/>
  <c r="Z32" i="78"/>
  <c r="J32" i="78"/>
  <c r="AC32" i="78"/>
  <c r="H32" i="78"/>
  <c r="AB32" i="78"/>
  <c r="F32" i="78"/>
  <c r="AA32" i="78"/>
  <c r="Q31" i="78"/>
  <c r="Z31" i="78"/>
  <c r="J31" i="78"/>
  <c r="AC31" i="78"/>
  <c r="H31" i="78"/>
  <c r="AB31" i="78"/>
  <c r="F31" i="78"/>
  <c r="AA31" i="78"/>
  <c r="Q30" i="78"/>
  <c r="Z30" i="78"/>
  <c r="J30" i="78"/>
  <c r="AC30" i="78"/>
  <c r="H30" i="78"/>
  <c r="AB30" i="78"/>
  <c r="F30" i="78"/>
  <c r="AA30" i="78"/>
  <c r="Q29" i="78"/>
  <c r="Z29" i="78"/>
  <c r="J29" i="78"/>
  <c r="AC29" i="78"/>
  <c r="H29" i="78"/>
  <c r="AB29" i="78"/>
  <c r="F29" i="78"/>
  <c r="AA29" i="78"/>
  <c r="Q28" i="78"/>
  <c r="Z28" i="78"/>
  <c r="J28" i="78"/>
  <c r="AC28" i="78"/>
  <c r="H28" i="78"/>
  <c r="AB28" i="78"/>
  <c r="F28" i="78"/>
  <c r="AA28" i="78"/>
  <c r="Q27" i="78"/>
  <c r="Z27" i="78"/>
  <c r="J27" i="78"/>
  <c r="AC27" i="78"/>
  <c r="H27" i="78"/>
  <c r="AB27" i="78"/>
  <c r="F27" i="78"/>
  <c r="Q25" i="78"/>
  <c r="Z25" i="78"/>
  <c r="J25" i="78"/>
  <c r="AC25" i="78"/>
  <c r="H25" i="78"/>
  <c r="AB25" i="78"/>
  <c r="F25" i="78"/>
  <c r="AA25" i="78"/>
  <c r="Q23" i="78"/>
  <c r="Z23" i="78"/>
  <c r="J23" i="78"/>
  <c r="AC23" i="78"/>
  <c r="H23" i="78"/>
  <c r="AB23" i="78"/>
  <c r="F23" i="78"/>
  <c r="AA23" i="78"/>
  <c r="C23" i="78"/>
  <c r="Q21" i="78"/>
  <c r="Z21" i="78"/>
  <c r="J21" i="78"/>
  <c r="AC21" i="78"/>
  <c r="H21" i="78"/>
  <c r="AB21" i="78"/>
  <c r="F21" i="78"/>
  <c r="AA21" i="78"/>
  <c r="C21" i="78"/>
  <c r="Q19" i="78"/>
  <c r="Z19" i="78"/>
  <c r="J19" i="78"/>
  <c r="AC19" i="78"/>
  <c r="H19" i="78"/>
  <c r="AB19" i="78"/>
  <c r="F19" i="78"/>
  <c r="AA19" i="78"/>
  <c r="C19" i="78"/>
  <c r="Q17" i="78"/>
  <c r="Z17" i="78"/>
  <c r="J17" i="78"/>
  <c r="AC17" i="78"/>
  <c r="H17" i="78"/>
  <c r="AB17" i="78"/>
  <c r="F17" i="78"/>
  <c r="AA17" i="78"/>
  <c r="C17" i="78"/>
  <c r="Q15" i="78"/>
  <c r="Z15" i="78"/>
  <c r="J15" i="78"/>
  <c r="AC15" i="78"/>
  <c r="H15" i="78"/>
  <c r="AB15" i="78"/>
  <c r="F15" i="78"/>
  <c r="AA15" i="78"/>
  <c r="C15" i="78"/>
  <c r="Q14" i="78"/>
  <c r="Z14" i="78"/>
  <c r="J14" i="78"/>
  <c r="AC14" i="78"/>
  <c r="H14" i="78"/>
  <c r="AB14" i="78"/>
  <c r="F14" i="78"/>
  <c r="AA14" i="78"/>
  <c r="Q13" i="78"/>
  <c r="Z13" i="78"/>
  <c r="J13" i="78"/>
  <c r="AC13" i="78"/>
  <c r="H13" i="78"/>
  <c r="AB13" i="78"/>
  <c r="F13" i="78"/>
  <c r="AA13" i="78"/>
  <c r="Q12" i="78"/>
  <c r="Z12" i="78"/>
  <c r="J12" i="78"/>
  <c r="AC12" i="78"/>
  <c r="H12" i="78"/>
  <c r="AB12" i="78"/>
  <c r="F12" i="78"/>
  <c r="AA12" i="78"/>
  <c r="Q11" i="78"/>
  <c r="Z11" i="78"/>
  <c r="J11" i="78"/>
  <c r="AC11" i="78"/>
  <c r="H11" i="78"/>
  <c r="AB11" i="78"/>
  <c r="F11" i="78"/>
  <c r="AA11" i="78"/>
  <c r="Q10" i="78"/>
  <c r="Z10" i="78"/>
  <c r="J10" i="78"/>
  <c r="AC10" i="78"/>
  <c r="H10" i="78"/>
  <c r="AB10" i="78"/>
  <c r="F10" i="78"/>
  <c r="AA10" i="78"/>
  <c r="Q9" i="78"/>
  <c r="Z9" i="78"/>
  <c r="J9" i="78"/>
  <c r="AC9" i="78"/>
  <c r="H9" i="78"/>
  <c r="AB9" i="78"/>
  <c r="F9" i="78"/>
  <c r="AA9" i="78"/>
  <c r="J8" i="78"/>
  <c r="W8" i="78"/>
  <c r="F8" i="78"/>
  <c r="S8" i="78"/>
  <c r="AC8" i="78"/>
  <c r="H8" i="78"/>
  <c r="U8" i="78"/>
  <c r="AA8" i="78"/>
  <c r="C7" i="78"/>
  <c r="C59" i="78"/>
  <c r="D59" i="78"/>
  <c r="E59" i="78"/>
  <c r="F59" i="78"/>
  <c r="G59" i="78"/>
  <c r="H59" i="78"/>
  <c r="I59" i="78"/>
  <c r="J59" i="78"/>
  <c r="K59" i="78"/>
  <c r="L59" i="78"/>
  <c r="M59" i="78"/>
  <c r="N59" i="78"/>
  <c r="O59" i="78"/>
  <c r="D3" i="78"/>
  <c r="C37" i="34"/>
  <c r="I37" i="34"/>
  <c r="G37" i="34"/>
  <c r="E37" i="34"/>
  <c r="D121" i="34"/>
  <c r="E42" i="34"/>
  <c r="C42" i="34"/>
  <c r="J122" i="34"/>
  <c r="I122" i="34"/>
  <c r="H122" i="34"/>
  <c r="G122" i="34"/>
  <c r="F122" i="34"/>
  <c r="E122" i="34"/>
  <c r="D122" i="34"/>
  <c r="C122" i="34"/>
  <c r="J121" i="34"/>
  <c r="G121" i="34"/>
  <c r="F121" i="34"/>
  <c r="E121" i="34"/>
  <c r="C121" i="34"/>
  <c r="I34" i="34"/>
  <c r="G34" i="34"/>
  <c r="E34" i="34"/>
  <c r="D60" i="34"/>
  <c r="E60" i="34"/>
  <c r="F60" i="34"/>
  <c r="G60" i="34"/>
  <c r="H60" i="34"/>
  <c r="I60" i="34"/>
  <c r="J60" i="34"/>
  <c r="K60" i="34"/>
  <c r="L60" i="34"/>
  <c r="M60" i="34"/>
  <c r="C7" i="34"/>
  <c r="I7" i="34"/>
  <c r="G7" i="34"/>
  <c r="E7" i="34"/>
  <c r="B25" i="31"/>
  <c r="B26" i="31"/>
  <c r="B27" i="31"/>
  <c r="B28" i="31"/>
  <c r="B29" i="31"/>
  <c r="B30" i="31"/>
  <c r="B31" i="31"/>
  <c r="B32" i="31"/>
  <c r="A31" i="31"/>
  <c r="A32" i="31"/>
  <c r="A25" i="31"/>
  <c r="A26" i="31"/>
  <c r="A27" i="31"/>
  <c r="A28" i="31"/>
  <c r="A29" i="31"/>
  <c r="A30" i="31"/>
  <c r="B24" i="31"/>
  <c r="A24" i="31"/>
  <c r="Y6" i="1"/>
  <c r="N7" i="1"/>
  <c r="B7" i="4"/>
  <c r="C11" i="4"/>
  <c r="C74" i="79"/>
  <c r="C92" i="79"/>
  <c r="C94" i="79"/>
  <c r="K120" i="79"/>
  <c r="D121" i="79"/>
  <c r="H109" i="79"/>
  <c r="H112" i="79"/>
  <c r="AB8" i="78"/>
  <c r="E7" i="78"/>
  <c r="F7" i="78"/>
  <c r="G7" i="78"/>
  <c r="H7" i="78"/>
  <c r="I7" i="78"/>
  <c r="J7" i="78"/>
  <c r="U9" i="78"/>
  <c r="S10" i="78"/>
  <c r="W10" i="78"/>
  <c r="U11" i="78"/>
  <c r="S12" i="78"/>
  <c r="W12" i="78"/>
  <c r="U13" i="78"/>
  <c r="S14" i="78"/>
  <c r="W14" i="78"/>
  <c r="S15" i="78"/>
  <c r="W15" i="78"/>
  <c r="S17" i="78"/>
  <c r="W17" i="78"/>
  <c r="S19" i="78"/>
  <c r="W19" i="78"/>
  <c r="S21" i="78"/>
  <c r="W21" i="78"/>
  <c r="S23" i="78"/>
  <c r="W23" i="78"/>
  <c r="U25" i="78"/>
  <c r="AB34" i="78"/>
  <c r="U34" i="78"/>
  <c r="AA42" i="78"/>
  <c r="S42" i="78"/>
  <c r="AC42" i="78"/>
  <c r="W42" i="78"/>
  <c r="S9" i="78"/>
  <c r="W9" i="78"/>
  <c r="U10" i="78"/>
  <c r="S11" i="78"/>
  <c r="W11" i="78"/>
  <c r="U12" i="78"/>
  <c r="S13" i="78"/>
  <c r="W13" i="78"/>
  <c r="U14" i="78"/>
  <c r="U15" i="78"/>
  <c r="U17" i="78"/>
  <c r="U19" i="78"/>
  <c r="U21" i="78"/>
  <c r="U23" i="78"/>
  <c r="S25" i="78"/>
  <c r="W25" i="78"/>
  <c r="AA27" i="78"/>
  <c r="S27" i="78"/>
  <c r="AA34" i="78"/>
  <c r="S34" i="78"/>
  <c r="AC34" i="78"/>
  <c r="W34" i="78"/>
  <c r="AC37" i="78"/>
  <c r="W37" i="78"/>
  <c r="AB42" i="78"/>
  <c r="U42" i="78"/>
  <c r="W27" i="78"/>
  <c r="U28" i="78"/>
  <c r="S29" i="78"/>
  <c r="W29" i="78"/>
  <c r="U30" i="78"/>
  <c r="S31" i="78"/>
  <c r="W31" i="78"/>
  <c r="U32" i="78"/>
  <c r="S33" i="78"/>
  <c r="W33" i="78"/>
  <c r="U35" i="78"/>
  <c r="S36" i="78"/>
  <c r="W36" i="78"/>
  <c r="E37" i="78"/>
  <c r="F37" i="78"/>
  <c r="G37" i="78"/>
  <c r="H37" i="78"/>
  <c r="S38" i="78"/>
  <c r="W38" i="78"/>
  <c r="U39" i="78"/>
  <c r="S40" i="78"/>
  <c r="W40" i="78"/>
  <c r="U41" i="78"/>
  <c r="U43" i="78"/>
  <c r="S44" i="78"/>
  <c r="W44" i="78"/>
  <c r="U45" i="78"/>
  <c r="S46" i="78"/>
  <c r="W46" i="78"/>
  <c r="U47" i="78"/>
  <c r="U27" i="78"/>
  <c r="S28" i="78"/>
  <c r="W28" i="78"/>
  <c r="U29" i="78"/>
  <c r="S30" i="78"/>
  <c r="W30" i="78"/>
  <c r="U31" i="78"/>
  <c r="S32" i="78"/>
  <c r="W32" i="78"/>
  <c r="U33" i="78"/>
  <c r="S35" i="78"/>
  <c r="W35" i="78"/>
  <c r="U36" i="78"/>
  <c r="U38" i="78"/>
  <c r="S39" i="78"/>
  <c r="W39" i="78"/>
  <c r="U40" i="78"/>
  <c r="S41" i="78"/>
  <c r="W41" i="78"/>
  <c r="S43" i="78"/>
  <c r="W43" i="78"/>
  <c r="U44" i="78"/>
  <c r="S45" i="78"/>
  <c r="W45" i="78"/>
  <c r="U46" i="78"/>
  <c r="S47" i="78"/>
  <c r="W47" i="78"/>
  <c r="D124" i="79"/>
  <c r="D125" i="79"/>
  <c r="H110" i="79"/>
  <c r="AC7" i="78"/>
  <c r="V49" i="78"/>
  <c r="I49" i="78"/>
  <c r="W7" i="78"/>
  <c r="AA7" i="78"/>
  <c r="AA37" i="78"/>
  <c r="R49" i="78"/>
  <c r="S7" i="78"/>
  <c r="AB37" i="78"/>
  <c r="U37" i="78"/>
  <c r="S37" i="78"/>
  <c r="U7" i="78"/>
  <c r="AB7" i="78"/>
  <c r="P18" i="71"/>
  <c r="E18" i="71"/>
  <c r="P17" i="71"/>
  <c r="E17" i="71"/>
  <c r="P16" i="71"/>
  <c r="E16" i="71"/>
  <c r="P15" i="71"/>
  <c r="E15" i="71"/>
  <c r="P14" i="71"/>
  <c r="E14" i="71"/>
  <c r="P13" i="71"/>
  <c r="E13" i="71"/>
  <c r="P12" i="71"/>
  <c r="E12" i="71"/>
  <c r="P11" i="71"/>
  <c r="E11" i="71"/>
  <c r="P10" i="71"/>
  <c r="E10" i="71"/>
  <c r="P9" i="71"/>
  <c r="E9" i="71"/>
  <c r="P8" i="71"/>
  <c r="E8" i="71"/>
  <c r="P7" i="71"/>
  <c r="E7" i="71"/>
  <c r="P6" i="71"/>
  <c r="E6" i="71"/>
  <c r="V6" i="71"/>
  <c r="O18" i="71"/>
  <c r="C18" i="71"/>
  <c r="O17" i="71"/>
  <c r="C17" i="71"/>
  <c r="O16" i="71"/>
  <c r="C16" i="71"/>
  <c r="O15" i="71"/>
  <c r="C15" i="71"/>
  <c r="O14" i="71"/>
  <c r="C14" i="71"/>
  <c r="O13" i="71"/>
  <c r="C13" i="71"/>
  <c r="O12" i="71"/>
  <c r="C12" i="71"/>
  <c r="O11" i="71"/>
  <c r="C11" i="71"/>
  <c r="O10" i="71"/>
  <c r="C10" i="71"/>
  <c r="O9" i="71"/>
  <c r="C9" i="71"/>
  <c r="O8" i="71"/>
  <c r="C8" i="71"/>
  <c r="O7" i="71"/>
  <c r="C7" i="71"/>
  <c r="O6" i="71"/>
  <c r="C6" i="71"/>
  <c r="D6" i="71"/>
  <c r="D7" i="71"/>
  <c r="U6" i="71"/>
  <c r="T6" i="71"/>
  <c r="N18" i="71"/>
  <c r="B18" i="71"/>
  <c r="N17" i="71"/>
  <c r="B17" i="71"/>
  <c r="N16" i="71"/>
  <c r="B16" i="71"/>
  <c r="N15" i="71"/>
  <c r="B15" i="71"/>
  <c r="N14" i="71"/>
  <c r="B14" i="71"/>
  <c r="N13" i="71"/>
  <c r="B13" i="71"/>
  <c r="N12" i="71"/>
  <c r="B12" i="71"/>
  <c r="N11" i="71"/>
  <c r="B11" i="71"/>
  <c r="N10" i="71"/>
  <c r="B10" i="71"/>
  <c r="N9" i="71"/>
  <c r="B9" i="71"/>
  <c r="N8" i="71"/>
  <c r="B8" i="71"/>
  <c r="N7" i="71"/>
  <c r="B7" i="71"/>
  <c r="N6" i="71"/>
  <c r="B6" i="71"/>
  <c r="S6" i="71"/>
  <c r="E49" i="78"/>
  <c r="I54" i="78"/>
  <c r="J54" i="78"/>
  <c r="T49" i="78"/>
  <c r="G49" i="78"/>
  <c r="I53" i="78"/>
  <c r="J53" i="78"/>
  <c r="E20" i="43"/>
  <c r="E54" i="78"/>
  <c r="F54" i="78"/>
  <c r="E53" i="78"/>
  <c r="F53" i="78"/>
  <c r="G54" i="78"/>
  <c r="H54" i="78"/>
  <c r="G53" i="78"/>
  <c r="H53" i="78"/>
  <c r="R50" i="78"/>
  <c r="AH5" i="71"/>
  <c r="AG5" i="71"/>
  <c r="AE5" i="71"/>
  <c r="AF5" i="71"/>
  <c r="AD5" i="71"/>
  <c r="Q5" i="71"/>
  <c r="P5" i="71"/>
  <c r="O5" i="71"/>
  <c r="N5" i="71"/>
  <c r="C50" i="78"/>
  <c r="U6" i="1"/>
  <c r="C49" i="78"/>
  <c r="AH6" i="71"/>
  <c r="AG6" i="71"/>
  <c r="AE6" i="71"/>
  <c r="AF6" i="71"/>
  <c r="AD6" i="71"/>
  <c r="Q6" i="71"/>
  <c r="B3" i="78"/>
  <c r="B2" i="78"/>
  <c r="AH7" i="71"/>
  <c r="AG7" i="71"/>
  <c r="AE7" i="71"/>
  <c r="AF7" i="71"/>
  <c r="AD7" i="71"/>
  <c r="Q7" i="71"/>
  <c r="Q8" i="71"/>
  <c r="Q9" i="71"/>
  <c r="Q10" i="71"/>
  <c r="Q11" i="71"/>
  <c r="Q12" i="71"/>
  <c r="Q13" i="71"/>
  <c r="Q14" i="71"/>
  <c r="Q15" i="71"/>
  <c r="Q16" i="71"/>
  <c r="Q17" i="71"/>
  <c r="Q18" i="71"/>
  <c r="Q19" i="71"/>
  <c r="Q20" i="71"/>
  <c r="Q21" i="71"/>
  <c r="Q22" i="71"/>
  <c r="Q23" i="71"/>
  <c r="Q24" i="71"/>
  <c r="Q25" i="71"/>
  <c r="Q26" i="71"/>
  <c r="Q27" i="71"/>
  <c r="Q28" i="71"/>
  <c r="Q29" i="71"/>
  <c r="Q30" i="71"/>
  <c r="Q31" i="71"/>
  <c r="Q32" i="71"/>
  <c r="Q33" i="71"/>
  <c r="AB6" i="71"/>
  <c r="P19" i="71"/>
  <c r="P20" i="71"/>
  <c r="P21" i="71"/>
  <c r="P22" i="71"/>
  <c r="P23" i="71"/>
  <c r="P24" i="71"/>
  <c r="P25" i="71"/>
  <c r="P26" i="71"/>
  <c r="P27" i="71"/>
  <c r="P28" i="71"/>
  <c r="P29" i="71"/>
  <c r="P30" i="71"/>
  <c r="P31" i="71"/>
  <c r="P32" i="71"/>
  <c r="P33" i="71"/>
  <c r="AA6" i="71"/>
  <c r="O19" i="71"/>
  <c r="O20" i="71"/>
  <c r="O21" i="71"/>
  <c r="O22" i="71"/>
  <c r="O23" i="71"/>
  <c r="O24" i="71"/>
  <c r="O25" i="71"/>
  <c r="O26" i="71"/>
  <c r="O27" i="71"/>
  <c r="O28" i="71"/>
  <c r="O29" i="71"/>
  <c r="O30" i="71"/>
  <c r="O31" i="71"/>
  <c r="O32" i="71"/>
  <c r="O33" i="71"/>
  <c r="Y6" i="71"/>
  <c r="Z6" i="71"/>
  <c r="N19" i="71"/>
  <c r="N20" i="71"/>
  <c r="N21" i="71"/>
  <c r="N22" i="71"/>
  <c r="N23" i="71"/>
  <c r="N24" i="71"/>
  <c r="N25" i="71"/>
  <c r="N26" i="71"/>
  <c r="N27" i="71"/>
  <c r="N28" i="71"/>
  <c r="N29" i="71"/>
  <c r="N30" i="71"/>
  <c r="N31" i="71"/>
  <c r="N32" i="71"/>
  <c r="N33" i="71"/>
  <c r="X6" i="71"/>
  <c r="AB5" i="71"/>
  <c r="AA5" i="71"/>
  <c r="Y5" i="71"/>
  <c r="Z5" i="71"/>
  <c r="X5" i="71"/>
  <c r="C27" i="66"/>
  <c r="C31" i="66"/>
  <c r="H16" i="49"/>
  <c r="D16" i="49"/>
  <c r="D15" i="49"/>
  <c r="B2" i="49"/>
  <c r="F15" i="49"/>
  <c r="H15" i="49"/>
  <c r="K42" i="40"/>
  <c r="K47" i="39"/>
  <c r="K36" i="36"/>
  <c r="E59" i="9"/>
  <c r="K38" i="35"/>
  <c r="K42" i="37"/>
  <c r="K49" i="34"/>
  <c r="K48" i="33"/>
  <c r="K48" i="21"/>
  <c r="H104" i="9"/>
  <c r="F59" i="9"/>
  <c r="AH8" i="71"/>
  <c r="AG8" i="71"/>
  <c r="AE8" i="71"/>
  <c r="AF8" i="71"/>
  <c r="AD8" i="71"/>
  <c r="AB7" i="71"/>
  <c r="AA7" i="71"/>
  <c r="Y7" i="71"/>
  <c r="Z7" i="71"/>
  <c r="X7" i="71"/>
  <c r="V10" i="71"/>
  <c r="D10" i="71"/>
  <c r="D11" i="71"/>
  <c r="U10" i="71"/>
  <c r="T10" i="71"/>
  <c r="S10" i="71"/>
  <c r="AH9" i="71"/>
  <c r="AG9" i="71"/>
  <c r="AE9" i="71"/>
  <c r="AF9" i="71"/>
  <c r="AD9" i="71"/>
  <c r="AB8" i="71"/>
  <c r="AA8" i="71"/>
  <c r="Y8" i="71"/>
  <c r="Z8" i="71"/>
  <c r="X8" i="71"/>
  <c r="AB12" i="71"/>
  <c r="AB11" i="71"/>
  <c r="AA11" i="71"/>
  <c r="Y11" i="71"/>
  <c r="Z11" i="71"/>
  <c r="X11" i="71"/>
  <c r="AH10" i="71"/>
  <c r="AG10" i="71"/>
  <c r="AE10" i="71"/>
  <c r="AF10" i="71"/>
  <c r="AD10" i="71"/>
  <c r="AB9" i="71"/>
  <c r="AA9" i="71"/>
  <c r="X9" i="71"/>
  <c r="F18" i="71"/>
  <c r="F17" i="71"/>
  <c r="F16" i="71"/>
  <c r="F15" i="71"/>
  <c r="F14" i="71"/>
  <c r="F13" i="71"/>
  <c r="F12" i="71"/>
  <c r="F11" i="71"/>
  <c r="E5" i="71"/>
  <c r="AH11" i="71"/>
  <c r="AG11" i="71"/>
  <c r="AE11" i="71"/>
  <c r="AF11" i="71"/>
  <c r="AD11"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L3" i="71"/>
  <c r="AH3" i="71"/>
  <c r="K3" i="71"/>
  <c r="AG3" i="71"/>
  <c r="J3" i="71"/>
  <c r="AE3" i="71"/>
  <c r="I3" i="71"/>
  <c r="AH15" i="71"/>
  <c r="AG15" i="71"/>
  <c r="AE15" i="71"/>
  <c r="AF15" i="71"/>
  <c r="AD15" i="71"/>
  <c r="AA15" i="71"/>
  <c r="X15" i="71"/>
  <c r="AH16" i="71"/>
  <c r="AG16" i="71"/>
  <c r="AE16" i="71"/>
  <c r="AF16" i="71"/>
  <c r="AD16" i="71"/>
  <c r="AB15" i="71"/>
  <c r="AA16" i="71"/>
  <c r="Y15" i="71"/>
  <c r="Z15" i="71"/>
  <c r="M19" i="43"/>
  <c r="D19" i="71"/>
  <c r="AH17" i="71"/>
  <c r="AG17" i="71"/>
  <c r="AE17" i="71"/>
  <c r="AF17" i="71"/>
  <c r="AD17" i="71"/>
  <c r="AD18" i="71"/>
  <c r="AG18" i="71"/>
  <c r="AH18" i="71"/>
  <c r="AE18" i="71"/>
  <c r="AF18" i="71"/>
  <c r="X16" i="71"/>
  <c r="AB17" i="71"/>
  <c r="AA17" i="71"/>
  <c r="Y16" i="71"/>
  <c r="Z16" i="71"/>
  <c r="Y17" i="71"/>
  <c r="Z17" i="71"/>
  <c r="V18" i="71"/>
  <c r="AB18" i="71"/>
  <c r="Y18" i="71"/>
  <c r="Z18" i="71"/>
  <c r="X18" i="71"/>
  <c r="AA18" i="71"/>
  <c r="A2" i="53"/>
  <c r="K59" i="67"/>
  <c r="P61" i="67"/>
  <c r="K59" i="15"/>
  <c r="P74" i="15"/>
  <c r="P61" i="15"/>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A15" i="51"/>
  <c r="B12" i="72"/>
  <c r="C76" i="9"/>
  <c r="I107" i="40"/>
  <c r="M56" i="9"/>
  <c r="B22" i="31"/>
  <c r="E15" i="74"/>
  <c r="F15" i="74"/>
  <c r="E16" i="74"/>
  <c r="F16" i="74"/>
  <c r="E17" i="74"/>
  <c r="F17" i="74"/>
  <c r="E18" i="74"/>
  <c r="F18" i="74"/>
  <c r="E19" i="74"/>
  <c r="F19" i="74"/>
  <c r="E20" i="74"/>
  <c r="F20" i="74"/>
  <c r="E21" i="74"/>
  <c r="F21" i="74"/>
  <c r="E22" i="74"/>
  <c r="F22" i="74"/>
  <c r="E23" i="74"/>
  <c r="F23" i="74"/>
  <c r="B3" i="74"/>
  <c r="C91" i="9"/>
  <c r="B8" i="72"/>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O47" i="71"/>
  <c r="C48" i="71"/>
  <c r="Q47" i="71"/>
  <c r="F48" i="71"/>
  <c r="F49" i="71"/>
  <c r="F50" i="71"/>
  <c r="V50" i="71"/>
  <c r="P47" i="71"/>
  <c r="E48"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Q39" i="71"/>
  <c r="F40" i="71"/>
  <c r="F41" i="71"/>
  <c r="F42" i="71"/>
  <c r="V42"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E37" i="71"/>
  <c r="E38" i="71"/>
  <c r="U38" i="71"/>
  <c r="O35" i="71"/>
  <c r="C36" i="71"/>
  <c r="N35" i="71"/>
  <c r="B36" i="71"/>
  <c r="B37" i="71"/>
  <c r="B38" i="71"/>
  <c r="S38" i="71"/>
  <c r="D35" i="71"/>
  <c r="Q34" i="71"/>
  <c r="P34" i="71"/>
  <c r="O34" i="71"/>
  <c r="N34" i="71"/>
  <c r="AB33" i="71"/>
  <c r="AA33" i="71"/>
  <c r="Y33" i="71"/>
  <c r="Z33" i="71"/>
  <c r="X33" i="71"/>
  <c r="AB32" i="71"/>
  <c r="Y32" i="71"/>
  <c r="Z32" i="71"/>
  <c r="F32" i="71"/>
  <c r="F33" i="71"/>
  <c r="F34" i="71"/>
  <c r="V34" i="71"/>
  <c r="D31" i="71"/>
  <c r="AB30" i="71"/>
  <c r="Y30" i="71"/>
  <c r="Z30" i="71"/>
  <c r="AB29" i="71"/>
  <c r="Y29" i="71"/>
  <c r="Z29" i="71"/>
  <c r="AB28" i="71"/>
  <c r="Y28" i="71"/>
  <c r="Z28" i="71"/>
  <c r="F28" i="71"/>
  <c r="F29" i="71"/>
  <c r="F30" i="71"/>
  <c r="V30" i="71"/>
  <c r="D27" i="71"/>
  <c r="AB26" i="71"/>
  <c r="Y26" i="71"/>
  <c r="Z26" i="71"/>
  <c r="AB25" i="71"/>
  <c r="Y25" i="71"/>
  <c r="Z25" i="71"/>
  <c r="AB24" i="71"/>
  <c r="Y24" i="71"/>
  <c r="Z24" i="71"/>
  <c r="F24" i="71"/>
  <c r="F25" i="71"/>
  <c r="F26" i="71"/>
  <c r="V26" i="71"/>
  <c r="D23"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E49" i="71"/>
  <c r="E50" i="71"/>
  <c r="U50" i="71"/>
  <c r="E53" i="71"/>
  <c r="E54" i="71"/>
  <c r="U54" i="71"/>
  <c r="E57" i="71"/>
  <c r="E58" i="71"/>
  <c r="U58" i="71"/>
  <c r="Q59" i="71"/>
  <c r="U62" i="71"/>
  <c r="E61"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84" i="34"/>
  <c r="G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AB21" i="34"/>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J21" i="34"/>
  <c r="W21" i="34"/>
  <c r="G83" i="33"/>
  <c r="J21" i="33"/>
  <c r="F83" i="21"/>
  <c r="H21" i="21"/>
  <c r="F38" i="69"/>
  <c r="E37" i="69"/>
  <c r="F36" i="69"/>
  <c r="F35" i="69"/>
  <c r="F21" i="69"/>
  <c r="F40" i="69"/>
  <c r="F20" i="69"/>
  <c r="F39" i="69"/>
  <c r="E10" i="69"/>
  <c r="E9" i="69"/>
  <c r="C7" i="69"/>
  <c r="AC21" i="37"/>
  <c r="W21" i="37"/>
  <c r="AC21" i="34"/>
  <c r="AC21" i="33"/>
  <c r="W21" i="33"/>
  <c r="AB21" i="21"/>
  <c r="U21" i="21"/>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C51" i="10"/>
  <c r="A13" i="51"/>
  <c r="B11" i="72"/>
  <c r="S1" i="4"/>
  <c r="B1" i="4"/>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G9" i="1"/>
  <c r="D10" i="1"/>
  <c r="D11" i="1"/>
  <c r="D12" i="1"/>
  <c r="D13" i="1"/>
  <c r="G13" i="1"/>
  <c r="D7" i="1"/>
  <c r="D8" i="1"/>
  <c r="A7" i="1"/>
  <c r="A8" i="1"/>
  <c r="B8" i="1"/>
  <c r="E8" i="1"/>
  <c r="A9" i="1"/>
  <c r="A10" i="1"/>
  <c r="A11" i="1"/>
  <c r="A12" i="1"/>
  <c r="A13" i="1"/>
  <c r="A6" i="1"/>
  <c r="F3" i="35"/>
  <c r="B11" i="1"/>
  <c r="E11" i="1"/>
  <c r="B7" i="1"/>
  <c r="E7" i="1"/>
  <c r="K10" i="1"/>
  <c r="B13" i="1"/>
  <c r="E13" i="1"/>
  <c r="K13" i="1"/>
  <c r="M13" i="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P10" i="1"/>
  <c r="B22" i="1"/>
  <c r="G41" i="69"/>
  <c r="B23" i="1"/>
  <c r="B24" i="1"/>
  <c r="D78" i="9"/>
  <c r="K8" i="1"/>
  <c r="M8" i="1"/>
  <c r="F23" i="15"/>
  <c r="D24" i="15"/>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AA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J46" i="34"/>
  <c r="B127" i="34"/>
  <c r="B99" i="34"/>
  <c r="B97" i="34"/>
  <c r="B95" i="34"/>
  <c r="B93" i="34"/>
  <c r="B75" i="34"/>
  <c r="B73" i="34"/>
  <c r="B71" i="34"/>
  <c r="J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C15" i="34"/>
  <c r="F67" i="34"/>
  <c r="G67" i="34"/>
  <c r="H67" i="34"/>
  <c r="I67" i="34"/>
  <c r="D126" i="34"/>
  <c r="E126" i="34"/>
  <c r="F126" i="34"/>
  <c r="G126" i="34"/>
  <c r="D124" i="34"/>
  <c r="E124" i="34"/>
  <c r="F124" i="34"/>
  <c r="G124" i="34"/>
  <c r="H124" i="34"/>
  <c r="I124" i="34"/>
  <c r="J124" i="34"/>
  <c r="K124" i="34"/>
  <c r="L124" i="34"/>
  <c r="M124" i="34"/>
  <c r="D118" i="34"/>
  <c r="E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B11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AC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c r="F37" i="34"/>
  <c r="AA37" i="34"/>
  <c r="S35" i="34"/>
  <c r="F28" i="34"/>
  <c r="AA28" i="34"/>
  <c r="F25" i="34"/>
  <c r="S25" i="34"/>
  <c r="J23" i="34"/>
  <c r="AC23" i="34"/>
  <c r="F19" i="34"/>
  <c r="H17" i="34"/>
  <c r="U17" i="34"/>
  <c r="F15" i="34"/>
  <c r="S15" i="34"/>
  <c r="H15" i="34"/>
  <c r="AB15"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c r="AB42" i="34"/>
  <c r="F114" i="34"/>
  <c r="G114" i="34"/>
  <c r="H114" i="34"/>
  <c r="I114" i="34"/>
  <c r="J114" i="34"/>
  <c r="K114" i="34"/>
  <c r="L114" i="34"/>
  <c r="M114" i="34"/>
  <c r="H38" i="34"/>
  <c r="AB38" i="34"/>
  <c r="J36" i="34"/>
  <c r="W36" i="34"/>
  <c r="H25" i="34"/>
  <c r="AB25" i="34"/>
  <c r="J25" i="34"/>
  <c r="AC25" i="34"/>
  <c r="J19" i="34"/>
  <c r="AC19" i="34"/>
  <c r="F17" i="34"/>
  <c r="AA17" i="34"/>
  <c r="J17" i="34"/>
  <c r="W17" i="34"/>
  <c r="AB17" i="34"/>
  <c r="AA15" i="34"/>
  <c r="S41" i="33"/>
  <c r="F113" i="33"/>
  <c r="G113" i="33"/>
  <c r="H113" i="33"/>
  <c r="I113" i="33"/>
  <c r="J113" i="33"/>
  <c r="K113" i="33"/>
  <c r="L113" i="33"/>
  <c r="M113" i="33"/>
  <c r="H37" i="33"/>
  <c r="AB37" i="33"/>
  <c r="H15" i="33"/>
  <c r="AB15" i="33"/>
  <c r="H11" i="33"/>
  <c r="AB11" i="33"/>
  <c r="F28" i="40"/>
  <c r="AA28" i="40"/>
  <c r="AA29" i="35"/>
  <c r="S42" i="34"/>
  <c r="AC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AA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AC13" i="36"/>
  <c r="W13" i="36"/>
  <c r="S11" i="36"/>
  <c r="W11" i="36"/>
  <c r="W11" i="35"/>
  <c r="AC30" i="34"/>
  <c r="AA14" i="34"/>
  <c r="S45" i="33"/>
  <c r="AB45" i="33"/>
  <c r="AB31" i="33"/>
  <c r="U31" i="33"/>
  <c r="W29" i="33"/>
  <c r="U13" i="33"/>
  <c r="AC28" i="21"/>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6"/>
  <c r="W35" i="40"/>
  <c r="A118" i="9"/>
  <c r="A4" i="52"/>
  <c r="B41" i="72"/>
  <c r="J11" i="39"/>
  <c r="W11" i="39"/>
  <c r="F11" i="39"/>
  <c r="AA11" i="39"/>
  <c r="A12" i="52"/>
  <c r="B56" i="72"/>
  <c r="S11" i="39"/>
  <c r="G4" i="4"/>
  <c r="I4" i="4"/>
  <c r="K5" i="4"/>
  <c r="B47" i="48"/>
  <c r="A2" i="9"/>
  <c r="F59" i="43"/>
  <c r="H62" i="43"/>
  <c r="BO5" i="3"/>
  <c r="BM5" i="3"/>
  <c r="BJ5" i="3"/>
  <c r="BH5" i="3"/>
  <c r="BF5" i="3"/>
  <c r="BD5" i="3"/>
  <c r="AC5" i="3"/>
  <c r="BP5" i="3"/>
  <c r="BN5" i="3"/>
  <c r="BK5" i="3"/>
  <c r="BI5" i="3"/>
  <c r="BG5" i="3"/>
  <c r="BE5" i="3"/>
  <c r="BC5" i="3"/>
  <c r="BB5" i="3"/>
  <c r="E8" i="6"/>
  <c r="U36" i="40"/>
  <c r="F36" i="43"/>
  <c r="F81" i="43"/>
  <c r="H83" i="43"/>
  <c r="H113" i="43"/>
  <c r="F48" i="43"/>
  <c r="H52" i="43"/>
  <c r="F70" i="43"/>
  <c r="H73" i="43"/>
  <c r="M11" i="43"/>
  <c r="D17" i="43"/>
  <c r="F39" i="43"/>
  <c r="I17" i="43"/>
  <c r="F35" i="43"/>
  <c r="J17" i="43"/>
  <c r="F6" i="1"/>
  <c r="U17" i="39"/>
  <c r="S14" i="35"/>
  <c r="U43" i="21"/>
  <c r="U35" i="21"/>
  <c r="AC35" i="21"/>
  <c r="U10" i="21"/>
  <c r="G8" i="1"/>
  <c r="G10" i="1"/>
  <c r="AC11" i="39"/>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K6" i="1"/>
  <c r="M6" i="1"/>
  <c r="O6" i="1"/>
  <c r="AC26" i="33"/>
  <c r="W26" i="33"/>
  <c r="AB34" i="36"/>
  <c r="U34" i="36"/>
  <c r="AB33" i="36"/>
  <c r="U33" i="36"/>
  <c r="AC12" i="39"/>
  <c r="W12" i="39"/>
  <c r="AC39" i="40"/>
  <c r="W39" i="40"/>
  <c r="F22" i="43"/>
  <c r="K101" i="43"/>
  <c r="K104" i="43"/>
  <c r="N101" i="43"/>
  <c r="N103" i="43"/>
  <c r="G101" i="43"/>
  <c r="G103" i="43"/>
  <c r="J101" i="43"/>
  <c r="J103" i="43"/>
  <c r="W12" i="33"/>
  <c r="AC12" i="33"/>
  <c r="AA32" i="36"/>
  <c r="S32" i="36"/>
  <c r="U30" i="33"/>
  <c r="AC13" i="34"/>
  <c r="AA47" i="34"/>
  <c r="W28" i="37"/>
  <c r="S19" i="39"/>
  <c r="F12" i="33"/>
  <c r="H12" i="39"/>
  <c r="AB12" i="39"/>
  <c r="F39" i="40"/>
  <c r="S12" i="1"/>
  <c r="AQ12" i="1"/>
  <c r="R12" i="1"/>
  <c r="B12" i="1"/>
  <c r="E12" i="1"/>
  <c r="S10" i="1"/>
  <c r="AQ10" i="1"/>
  <c r="R10" i="1"/>
  <c r="B10" i="1"/>
  <c r="E10" i="1"/>
  <c r="D1" i="66"/>
  <c r="E10" i="66"/>
  <c r="K12" i="1"/>
  <c r="M12" i="1"/>
  <c r="S13" i="1"/>
  <c r="AR13" i="1"/>
  <c r="R13" i="1"/>
  <c r="S11" i="1"/>
  <c r="AQ11" i="1"/>
  <c r="R11" i="1"/>
  <c r="S9" i="1"/>
  <c r="AR9" i="1"/>
  <c r="R9" i="1"/>
  <c r="J51" i="67"/>
  <c r="H100" i="43"/>
  <c r="C30" i="66"/>
  <c r="E26"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W41" i="34"/>
  <c r="AC42" i="34"/>
  <c r="AB35" i="34"/>
  <c r="U39" i="34"/>
  <c r="S43" i="34"/>
  <c r="AB41" i="34"/>
  <c r="AA45" i="34"/>
  <c r="W34" i="34"/>
  <c r="AA25" i="34"/>
  <c r="U28" i="34"/>
  <c r="AA29" i="34"/>
  <c r="U27" i="34"/>
  <c r="U15" i="34"/>
  <c r="S10" i="34"/>
  <c r="S13" i="34"/>
  <c r="H10" i="34"/>
  <c r="U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E11" i="6"/>
  <c r="E61" i="39"/>
  <c r="A24" i="51"/>
  <c r="B18" i="72"/>
  <c r="U29" i="34"/>
  <c r="E14" i="6"/>
  <c r="E64" i="39"/>
  <c r="E5" i="6"/>
  <c r="D9" i="11"/>
  <c r="C9" i="11"/>
  <c r="L101" i="43"/>
  <c r="L109" i="43"/>
  <c r="D101" i="43"/>
  <c r="D104" i="43"/>
  <c r="I101" i="43"/>
  <c r="I102" i="43"/>
  <c r="G22" i="43"/>
  <c r="E32" i="6"/>
  <c r="G1" i="68"/>
  <c r="K1" i="12"/>
  <c r="N106" i="43"/>
  <c r="K107" i="43"/>
  <c r="K106" i="43"/>
  <c r="S2" i="43"/>
  <c r="N107" i="43"/>
  <c r="T10" i="1"/>
  <c r="E19" i="69"/>
  <c r="E19" i="68"/>
  <c r="E19" i="11"/>
  <c r="E1" i="73"/>
  <c r="G22" i="69"/>
  <c r="G22" i="68"/>
  <c r="G26" i="12"/>
  <c r="G22" i="11"/>
  <c r="C100" i="43"/>
  <c r="E11" i="43"/>
  <c r="E10" i="43"/>
  <c r="E9" i="43"/>
  <c r="E8" i="43"/>
  <c r="C7" i="43"/>
  <c r="E81" i="43"/>
  <c r="B79" i="43"/>
  <c r="AJ11" i="43"/>
  <c r="AJ13" i="43"/>
  <c r="AF11" i="43"/>
  <c r="AF13" i="43"/>
  <c r="AB11" i="43"/>
  <c r="AB13" i="43"/>
  <c r="Z7" i="43"/>
  <c r="AI11" i="43"/>
  <c r="AI13" i="43"/>
  <c r="AE11" i="43"/>
  <c r="AE13" i="43"/>
  <c r="AA11" i="43"/>
  <c r="AA13" i="43"/>
  <c r="E48" i="43"/>
  <c r="B46" i="43"/>
  <c r="E70" i="43"/>
  <c r="B68"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C46" i="36"/>
  <c r="D46" i="36"/>
  <c r="C59" i="34"/>
  <c r="D59" i="34"/>
  <c r="E59" i="34"/>
  <c r="F59" i="34"/>
  <c r="G59" i="34"/>
  <c r="H59" i="34"/>
  <c r="C52" i="37"/>
  <c r="D52" i="37"/>
  <c r="A4" i="51"/>
  <c r="B6" i="72"/>
  <c r="C48" i="35"/>
  <c r="D48" i="35"/>
  <c r="C4" i="12"/>
  <c r="H66" i="43"/>
  <c r="H65" i="43"/>
  <c r="H64" i="43"/>
  <c r="H63" i="43"/>
  <c r="H55" i="43"/>
  <c r="H56" i="43"/>
  <c r="H72" i="43"/>
  <c r="L20" i="6"/>
  <c r="E51" i="40"/>
  <c r="B6" i="1"/>
  <c r="E6" i="1"/>
  <c r="S8" i="1"/>
  <c r="AQ8" i="1"/>
  <c r="K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AB47" i="34"/>
  <c r="U25" i="34"/>
  <c r="AB36" i="34"/>
  <c r="W33" i="34"/>
  <c r="AC14" i="34"/>
  <c r="AC32" i="34"/>
  <c r="AC29" i="34"/>
  <c r="W29" i="34"/>
  <c r="S32" i="34"/>
  <c r="AA32" i="34"/>
  <c r="U30" i="34"/>
  <c r="AB30" i="34"/>
  <c r="S37" i="34"/>
  <c r="U38" i="34"/>
  <c r="AA19" i="34"/>
  <c r="S19" i="34"/>
  <c r="AA36" i="34"/>
  <c r="S36" i="34"/>
  <c r="AA8" i="34"/>
  <c r="S8" i="34"/>
  <c r="AB9" i="34"/>
  <c r="U9" i="34"/>
  <c r="S46" i="34"/>
  <c r="U32" i="34"/>
  <c r="AB32" i="34"/>
  <c r="U14" i="34"/>
  <c r="AB14" i="34"/>
  <c r="W43" i="34"/>
  <c r="AA11" i="34"/>
  <c r="W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D19" i="12"/>
  <c r="C19" i="12"/>
  <c r="E366" i="3"/>
  <c r="E282" i="3"/>
  <c r="D9" i="68"/>
  <c r="C9" i="68"/>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J10" i="34"/>
  <c r="W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S4" i="43"/>
  <c r="S7" i="43"/>
  <c r="E574" i="3"/>
  <c r="E285" i="3"/>
  <c r="E128" i="3"/>
  <c r="E314" i="3"/>
  <c r="E511" i="3"/>
  <c r="E16" i="3"/>
  <c r="AK6" i="3"/>
  <c r="E434" i="3"/>
  <c r="E306" i="3"/>
  <c r="E296" i="3"/>
  <c r="E262" i="3"/>
  <c r="E136" i="3"/>
  <c r="E236" i="3"/>
  <c r="E269" i="3"/>
  <c r="E89" i="3"/>
  <c r="I106" i="43"/>
  <c r="D107" i="43"/>
  <c r="L107" i="4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P7" i="1"/>
  <c r="AB45" i="21"/>
  <c r="AC33" i="21"/>
  <c r="W33" i="21"/>
  <c r="S33" i="21"/>
  <c r="AA33" i="21"/>
  <c r="W32" i="21"/>
  <c r="AC32" i="21"/>
  <c r="AB9" i="21"/>
  <c r="U9" i="21"/>
  <c r="AA32" i="21"/>
  <c r="S32" i="21"/>
  <c r="W9" i="21"/>
  <c r="AC9" i="21"/>
  <c r="AB32" i="21"/>
  <c r="U32" i="21"/>
  <c r="AA10" i="21"/>
  <c r="S10" i="21"/>
  <c r="S6" i="1"/>
  <c r="E6" i="70"/>
  <c r="U32" i="39"/>
  <c r="AB32" i="39"/>
  <c r="AC32" i="39"/>
  <c r="W32" i="39"/>
  <c r="W19" i="37"/>
  <c r="AC19" i="37"/>
  <c r="W23" i="37"/>
  <c r="AC23" i="37"/>
  <c r="AB11" i="37"/>
  <c r="U11" i="37"/>
  <c r="H63" i="37"/>
  <c r="I63" i="37"/>
  <c r="J63" i="37"/>
  <c r="K63" i="37"/>
  <c r="L63" i="37"/>
  <c r="M63" i="37"/>
  <c r="J11" i="37"/>
  <c r="W10" i="37"/>
  <c r="AC10" i="37"/>
  <c r="U11" i="34"/>
  <c r="AB11" i="34"/>
  <c r="AC10" i="34"/>
  <c r="H70" i="34"/>
  <c r="I70" i="34"/>
  <c r="J70" i="34"/>
  <c r="K70" i="34"/>
  <c r="L70" i="34"/>
  <c r="M70" i="34"/>
  <c r="J11" i="34"/>
  <c r="W11" i="34"/>
  <c r="AC36" i="33"/>
  <c r="W36" i="33"/>
  <c r="U36" i="33"/>
  <c r="AB36" i="33"/>
  <c r="W27" i="33"/>
  <c r="AC27" i="33"/>
  <c r="W25" i="33"/>
  <c r="AC25" i="33"/>
  <c r="AA23" i="33"/>
  <c r="S23" i="33"/>
  <c r="AB19" i="33"/>
  <c r="U19" i="33"/>
  <c r="AA17" i="33"/>
  <c r="S17" i="33"/>
  <c r="U17" i="33"/>
  <c r="AB17" i="33"/>
  <c r="U23" i="21"/>
  <c r="AB23" i="21"/>
  <c r="AC23" i="21"/>
  <c r="W23" i="21"/>
  <c r="AC11" i="37"/>
  <c r="W11" i="37"/>
  <c r="AC11" i="34"/>
  <c r="F34" i="11"/>
  <c r="C36" i="11"/>
  <c r="F11" i="12"/>
  <c r="C23" i="12"/>
  <c r="F34" i="68"/>
  <c r="R8" i="1"/>
  <c r="AE7" i="1"/>
  <c r="AE8" i="1"/>
  <c r="AG6" i="1"/>
  <c r="H109" i="9"/>
  <c r="H110" i="9"/>
  <c r="D18" i="53"/>
  <c r="B35" i="72"/>
  <c r="D124" i="9"/>
  <c r="H14" i="74"/>
  <c r="B7" i="74"/>
  <c r="D16" i="53"/>
  <c r="B34" i="72"/>
  <c r="D10" i="52"/>
  <c r="D17" i="53"/>
  <c r="B36" i="72"/>
  <c r="D125" i="9"/>
  <c r="D11" i="52"/>
  <c r="H112" i="9"/>
  <c r="D21" i="53"/>
  <c r="B39" i="72"/>
  <c r="H111" i="9"/>
  <c r="D126" i="9"/>
  <c r="I14" i="74"/>
  <c r="B8" i="74"/>
  <c r="D19" i="53"/>
  <c r="B38" i="72"/>
  <c r="D20" i="53"/>
  <c r="B40" i="72"/>
  <c r="AD3" i="71"/>
  <c r="J1" i="73"/>
  <c r="C13" i="12"/>
  <c r="C77" i="9"/>
  <c r="C74"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c r="E46" i="36"/>
  <c r="F46" i="36"/>
  <c r="G46" i="36"/>
  <c r="H46" i="36"/>
  <c r="I46" i="36"/>
  <c r="D16" i="71"/>
  <c r="D17" i="71"/>
  <c r="D18" i="71"/>
  <c r="U18" i="71"/>
  <c r="S18" i="71"/>
  <c r="T18" i="71"/>
  <c r="AB16" i="71"/>
  <c r="X14" i="71"/>
  <c r="X13" i="71"/>
  <c r="AA14" i="71"/>
  <c r="AA13" i="71"/>
  <c r="X17" i="71"/>
  <c r="Z12" i="71"/>
  <c r="Y13" i="71"/>
  <c r="Z13" i="71"/>
  <c r="AB14" i="71"/>
  <c r="AB13" i="71"/>
  <c r="S14" i="71"/>
  <c r="Y14" i="71"/>
  <c r="Z14" i="71"/>
  <c r="X3" i="71"/>
  <c r="G20" i="43"/>
  <c r="E68" i="39"/>
  <c r="F68" i="39"/>
  <c r="V14" i="71"/>
  <c r="D15" i="71"/>
  <c r="E41" i="43"/>
  <c r="C41" i="43"/>
  <c r="C20" i="43"/>
  <c r="I59" i="34"/>
  <c r="J59" i="34"/>
  <c r="D12" i="71"/>
  <c r="T14" i="71"/>
  <c r="D13" i="71"/>
  <c r="D14" i="71"/>
  <c r="U14" i="71"/>
  <c r="H43" i="34"/>
  <c r="G17" i="43"/>
  <c r="C16" i="43"/>
  <c r="D5" i="43"/>
  <c r="C5" i="43"/>
  <c r="T14" i="43"/>
  <c r="V14" i="43"/>
  <c r="F118" i="34"/>
  <c r="G118" i="34"/>
  <c r="J40" i="34"/>
  <c r="H40" i="34"/>
  <c r="F40" i="34"/>
  <c r="AC46" i="34"/>
  <c r="W46" i="34"/>
  <c r="AB46" i="34"/>
  <c r="S44" i="34"/>
  <c r="AA39" i="34"/>
  <c r="AA38" i="34"/>
  <c r="AC39" i="34"/>
  <c r="AC36" i="34"/>
  <c r="W31" i="34"/>
  <c r="F90" i="34"/>
  <c r="G90" i="34"/>
  <c r="H90" i="34"/>
  <c r="I90" i="34"/>
  <c r="J90" i="34"/>
  <c r="K90" i="34"/>
  <c r="L90" i="34"/>
  <c r="M90" i="34"/>
  <c r="F27" i="34"/>
  <c r="J27" i="34"/>
  <c r="F23" i="34"/>
  <c r="H23" i="34"/>
  <c r="U21" i="34"/>
  <c r="S21" i="34"/>
  <c r="S17" i="34"/>
  <c r="AC17" i="34"/>
  <c r="J15" i="34"/>
  <c r="W12" i="34"/>
  <c r="AC12" i="34"/>
  <c r="AB13" i="34"/>
  <c r="H12" i="34"/>
  <c r="S9" i="34"/>
  <c r="W8" i="34"/>
  <c r="P74" i="67"/>
  <c r="F28" i="15"/>
  <c r="C28" i="15"/>
  <c r="F31" i="12"/>
  <c r="C92" i="9"/>
  <c r="C94" i="9"/>
  <c r="F54" i="9"/>
  <c r="M18" i="67"/>
  <c r="F30" i="68"/>
  <c r="F48" i="9"/>
  <c r="O52" i="9"/>
  <c r="C31" i="12"/>
  <c r="C24" i="12"/>
  <c r="D68" i="9"/>
  <c r="M18" i="15"/>
  <c r="F32" i="15"/>
  <c r="F60" i="15"/>
  <c r="F30" i="69"/>
  <c r="F32" i="67"/>
  <c r="F60" i="67"/>
  <c r="F52" i="9"/>
  <c r="F28" i="67"/>
  <c r="C28" i="67"/>
  <c r="F30" i="11"/>
  <c r="C21" i="69"/>
  <c r="D22" i="67"/>
  <c r="AR12" i="1"/>
  <c r="T8" i="1"/>
  <c r="T13" i="1"/>
  <c r="AQ9" i="1"/>
  <c r="D9" i="69"/>
  <c r="C9" i="69"/>
  <c r="T12" i="1"/>
  <c r="E56" i="40"/>
  <c r="AR8" i="1"/>
  <c r="G29" i="6"/>
  <c r="I118" i="43"/>
  <c r="J118" i="43"/>
  <c r="K118" i="43"/>
  <c r="L118" i="43"/>
  <c r="M118" i="43"/>
  <c r="B116" i="43"/>
  <c r="C116" i="43"/>
  <c r="I117" i="43"/>
  <c r="J117" i="43"/>
  <c r="K117" i="43"/>
  <c r="L117" i="43"/>
  <c r="M117" i="43"/>
  <c r="I116" i="43"/>
  <c r="J116" i="43"/>
  <c r="K116" i="43"/>
  <c r="L116" i="43"/>
  <c r="M116" i="43"/>
  <c r="I115" i="43"/>
  <c r="J115" i="43"/>
  <c r="K115" i="43"/>
  <c r="L115" i="43"/>
  <c r="M115" i="43"/>
  <c r="G118" i="43"/>
  <c r="H118" i="43"/>
  <c r="B118" i="43"/>
  <c r="C118" i="43"/>
  <c r="B117" i="43"/>
  <c r="C117" i="43"/>
  <c r="E2" i="70"/>
  <c r="L103" i="43"/>
  <c r="L106" i="43"/>
  <c r="D103" i="43"/>
  <c r="J22" i="43"/>
  <c r="S3" i="43"/>
  <c r="C23" i="43"/>
  <c r="C21" i="43"/>
  <c r="T9" i="1"/>
  <c r="AR11" i="1"/>
  <c r="T11" i="1"/>
  <c r="AQ13" i="1"/>
  <c r="Y11" i="43"/>
  <c r="Y13" i="43"/>
  <c r="AC11" i="43"/>
  <c r="AC13" i="43"/>
  <c r="AG11" i="43"/>
  <c r="AG13" i="43"/>
  <c r="S5" i="43"/>
  <c r="Z11" i="43"/>
  <c r="Z13" i="43"/>
  <c r="AD11" i="43"/>
  <c r="AD13" i="43"/>
  <c r="AH11" i="43"/>
  <c r="AH13" i="43"/>
  <c r="K109" i="43"/>
  <c r="J109" i="43"/>
  <c r="AR10" i="1"/>
  <c r="J106" i="43"/>
  <c r="E101" i="43"/>
  <c r="E105" i="43"/>
  <c r="M101" i="43"/>
  <c r="M107" i="43"/>
  <c r="H101" i="43"/>
  <c r="H107" i="43"/>
  <c r="H22" i="43"/>
  <c r="N104" i="46"/>
  <c r="C101" i="43"/>
  <c r="E22" i="43"/>
  <c r="D22" i="43"/>
  <c r="F101" i="43"/>
  <c r="L27" i="6"/>
  <c r="Q16" i="1"/>
  <c r="F27" i="68"/>
  <c r="C29" i="68"/>
  <c r="D27" i="68"/>
  <c r="H106" i="43"/>
  <c r="M7" i="1"/>
  <c r="E12" i="6"/>
  <c r="E62" i="39"/>
  <c r="H16" i="1"/>
  <c r="L104" i="43"/>
  <c r="L105" i="43"/>
  <c r="L102" i="43"/>
  <c r="I103" i="43"/>
  <c r="E59" i="40"/>
  <c r="BL5" i="3"/>
  <c r="E57" i="40"/>
  <c r="E13" i="6"/>
  <c r="F29" i="6"/>
  <c r="F30" i="6"/>
  <c r="E29" i="6"/>
  <c r="G30" i="6"/>
  <c r="G31" i="6"/>
  <c r="K14" i="1"/>
  <c r="K15" i="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53" i="3"/>
  <c r="E175" i="3"/>
  <c r="E319" i="3"/>
  <c r="E530" i="3"/>
  <c r="E501" i="3"/>
  <c r="E343" i="3"/>
  <c r="E153" i="3"/>
  <c r="E305" i="3"/>
  <c r="E426" i="3"/>
  <c r="E508" i="3"/>
  <c r="E328" i="3"/>
  <c r="E239" i="3"/>
  <c r="E509" i="3"/>
  <c r="E516" i="3"/>
  <c r="E579" i="3"/>
  <c r="E569" i="3"/>
  <c r="E431" i="3"/>
  <c r="E396" i="3"/>
  <c r="E247" i="3"/>
  <c r="E229"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217" i="3"/>
  <c r="E526" i="3"/>
  <c r="E268" i="3"/>
  <c r="E322" i="3"/>
  <c r="AJ6" i="3"/>
  <c r="E388" i="3"/>
  <c r="E555" i="3"/>
  <c r="E410" i="3"/>
  <c r="E337" i="3"/>
  <c r="E143" i="3"/>
  <c r="E293" i="3"/>
  <c r="E353" i="3"/>
  <c r="E385" i="3"/>
  <c r="E495" i="3"/>
  <c r="E518" i="3"/>
  <c r="AN6" i="3"/>
  <c r="AI6" i="3"/>
  <c r="E586" i="3"/>
  <c r="E578" i="3"/>
  <c r="E402" i="3"/>
  <c r="E423" i="3"/>
  <c r="E350" i="3"/>
  <c r="E382" i="3"/>
  <c r="E303" i="3"/>
  <c r="E263" i="3"/>
  <c r="E301" i="3"/>
  <c r="E245" i="3"/>
  <c r="E159" i="3"/>
  <c r="E191" i="3"/>
  <c r="E99" i="3"/>
  <c r="E188" i="3"/>
  <c r="E228" i="3"/>
  <c r="E181" i="3"/>
  <c r="E15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125" i="3"/>
  <c r="E553" i="3"/>
  <c r="N6" i="3"/>
  <c r="O6" i="3"/>
  <c r="E359" i="3"/>
  <c r="E165" i="3"/>
  <c r="E397" i="3"/>
  <c r="E568" i="3"/>
  <c r="I6" i="3"/>
  <c r="E536" i="3"/>
  <c r="E549" i="3"/>
  <c r="E453" i="3"/>
  <c r="E368" i="3"/>
  <c r="E244" i="3"/>
  <c r="E196" i="3"/>
  <c r="E156" i="3"/>
  <c r="E148" i="3"/>
  <c r="E122"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H102" i="43"/>
  <c r="H104" i="43"/>
  <c r="J104" i="43"/>
  <c r="J105" i="43"/>
  <c r="J107" i="43"/>
  <c r="J102" i="43"/>
  <c r="G105" i="43"/>
  <c r="G102" i="43"/>
  <c r="G107" i="43"/>
  <c r="G104" i="43"/>
  <c r="G106" i="43"/>
  <c r="G109" i="43"/>
  <c r="N102" i="43"/>
  <c r="N105" i="43"/>
  <c r="N104" i="43"/>
  <c r="K103" i="43"/>
  <c r="K102" i="43"/>
  <c r="K105" i="43"/>
  <c r="O12" i="1"/>
  <c r="P12" i="1"/>
  <c r="C104" i="43"/>
  <c r="C107" i="43"/>
  <c r="C103" i="43"/>
  <c r="C109" i="43"/>
  <c r="B115" i="43"/>
  <c r="D113" i="43"/>
  <c r="D117" i="43"/>
  <c r="E117" i="43"/>
  <c r="F117" i="43"/>
  <c r="G117" i="43"/>
  <c r="H117" i="43"/>
  <c r="D116" i="43"/>
  <c r="E116" i="43"/>
  <c r="F116" i="43"/>
  <c r="G116" i="43"/>
  <c r="H116" i="43"/>
  <c r="D118" i="43"/>
  <c r="E118" i="43"/>
  <c r="F118" i="43"/>
  <c r="D115" i="43"/>
  <c r="E115" i="43"/>
  <c r="F115" i="43"/>
  <c r="G115" i="43"/>
  <c r="H115" i="43"/>
  <c r="F27" i="6"/>
  <c r="F31" i="6"/>
  <c r="E56" i="39"/>
  <c r="E15" i="6"/>
  <c r="C36" i="69"/>
  <c r="O9" i="1"/>
  <c r="P9" i="1"/>
  <c r="O7" i="1"/>
  <c r="E106" i="43"/>
  <c r="M109" i="43"/>
  <c r="M102" i="43"/>
  <c r="M106" i="43"/>
  <c r="M103" i="43"/>
  <c r="P7" i="1"/>
  <c r="F27" i="69"/>
  <c r="F45" i="69"/>
  <c r="F28" i="12"/>
  <c r="C29" i="12"/>
  <c r="D28" i="12"/>
  <c r="F27" i="11"/>
  <c r="E109" i="43"/>
  <c r="M105" i="43"/>
  <c r="M104" i="43"/>
  <c r="P6" i="1"/>
  <c r="M11" i="1"/>
  <c r="I109" i="43"/>
  <c r="I104" i="43"/>
  <c r="I107" i="43"/>
  <c r="I105" i="43"/>
  <c r="D109" i="43"/>
  <c r="D105" i="43"/>
  <c r="D106" i="43"/>
  <c r="D102" i="43"/>
  <c r="O8" i="1"/>
  <c r="T35" i="4"/>
  <c r="A19" i="51"/>
  <c r="B14" i="72"/>
  <c r="A15" i="62"/>
  <c r="B61" i="72"/>
  <c r="D12" i="52"/>
  <c r="D127" i="9"/>
  <c r="D13" i="52"/>
  <c r="J56" i="9"/>
  <c r="J57" i="9"/>
  <c r="J59" i="9"/>
  <c r="J61" i="9"/>
  <c r="K56" i="9"/>
  <c r="N56" i="9"/>
  <c r="E70" i="39"/>
  <c r="F70" i="39"/>
  <c r="G68" i="39"/>
  <c r="G16" i="1"/>
  <c r="F10"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D9" i="53"/>
  <c r="B25" i="72"/>
  <c r="B24" i="72"/>
  <c r="K120" i="9"/>
  <c r="A18" i="62"/>
  <c r="B64" i="72"/>
  <c r="D9" i="71"/>
  <c r="T11" i="43"/>
  <c r="V11" i="43"/>
  <c r="Y10" i="71"/>
  <c r="Z10" i="71"/>
  <c r="Y9" i="71"/>
  <c r="AA10" i="71"/>
  <c r="AB3" i="71"/>
  <c r="T9" i="43"/>
  <c r="V9" i="43"/>
  <c r="B5" i="71"/>
  <c r="X10" i="71"/>
  <c r="AB10" i="71"/>
  <c r="T4" i="43"/>
  <c r="V4" i="43"/>
  <c r="T6" i="43"/>
  <c r="V6" i="43"/>
  <c r="Z9" i="71"/>
  <c r="Y3" i="71"/>
  <c r="Z3" i="71"/>
  <c r="F10" i="71"/>
  <c r="F9" i="71"/>
  <c r="F8" i="71"/>
  <c r="F7" i="71"/>
  <c r="F6" i="71"/>
  <c r="F5" i="71"/>
  <c r="AF3" i="71"/>
  <c r="P22" i="43"/>
  <c r="T7" i="43"/>
  <c r="V7" i="43"/>
  <c r="T16" i="43"/>
  <c r="V16" i="43"/>
  <c r="T8" i="43"/>
  <c r="V8" i="43"/>
  <c r="C36" i="68"/>
  <c r="K1" i="73"/>
  <c r="AB43" i="34"/>
  <c r="U43" i="34"/>
  <c r="C36" i="43"/>
  <c r="C39" i="43"/>
  <c r="C34" i="43"/>
  <c r="C33" i="43"/>
  <c r="C35" i="43"/>
  <c r="E35" i="43"/>
  <c r="C37" i="43"/>
  <c r="E37" i="43"/>
  <c r="C38" i="43"/>
  <c r="T3" i="43"/>
  <c r="V3" i="43"/>
  <c r="T2" i="43"/>
  <c r="V2" i="43"/>
  <c r="T13" i="43"/>
  <c r="V13" i="43"/>
  <c r="T10" i="43"/>
  <c r="V10" i="43"/>
  <c r="T15" i="43"/>
  <c r="V15" i="43"/>
  <c r="T12" i="43"/>
  <c r="V12" i="43"/>
  <c r="T5" i="43"/>
  <c r="V5" i="43"/>
  <c r="C29" i="43"/>
  <c r="S40" i="34"/>
  <c r="AA40" i="34"/>
  <c r="W40" i="34"/>
  <c r="AC40" i="34"/>
  <c r="U40" i="34"/>
  <c r="AB40" i="34"/>
  <c r="AA27" i="34"/>
  <c r="S27" i="34"/>
  <c r="W27" i="34"/>
  <c r="AC27" i="34"/>
  <c r="U23" i="34"/>
  <c r="AB23" i="34"/>
  <c r="AA23" i="34"/>
  <c r="S23" i="34"/>
  <c r="AC15" i="34"/>
  <c r="W15" i="34"/>
  <c r="U12" i="34"/>
  <c r="AB12" i="34"/>
  <c r="F48" i="68"/>
  <c r="C48" i="68"/>
  <c r="C30" i="68"/>
  <c r="C48" i="11"/>
  <c r="C30" i="11"/>
  <c r="F48" i="69"/>
  <c r="C30" i="69"/>
  <c r="C48" i="69"/>
  <c r="C47" i="68"/>
  <c r="D45" i="68"/>
  <c r="F45" i="68"/>
  <c r="H105" i="43"/>
  <c r="C29" i="69"/>
  <c r="D27" i="69"/>
  <c r="E107" i="43"/>
  <c r="E103" i="43"/>
  <c r="E102" i="43"/>
  <c r="H103" i="43"/>
  <c r="E104" i="43"/>
  <c r="H109" i="43"/>
  <c r="F104" i="43"/>
  <c r="F102" i="43"/>
  <c r="F103" i="43"/>
  <c r="F109" i="43"/>
  <c r="F107" i="43"/>
  <c r="F106" i="43"/>
  <c r="F105" i="43"/>
  <c r="C106" i="43"/>
  <c r="C105" i="43"/>
  <c r="C102" i="43"/>
  <c r="K16" i="1"/>
  <c r="C47" i="69"/>
  <c r="D45" i="69"/>
  <c r="E58" i="40"/>
  <c r="E63" i="39"/>
  <c r="M14" i="1"/>
  <c r="C34" i="69"/>
  <c r="E30" i="6"/>
  <c r="K25" i="6"/>
  <c r="M25" i="6"/>
  <c r="I25" i="6"/>
  <c r="S25" i="6"/>
  <c r="AC6" i="3"/>
  <c r="C115" i="43"/>
  <c r="E60" i="40"/>
  <c r="E65" i="39"/>
  <c r="E66" i="39"/>
  <c r="E16" i="6"/>
  <c r="H6" i="3"/>
  <c r="E6" i="3"/>
  <c r="P8" i="1"/>
  <c r="C29" i="11"/>
  <c r="D27" i="11"/>
  <c r="C47" i="11"/>
  <c r="D45" i="11"/>
  <c r="O11" i="1"/>
  <c r="M16" i="1"/>
  <c r="J10" i="40"/>
  <c r="AC10" i="40"/>
  <c r="H10" i="39"/>
  <c r="AB10" i="39"/>
  <c r="F10" i="40"/>
  <c r="S10" i="40"/>
  <c r="J10" i="39"/>
  <c r="AC10" i="39"/>
  <c r="H10" i="40"/>
  <c r="AB10" i="40"/>
  <c r="F59" i="67"/>
  <c r="G35" i="43"/>
  <c r="I35" i="43"/>
  <c r="G70" i="39"/>
  <c r="H68" i="39"/>
  <c r="H7" i="37"/>
  <c r="AB7" i="37"/>
  <c r="T42" i="37"/>
  <c r="G42" i="37"/>
  <c r="W10" i="39"/>
  <c r="S10" i="39"/>
  <c r="AA10" i="39"/>
  <c r="H7" i="33"/>
  <c r="J7" i="33"/>
  <c r="D65" i="40"/>
  <c r="E63" i="40"/>
  <c r="F48" i="35"/>
  <c r="S7" i="36"/>
  <c r="AA7" i="36"/>
  <c r="R36" i="36"/>
  <c r="AC7" i="37"/>
  <c r="V42" i="37"/>
  <c r="I42" i="37"/>
  <c r="W7" i="37"/>
  <c r="U7" i="37"/>
  <c r="AB7" i="36"/>
  <c r="T36" i="36"/>
  <c r="G36" i="36"/>
  <c r="U7" i="36"/>
  <c r="AB7" i="34"/>
  <c r="U7" i="34"/>
  <c r="AA7" i="34"/>
  <c r="R49" i="34"/>
  <c r="S7" i="34"/>
  <c r="AA10" i="40"/>
  <c r="F7" i="33"/>
  <c r="E58" i="21"/>
  <c r="AC7" i="36"/>
  <c r="V36" i="36"/>
  <c r="I36" i="36"/>
  <c r="W7" i="36"/>
  <c r="F7" i="37"/>
  <c r="W7" i="34"/>
  <c r="AC7" i="34"/>
  <c r="V49" i="34"/>
  <c r="I49" i="34"/>
  <c r="G37" i="43"/>
  <c r="I37" i="43"/>
  <c r="D8" i="71"/>
  <c r="M17" i="67"/>
  <c r="M17" i="15"/>
  <c r="F59" i="15"/>
  <c r="P24" i="43"/>
  <c r="B66" i="40"/>
  <c r="P21" i="43"/>
  <c r="E39" i="43"/>
  <c r="G39" i="43"/>
  <c r="I39" i="43"/>
  <c r="P25" i="43"/>
  <c r="P23" i="43"/>
  <c r="B71" i="39"/>
  <c r="C30" i="43"/>
  <c r="E30" i="43"/>
  <c r="E29" i="43"/>
  <c r="E38" i="43"/>
  <c r="G38" i="43"/>
  <c r="I38" i="43"/>
  <c r="G34" i="43"/>
  <c r="I34" i="43"/>
  <c r="E34" i="43"/>
  <c r="G33" i="43"/>
  <c r="I33" i="43"/>
  <c r="E33" i="43"/>
  <c r="C26" i="43"/>
  <c r="M28" i="43"/>
  <c r="N28" i="43"/>
  <c r="O28" i="43"/>
  <c r="P28" i="43"/>
  <c r="E36" i="43"/>
  <c r="G36" i="43"/>
  <c r="I36" i="43"/>
  <c r="U10" i="39"/>
  <c r="E31" i="6"/>
  <c r="K21" i="6"/>
  <c r="M21" i="6"/>
  <c r="I21" i="6"/>
  <c r="S21" i="6"/>
  <c r="C35" i="69"/>
  <c r="C38" i="69"/>
  <c r="W10" i="40"/>
  <c r="K23" i="6"/>
  <c r="M23" i="6"/>
  <c r="I23" i="6"/>
  <c r="S23" i="6"/>
  <c r="K22" i="6"/>
  <c r="M22" i="6"/>
  <c r="I22" i="6"/>
  <c r="S22" i="6"/>
  <c r="O14" i="1"/>
  <c r="O16" i="1"/>
  <c r="U10" i="40"/>
  <c r="K24" i="6"/>
  <c r="M24" i="6"/>
  <c r="I24" i="6"/>
  <c r="S24" i="6"/>
  <c r="K20" i="6"/>
  <c r="K26" i="6"/>
  <c r="M26" i="6"/>
  <c r="I26" i="6"/>
  <c r="S26"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21"/>
  <c r="E6" i="6"/>
  <c r="D37" i="11"/>
  <c r="C37" i="11"/>
  <c r="D14" i="12"/>
  <c r="M18" i="9"/>
  <c r="B118" i="9"/>
  <c r="B14" i="74"/>
  <c r="B1" i="74"/>
  <c r="D3" i="33"/>
  <c r="D19" i="11"/>
  <c r="C19" i="11"/>
  <c r="D3" i="37"/>
  <c r="D3" i="34"/>
  <c r="C17" i="4"/>
  <c r="B4" i="52"/>
  <c r="B43" i="72"/>
  <c r="L18" i="9"/>
  <c r="L16" i="1"/>
  <c r="N16" i="1"/>
  <c r="C34" i="11"/>
  <c r="C34" i="68"/>
  <c r="P11" i="1"/>
  <c r="I68" i="39"/>
  <c r="H70" i="39"/>
  <c r="I53" i="34"/>
  <c r="J53" i="34"/>
  <c r="F58" i="21"/>
  <c r="R37" i="36"/>
  <c r="E36" i="36"/>
  <c r="F63" i="40"/>
  <c r="E65" i="40"/>
  <c r="W7" i="33"/>
  <c r="AC7" i="33"/>
  <c r="V48" i="33"/>
  <c r="I48" i="33"/>
  <c r="AA7" i="37"/>
  <c r="R42" i="37"/>
  <c r="S7" i="37"/>
  <c r="I40" i="36"/>
  <c r="J40" i="36"/>
  <c r="S7" i="33"/>
  <c r="AA7" i="33"/>
  <c r="R48" i="33"/>
  <c r="E49" i="34"/>
  <c r="G40" i="36"/>
  <c r="H40" i="36"/>
  <c r="G41" i="36"/>
  <c r="H41" i="36"/>
  <c r="G46" i="37"/>
  <c r="H46" i="37"/>
  <c r="G47" i="37"/>
  <c r="H47" i="37"/>
  <c r="I46" i="37"/>
  <c r="J46" i="37"/>
  <c r="G48" i="35"/>
  <c r="U7" i="33"/>
  <c r="AB7" i="33"/>
  <c r="T48" i="33"/>
  <c r="G48" i="33"/>
  <c r="C5" i="71"/>
  <c r="D5" i="71"/>
  <c r="C27" i="43"/>
  <c r="M20" i="6"/>
  <c r="I20" i="6"/>
  <c r="S20" i="6"/>
  <c r="S7" i="1"/>
  <c r="AQ6" i="1"/>
  <c r="S16" i="1"/>
  <c r="T6" i="1"/>
  <c r="AR6" i="1"/>
  <c r="P14" i="1"/>
  <c r="P16" i="1"/>
  <c r="C11" i="12"/>
  <c r="K27" i="6"/>
  <c r="C20" i="11"/>
  <c r="C28" i="11"/>
  <c r="C27" i="11"/>
  <c r="C8" i="74"/>
  <c r="C7" i="74"/>
  <c r="D17" i="12"/>
  <c r="C17" i="12"/>
  <c r="C14" i="12"/>
  <c r="D10" i="11"/>
  <c r="C10" i="11"/>
  <c r="D10" i="69"/>
  <c r="D10" i="68"/>
  <c r="D20" i="12"/>
  <c r="C20" i="12"/>
  <c r="C18" i="12"/>
  <c r="M19" i="9"/>
  <c r="C118" i="9"/>
  <c r="C14" i="74"/>
  <c r="B2" i="74"/>
  <c r="D26" i="6"/>
  <c r="C18" i="4"/>
  <c r="D8" i="6"/>
  <c r="D23" i="6"/>
  <c r="D14" i="6"/>
  <c r="D6" i="6"/>
  <c r="D9" i="6"/>
  <c r="D10" i="6"/>
  <c r="L19" i="9"/>
  <c r="D29" i="6"/>
  <c r="H25" i="6"/>
  <c r="D25" i="6"/>
  <c r="D15" i="6"/>
  <c r="D22" i="6"/>
  <c r="D21" i="6"/>
  <c r="D24" i="6"/>
  <c r="D20" i="6"/>
  <c r="D5" i="6"/>
  <c r="D12" i="6"/>
  <c r="D11" i="6"/>
  <c r="D13" i="6"/>
  <c r="D28" i="6"/>
  <c r="D30" i="6"/>
  <c r="E61" i="40"/>
  <c r="H21" i="6"/>
  <c r="H22" i="6"/>
  <c r="H23" i="6"/>
  <c r="R23" i="6"/>
  <c r="H20" i="6"/>
  <c r="R20" i="6"/>
  <c r="R7" i="1"/>
  <c r="H26" i="6"/>
  <c r="H24" i="6"/>
  <c r="C38" i="11"/>
  <c r="C35" i="11"/>
  <c r="C38" i="68"/>
  <c r="C35" i="68"/>
  <c r="F50" i="11"/>
  <c r="F50" i="68"/>
  <c r="F50" i="69"/>
  <c r="I70" i="39"/>
  <c r="J68" i="39"/>
  <c r="E53" i="34"/>
  <c r="F53" i="34"/>
  <c r="R49" i="33"/>
  <c r="E48" i="33"/>
  <c r="I52" i="33"/>
  <c r="J52" i="33"/>
  <c r="I53" i="33"/>
  <c r="J53" i="33"/>
  <c r="E40" i="36"/>
  <c r="F40" i="36"/>
  <c r="E41" i="36"/>
  <c r="F41" i="36"/>
  <c r="I54" i="34"/>
  <c r="J54" i="34"/>
  <c r="G52" i="33"/>
  <c r="H52" i="33"/>
  <c r="G53" i="33"/>
  <c r="H53" i="33"/>
  <c r="H48" i="35"/>
  <c r="I41" i="36"/>
  <c r="J41" i="36"/>
  <c r="R43" i="37"/>
  <c r="E42" i="37"/>
  <c r="G63" i="40"/>
  <c r="F65" i="40"/>
  <c r="C37" i="36"/>
  <c r="C36" i="36"/>
  <c r="G58" i="21"/>
  <c r="M20" i="43"/>
  <c r="B2" i="43"/>
  <c r="R26" i="6"/>
  <c r="AR7" i="1"/>
  <c r="AQ7" i="1"/>
  <c r="T7" i="1"/>
  <c r="T16" i="1"/>
  <c r="C33" i="11"/>
  <c r="R24" i="6"/>
  <c r="R22" i="6"/>
  <c r="R25" i="6"/>
  <c r="C15" i="12"/>
  <c r="C12" i="12"/>
  <c r="R21" i="6"/>
  <c r="D16" i="6"/>
  <c r="M27" i="6"/>
  <c r="D27" i="6"/>
  <c r="A7" i="51"/>
  <c r="B7" i="72"/>
  <c r="C4" i="52"/>
  <c r="B45" i="72"/>
  <c r="A10" i="51"/>
  <c r="B9" i="72"/>
  <c r="D31" i="6"/>
  <c r="C10" i="69"/>
  <c r="C8" i="69"/>
  <c r="C5" i="69"/>
  <c r="D19" i="69"/>
  <c r="D8" i="74"/>
  <c r="D7" i="74"/>
  <c r="C10" i="68"/>
  <c r="D19" i="68"/>
  <c r="K68" i="39"/>
  <c r="J70" i="39"/>
  <c r="G65" i="40"/>
  <c r="H63" i="40"/>
  <c r="C43" i="37"/>
  <c r="C42" i="37"/>
  <c r="I48" i="35"/>
  <c r="C48" i="33"/>
  <c r="C49" i="33"/>
  <c r="H58" i="21"/>
  <c r="E47" i="37"/>
  <c r="F47" i="37"/>
  <c r="E46" i="37"/>
  <c r="F46" i="37"/>
  <c r="I47" i="37"/>
  <c r="J47" i="37"/>
  <c r="E53" i="33"/>
  <c r="F53" i="33"/>
  <c r="E52" i="33"/>
  <c r="F52" i="33"/>
  <c r="B3" i="43"/>
  <c r="C16" i="12"/>
  <c r="C21" i="12"/>
  <c r="C39" i="11"/>
  <c r="I27" i="6"/>
  <c r="S19" i="6"/>
  <c r="S27" i="6"/>
  <c r="C19" i="68"/>
  <c r="C20" i="68"/>
  <c r="D37" i="68"/>
  <c r="C37" i="68"/>
  <c r="C33" i="68"/>
  <c r="C19" i="69"/>
  <c r="D37" i="69"/>
  <c r="C37" i="69"/>
  <c r="C33" i="69"/>
  <c r="I6" i="6"/>
  <c r="I5" i="6"/>
  <c r="K70" i="39"/>
  <c r="L68" i="39"/>
  <c r="I63" i="40"/>
  <c r="H65" i="40"/>
  <c r="I58" i="21"/>
  <c r="J58" i="21"/>
  <c r="K58" i="21"/>
  <c r="L58" i="21"/>
  <c r="M58" i="21"/>
  <c r="N58" i="21"/>
  <c r="O58" i="21"/>
  <c r="H7" i="21"/>
  <c r="J7" i="21"/>
  <c r="F7" i="21"/>
  <c r="J48" i="35"/>
  <c r="C46" i="11"/>
  <c r="C45" i="11"/>
  <c r="H27" i="6"/>
  <c r="R19" i="6"/>
  <c r="L70" i="39"/>
  <c r="M68" i="39"/>
  <c r="U7" i="21"/>
  <c r="AB7" i="21"/>
  <c r="T48" i="21"/>
  <c r="G48" i="21"/>
  <c r="S7" i="21"/>
  <c r="AA7" i="21"/>
  <c r="R48" i="21"/>
  <c r="J63" i="40"/>
  <c r="I65" i="40"/>
  <c r="K48" i="35"/>
  <c r="L48" i="35"/>
  <c r="M48" i="35"/>
  <c r="N48" i="35"/>
  <c r="O48" i="35"/>
  <c r="H7" i="35"/>
  <c r="J7" i="35"/>
  <c r="AC7" i="21"/>
  <c r="V48" i="21"/>
  <c r="I48" i="21"/>
  <c r="W7" i="21"/>
  <c r="R27" i="6"/>
  <c r="R6" i="1"/>
  <c r="H37" i="34"/>
  <c r="M70" i="39"/>
  <c r="N68" i="39"/>
  <c r="W7" i="35"/>
  <c r="AC7" i="35"/>
  <c r="V38" i="35"/>
  <c r="I38" i="35"/>
  <c r="J65" i="40"/>
  <c r="K63" i="40"/>
  <c r="I52" i="21"/>
  <c r="J52" i="21"/>
  <c r="U7" i="35"/>
  <c r="AB7" i="35"/>
  <c r="T38" i="35"/>
  <c r="G38" i="35"/>
  <c r="R49" i="21"/>
  <c r="E48" i="21"/>
  <c r="G52" i="21"/>
  <c r="H52" i="21"/>
  <c r="G53" i="21"/>
  <c r="H53" i="21"/>
  <c r="F7" i="35"/>
  <c r="U37" i="34"/>
  <c r="AB37" i="34"/>
  <c r="T49" i="34"/>
  <c r="R16" i="1"/>
  <c r="O68" i="39"/>
  <c r="O70" i="39"/>
  <c r="N70" i="39"/>
  <c r="F7" i="39"/>
  <c r="S7" i="35"/>
  <c r="AA7" i="35"/>
  <c r="R38" i="35"/>
  <c r="C49" i="21"/>
  <c r="C48" i="21"/>
  <c r="E52" i="21"/>
  <c r="F52" i="21"/>
  <c r="E53" i="21"/>
  <c r="F53" i="21"/>
  <c r="G42" i="35"/>
  <c r="H42" i="35"/>
  <c r="G43" i="35"/>
  <c r="H43" i="35"/>
  <c r="I53" i="21"/>
  <c r="J53" i="21"/>
  <c r="K65" i="40"/>
  <c r="L63" i="40"/>
  <c r="I42" i="35"/>
  <c r="J42" i="35"/>
  <c r="G49" i="34"/>
  <c r="R50" i="34"/>
  <c r="G53" i="34"/>
  <c r="H53" i="34"/>
  <c r="G54" i="34"/>
  <c r="H54" i="34"/>
  <c r="E54" i="34"/>
  <c r="F54" i="34"/>
  <c r="H7" i="39"/>
  <c r="J7" i="39"/>
  <c r="AA7" i="39"/>
  <c r="R47" i="39"/>
  <c r="S7" i="39"/>
  <c r="R39" i="35"/>
  <c r="E38" i="35"/>
  <c r="M63" i="40"/>
  <c r="L65" i="40"/>
  <c r="C50" i="34"/>
  <c r="B2" i="34"/>
  <c r="C49" i="34"/>
  <c r="E47" i="39"/>
  <c r="R48" i="39"/>
  <c r="W7" i="39"/>
  <c r="AC7" i="39"/>
  <c r="V47" i="39"/>
  <c r="I47" i="39"/>
  <c r="U7" i="39"/>
  <c r="AB7" i="39"/>
  <c r="T47" i="39"/>
  <c r="G47" i="39"/>
  <c r="C39" i="35"/>
  <c r="C38" i="35"/>
  <c r="N63" i="40"/>
  <c r="M65" i="40"/>
  <c r="E43" i="35"/>
  <c r="F43" i="35"/>
  <c r="E42" i="35"/>
  <c r="F42" i="35"/>
  <c r="I43" i="35"/>
  <c r="J43" i="35"/>
  <c r="B3" i="34"/>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34" i="79"/>
  <c r="AO12" i="1"/>
  <c r="M29" i="15"/>
  <c r="D4" i="73"/>
  <c r="AO11" i="1"/>
  <c r="F3" i="73"/>
  <c r="M9" i="15"/>
  <c r="M6" i="67"/>
  <c r="D7" i="73"/>
  <c r="B12" i="76"/>
  <c r="D2" i="34"/>
  <c r="M9" i="67"/>
  <c r="C76" i="67"/>
  <c r="F42" i="67"/>
  <c r="F8" i="15"/>
  <c r="M29" i="67"/>
  <c r="F36" i="15"/>
  <c r="E2" i="68"/>
  <c r="F40" i="15"/>
  <c r="F41" i="15"/>
  <c r="F20" i="31"/>
  <c r="B9" i="76"/>
  <c r="L47" i="67"/>
  <c r="D2" i="35"/>
  <c r="M21" i="15"/>
  <c r="F36" i="67"/>
  <c r="M26" i="15"/>
  <c r="F4" i="73"/>
  <c r="AO13" i="1"/>
  <c r="D34" i="9"/>
  <c r="F37" i="15"/>
  <c r="F26" i="67"/>
  <c r="M8" i="67"/>
  <c r="AO7" i="1"/>
  <c r="E12" i="76"/>
  <c r="M8" i="15"/>
  <c r="F7" i="15"/>
  <c r="M27" i="15"/>
  <c r="AO8" i="1"/>
  <c r="F7" i="67"/>
  <c r="F38" i="67"/>
  <c r="B10" i="76"/>
  <c r="F26" i="15"/>
  <c r="L48" i="67"/>
  <c r="E11" i="76"/>
  <c r="M24" i="67"/>
  <c r="L47" i="15"/>
  <c r="E7" i="76"/>
  <c r="M28" i="67"/>
  <c r="E9" i="76"/>
  <c r="D35" i="79"/>
  <c r="D2" i="78"/>
  <c r="F8" i="67"/>
  <c r="D3" i="73"/>
  <c r="F13" i="15"/>
  <c r="L48" i="15"/>
  <c r="C76" i="15"/>
  <c r="F16" i="15"/>
  <c r="D5" i="73"/>
  <c r="D2" i="33"/>
  <c r="F6" i="15"/>
  <c r="D2" i="36"/>
  <c r="B8" i="76"/>
  <c r="M22" i="67"/>
  <c r="F7" i="73"/>
  <c r="AO9" i="1"/>
  <c r="M24" i="15"/>
  <c r="F13" i="67"/>
  <c r="F9" i="67"/>
  <c r="E8" i="76"/>
  <c r="F6" i="73"/>
  <c r="B13" i="76"/>
  <c r="J15" i="15"/>
  <c r="E10" i="76"/>
  <c r="F38" i="15"/>
  <c r="D2" i="37"/>
  <c r="F43" i="15"/>
  <c r="E13" i="76"/>
  <c r="D2" i="21"/>
  <c r="F16" i="67"/>
  <c r="B11" i="76"/>
  <c r="F35" i="15"/>
  <c r="D35" i="9"/>
  <c r="M23" i="15"/>
  <c r="E2" i="69"/>
  <c r="F40" i="67"/>
  <c r="F5" i="73"/>
  <c r="J15" i="67"/>
  <c r="B7" i="76"/>
  <c r="M22" i="15"/>
  <c r="M23" i="67"/>
  <c r="D6" i="73"/>
  <c r="M26" i="67"/>
  <c r="F9" i="15"/>
  <c r="F37" i="67"/>
  <c r="F42" i="15"/>
  <c r="F43" i="67"/>
  <c r="M28" i="15"/>
  <c r="M27" i="67"/>
  <c r="M6" i="15"/>
  <c r="AO10" i="1"/>
  <c r="C14" i="15"/>
  <c r="G1" i="73"/>
  <c r="B6" i="76"/>
  <c r="E6" i="76"/>
  <c r="F35" i="67"/>
  <c r="C19" i="79"/>
  <c r="M21" i="67"/>
  <c r="C20" i="79"/>
  <c r="F6" i="67"/>
  <c r="C6" i="67"/>
  <c r="C103" i="79"/>
  <c r="J20" i="67"/>
  <c r="C21" i="79"/>
  <c r="C102" i="79"/>
  <c r="F63" i="67"/>
  <c r="C62" i="67"/>
  <c r="C34" i="67"/>
  <c r="E2" i="76"/>
  <c r="B2" i="76"/>
  <c r="B40" i="1"/>
  <c r="C15" i="15"/>
  <c r="C18" i="15"/>
  <c r="B10" i="70"/>
  <c r="F71" i="67"/>
  <c r="F65" i="67"/>
  <c r="F68" i="67"/>
  <c r="C34" i="15"/>
  <c r="F63" i="15"/>
  <c r="C62" i="15"/>
  <c r="B2" i="21"/>
  <c r="B3" i="21"/>
  <c r="F71" i="15"/>
  <c r="B2" i="37"/>
  <c r="B3" i="37"/>
  <c r="F66" i="15"/>
  <c r="B9" i="70"/>
  <c r="B2" i="36"/>
  <c r="B3" i="36"/>
  <c r="C6" i="15"/>
  <c r="B2" i="33"/>
  <c r="B3" i="33"/>
  <c r="Q71" i="15"/>
  <c r="J53" i="15"/>
  <c r="L56" i="15"/>
  <c r="J57" i="15"/>
  <c r="J55" i="15"/>
  <c r="J58" i="15"/>
  <c r="Q50" i="15"/>
  <c r="I54" i="15"/>
  <c r="F51" i="67"/>
  <c r="L59" i="15"/>
  <c r="L58" i="15"/>
  <c r="N59" i="15"/>
  <c r="M59" i="15"/>
  <c r="J57" i="67"/>
  <c r="J55" i="67"/>
  <c r="J58" i="67"/>
  <c r="Q50" i="67"/>
  <c r="L56" i="67"/>
  <c r="I54" i="67"/>
  <c r="J53" i="67"/>
  <c r="J59" i="67"/>
  <c r="L57" i="67"/>
  <c r="J60" i="67"/>
  <c r="Q48" i="67"/>
  <c r="L60" i="67"/>
  <c r="L46" i="67"/>
  <c r="C27" i="15"/>
  <c r="F66" i="67"/>
  <c r="M7" i="67"/>
  <c r="F50" i="67"/>
  <c r="B8" i="70"/>
  <c r="F50" i="15"/>
  <c r="M7" i="15"/>
  <c r="J6" i="15"/>
  <c r="B7" i="70"/>
  <c r="C27" i="67"/>
  <c r="F65" i="15"/>
  <c r="B13" i="70"/>
  <c r="I1" i="73"/>
  <c r="B39" i="1"/>
  <c r="F64" i="67"/>
  <c r="J20" i="15"/>
  <c r="B2" i="35"/>
  <c r="B3" i="35"/>
  <c r="N59" i="67"/>
  <c r="L58" i="67"/>
  <c r="L59" i="67"/>
  <c r="M59" i="67"/>
  <c r="F69" i="15"/>
  <c r="F68" i="15"/>
  <c r="F64" i="15"/>
  <c r="F51" i="15"/>
  <c r="F70" i="67"/>
  <c r="Q71" i="67"/>
  <c r="J6" i="67"/>
  <c r="B11" i="70"/>
  <c r="B12" i="70"/>
  <c r="C20" i="69"/>
  <c r="C39" i="69"/>
  <c r="C46" i="69"/>
  <c r="C45" i="69"/>
  <c r="C39" i="68"/>
  <c r="C28" i="68"/>
  <c r="C27" i="68"/>
  <c r="C22" i="12"/>
  <c r="C30" i="12"/>
  <c r="C28" i="12"/>
  <c r="F14" i="49"/>
  <c r="H14" i="49"/>
  <c r="F13" i="49"/>
  <c r="H13" i="49"/>
  <c r="F12" i="49"/>
  <c r="H12" i="49"/>
  <c r="F11" i="49"/>
  <c r="H11" i="49"/>
  <c r="F10" i="49"/>
  <c r="H10" i="49"/>
  <c r="F9" i="49"/>
  <c r="H9" i="49"/>
  <c r="F8" i="49"/>
  <c r="H8" i="49"/>
  <c r="F7" i="49"/>
  <c r="H7" i="49"/>
  <c r="F6" i="49"/>
  <c r="H6" i="49"/>
  <c r="F5" i="49"/>
  <c r="H5" i="49"/>
  <c r="F4" i="49"/>
  <c r="H4" i="49"/>
  <c r="B14" i="49"/>
  <c r="D14" i="49"/>
  <c r="B12" i="49"/>
  <c r="D12" i="49"/>
  <c r="B10" i="49"/>
  <c r="D10" i="49"/>
  <c r="B8" i="49"/>
  <c r="D8" i="49"/>
  <c r="B6" i="49"/>
  <c r="B4" i="49"/>
  <c r="D4" i="49"/>
  <c r="B13" i="49"/>
  <c r="D13" i="49"/>
  <c r="B11" i="49"/>
  <c r="B9" i="49"/>
  <c r="D9" i="49"/>
  <c r="B7" i="49"/>
  <c r="D7" i="49"/>
  <c r="B5" i="49"/>
  <c r="D5" i="49"/>
  <c r="C17" i="67"/>
  <c r="C17" i="15"/>
  <c r="C14" i="67"/>
  <c r="C16" i="67"/>
  <c r="C16" i="15"/>
  <c r="C19" i="15"/>
  <c r="C18" i="67"/>
  <c r="C15" i="67"/>
  <c r="C19" i="67"/>
  <c r="J18" i="15"/>
  <c r="E4" i="4"/>
  <c r="B5" i="62"/>
  <c r="B73" i="72"/>
  <c r="D11" i="49"/>
  <c r="J18" i="67"/>
  <c r="Q61" i="67"/>
  <c r="Q74" i="67"/>
  <c r="M11" i="67"/>
  <c r="J10" i="67"/>
  <c r="J5" i="67"/>
  <c r="M11" i="15"/>
  <c r="J10" i="15"/>
  <c r="J5" i="15"/>
  <c r="F11" i="15"/>
  <c r="F11" i="67"/>
  <c r="C53" i="67"/>
  <c r="Q74" i="15"/>
  <c r="Q61" i="15"/>
  <c r="C32" i="15"/>
  <c r="B3" i="76"/>
  <c r="D6" i="49"/>
  <c r="C4" i="4"/>
  <c r="C46" i="68"/>
  <c r="C45" i="68"/>
  <c r="C28" i="69"/>
  <c r="C27" i="69"/>
  <c r="C49" i="15"/>
  <c r="Q60" i="67"/>
  <c r="Q73" i="67"/>
  <c r="Q66" i="67"/>
  <c r="Q57" i="67"/>
  <c r="F1" i="67"/>
  <c r="Q52" i="67"/>
  <c r="Q60" i="15"/>
  <c r="Q73" i="15"/>
  <c r="C49" i="67"/>
  <c r="C48" i="67"/>
  <c r="F1" i="15"/>
  <c r="Q52" i="15"/>
  <c r="F25" i="12"/>
  <c r="F22" i="68"/>
  <c r="F22" i="69"/>
  <c r="C25" i="69"/>
  <c r="F24" i="67"/>
  <c r="C24" i="67"/>
  <c r="F22" i="11"/>
  <c r="F24" i="15"/>
  <c r="C24" i="15"/>
  <c r="C10" i="67"/>
  <c r="C32" i="67"/>
  <c r="C5" i="67"/>
  <c r="C33" i="67"/>
  <c r="AE6" i="1"/>
  <c r="F41" i="67"/>
  <c r="F69" i="67"/>
  <c r="J26" i="67"/>
  <c r="J29" i="67"/>
  <c r="J24" i="67"/>
  <c r="J26" i="15"/>
  <c r="J29" i="15"/>
  <c r="J24" i="15"/>
  <c r="C20" i="67"/>
  <c r="C23" i="67"/>
  <c r="C31" i="67"/>
  <c r="C44" i="68"/>
  <c r="D41" i="68"/>
  <c r="C23" i="68"/>
  <c r="C24" i="68"/>
  <c r="C25" i="68"/>
  <c r="C22" i="68"/>
  <c r="F41" i="68"/>
  <c r="C26" i="68"/>
  <c r="D22" i="68"/>
  <c r="C42" i="68"/>
  <c r="C66" i="67"/>
  <c r="C60" i="67"/>
  <c r="C43" i="68"/>
  <c r="C38" i="67"/>
  <c r="C24" i="11"/>
  <c r="C25" i="11"/>
  <c r="C23" i="11"/>
  <c r="C22" i="11"/>
  <c r="C26" i="11"/>
  <c r="D22" i="11"/>
  <c r="C31" i="11"/>
  <c r="C42" i="11"/>
  <c r="C44" i="11"/>
  <c r="D41" i="11"/>
  <c r="C43" i="11"/>
  <c r="F41" i="69"/>
  <c r="C26" i="69"/>
  <c r="D22" i="69"/>
  <c r="C44" i="69"/>
  <c r="D41" i="69"/>
  <c r="C24" i="69"/>
  <c r="C42" i="69"/>
  <c r="C23" i="69"/>
  <c r="C22" i="69"/>
  <c r="C31" i="69"/>
  <c r="C26" i="12"/>
  <c r="D25" i="12"/>
  <c r="C27" i="12"/>
  <c r="C25" i="12"/>
  <c r="C32" i="12"/>
  <c r="B2" i="12"/>
  <c r="B3" i="12"/>
  <c r="B4" i="62"/>
  <c r="B71" i="72"/>
  <c r="K4" i="4"/>
  <c r="B46" i="48"/>
  <c r="B4" i="72"/>
  <c r="C53" i="15"/>
  <c r="C48" i="15"/>
  <c r="C10" i="15"/>
  <c r="C5" i="15"/>
  <c r="C43" i="69"/>
  <c r="C20" i="15"/>
  <c r="C23" i="15"/>
  <c r="C60" i="15"/>
  <c r="C66" i="15"/>
  <c r="C38" i="15"/>
  <c r="C41" i="68"/>
  <c r="C49" i="68"/>
  <c r="C51" i="68"/>
  <c r="C31" i="68"/>
  <c r="C26" i="67"/>
  <c r="C26" i="15"/>
  <c r="C29" i="15"/>
  <c r="C41" i="69"/>
  <c r="C49" i="69"/>
  <c r="C51" i="69"/>
  <c r="C52" i="69"/>
  <c r="B2" i="69"/>
  <c r="B3" i="69"/>
  <c r="C41" i="11"/>
  <c r="C49" i="11"/>
  <c r="C51" i="11"/>
  <c r="C29" i="67"/>
  <c r="J14" i="15"/>
  <c r="C33" i="15"/>
  <c r="C31" i="15"/>
  <c r="C13" i="15"/>
  <c r="J19" i="15"/>
  <c r="J17" i="15"/>
  <c r="C57" i="15"/>
  <c r="C36" i="15"/>
  <c r="Q49" i="15"/>
  <c r="J59" i="15"/>
  <c r="J60" i="15"/>
  <c r="C52" i="68"/>
  <c r="B2" i="68"/>
  <c r="B3" i="68"/>
  <c r="C36" i="67"/>
  <c r="C13" i="67"/>
  <c r="C57" i="67"/>
  <c r="J14" i="67"/>
  <c r="J19" i="67"/>
  <c r="J17" i="67"/>
  <c r="Q49" i="67"/>
  <c r="C57" i="69"/>
  <c r="C56" i="69"/>
  <c r="C57" i="68"/>
  <c r="C56" i="68"/>
  <c r="C52" i="11"/>
  <c r="B2" i="11"/>
  <c r="B3" i="11"/>
  <c r="J13" i="67"/>
  <c r="J23" i="67"/>
  <c r="J22" i="67"/>
  <c r="Q70" i="67"/>
  <c r="C56" i="67"/>
  <c r="C65" i="67"/>
  <c r="C75" i="67"/>
  <c r="C37" i="67"/>
  <c r="Q48" i="15"/>
  <c r="L46" i="15"/>
  <c r="J16" i="67"/>
  <c r="J25" i="67"/>
  <c r="C61" i="67"/>
  <c r="C59" i="67"/>
  <c r="C64" i="67"/>
  <c r="C58" i="67"/>
  <c r="C67" i="67"/>
  <c r="C68" i="67"/>
  <c r="C30" i="67"/>
  <c r="C39" i="67"/>
  <c r="C56" i="11"/>
  <c r="C57" i="11"/>
  <c r="C61" i="15"/>
  <c r="C59" i="15"/>
  <c r="C64" i="15"/>
  <c r="C56" i="15"/>
  <c r="C65" i="15"/>
  <c r="C58" i="15"/>
  <c r="C67" i="15"/>
  <c r="C68" i="15"/>
  <c r="Q70" i="15"/>
  <c r="C75" i="15"/>
  <c r="C37" i="15"/>
  <c r="C30" i="15"/>
  <c r="C39" i="15"/>
  <c r="J13" i="15"/>
  <c r="J23" i="15"/>
  <c r="J22" i="15"/>
  <c r="J16" i="15"/>
  <c r="J25" i="15"/>
  <c r="Q69" i="15"/>
  <c r="Q68" i="15"/>
  <c r="C40" i="15"/>
  <c r="C71" i="15"/>
  <c r="C46" i="15"/>
  <c r="Q69" i="67"/>
  <c r="Q68" i="67"/>
  <c r="C40" i="67"/>
  <c r="C80" i="15"/>
  <c r="C79" i="15"/>
  <c r="C71" i="67"/>
  <c r="C45" i="67"/>
  <c r="C46" i="67"/>
  <c r="C80" i="67"/>
  <c r="C79" i="67"/>
  <c r="L51" i="15"/>
  <c r="L51" i="67"/>
  <c r="Q67" i="67"/>
  <c r="Q67" i="15"/>
  <c r="L57" i="15"/>
  <c r="L60" i="15"/>
  <c r="C43" i="67"/>
  <c r="Q65" i="67"/>
  <c r="Q75" i="67"/>
  <c r="Q47" i="67"/>
  <c r="Q53" i="67"/>
  <c r="Q56" i="67"/>
  <c r="Q62" i="67"/>
  <c r="D2" i="67"/>
  <c r="C83" i="67"/>
  <c r="C82" i="67"/>
  <c r="Q65" i="15"/>
  <c r="Q47" i="15"/>
  <c r="Q53" i="15"/>
  <c r="B2" i="15"/>
  <c r="B3" i="15"/>
  <c r="Q56" i="15"/>
  <c r="C43" i="15"/>
  <c r="C83" i="15"/>
  <c r="C82" i="15"/>
  <c r="B2" i="67"/>
  <c r="B3" i="67"/>
  <c r="Q66" i="15"/>
  <c r="Q75" i="15"/>
  <c r="Q57" i="15"/>
  <c r="Q62" i="15"/>
  <c r="D20" i="79"/>
  <c r="AO6" i="1"/>
  <c r="D19" i="79"/>
  <c r="D21" i="79"/>
  <c r="D102" i="79"/>
  <c r="D22" i="79"/>
  <c r="G19" i="79"/>
  <c r="B6" i="70"/>
  <c r="B2" i="70"/>
  <c r="B3" i="70"/>
  <c r="D103" i="79"/>
  <c r="G20" i="79"/>
  <c r="R24" i="31"/>
  <c r="G21" i="79"/>
  <c r="C32" i="79"/>
  <c r="R25" i="31"/>
  <c r="S25" i="31"/>
  <c r="R26" i="31"/>
  <c r="S26" i="31"/>
  <c r="R27" i="31"/>
  <c r="S27" i="31"/>
  <c r="R28" i="31"/>
  <c r="S28" i="31"/>
  <c r="R29" i="31"/>
  <c r="S29" i="31"/>
  <c r="R30" i="31"/>
  <c r="S30" i="31"/>
  <c r="R31" i="31"/>
  <c r="S31" i="31"/>
  <c r="R32" i="31"/>
  <c r="S32" i="31"/>
  <c r="S24" i="31"/>
  <c r="C35" i="79"/>
  <c r="F118" i="79"/>
  <c r="H118" i="79"/>
  <c r="S22" i="31"/>
  <c r="R22" i="31"/>
  <c r="B20" i="31"/>
  <c r="G118" i="79"/>
  <c r="F119" i="79"/>
  <c r="C104" i="79"/>
  <c r="H101" i="79"/>
  <c r="I118" i="79"/>
  <c r="H119" i="79"/>
  <c r="C34" i="79"/>
  <c r="D118" i="79"/>
  <c r="D119" i="79"/>
  <c r="D19" i="9"/>
  <c r="C19" i="9"/>
  <c r="D22" i="9"/>
  <c r="C21" i="9"/>
  <c r="C102" i="9"/>
  <c r="G19" i="9"/>
  <c r="D102" i="9"/>
  <c r="D21" i="9"/>
  <c r="D45" i="79"/>
  <c r="H107" i="79"/>
  <c r="M48" i="79"/>
  <c r="B21" i="31"/>
  <c r="E118" i="79"/>
  <c r="H102" i="79"/>
  <c r="C105" i="79"/>
  <c r="C20" i="9"/>
  <c r="D20" i="9"/>
  <c r="D103" i="9"/>
  <c r="G20" i="9"/>
  <c r="C103" i="9"/>
  <c r="M49" i="79"/>
  <c r="D122" i="79"/>
  <c r="D123" i="79"/>
  <c r="H108" i="79"/>
  <c r="C32" i="9"/>
  <c r="G21" i="9"/>
  <c r="C93" i="79"/>
  <c r="C86" i="79"/>
  <c r="C85" i="79"/>
  <c r="D55" i="79"/>
  <c r="M53" i="79"/>
  <c r="D53" i="79"/>
  <c r="C78" i="79"/>
  <c r="C73" i="79"/>
  <c r="D52" i="79"/>
  <c r="C72" i="79"/>
  <c r="C79" i="79"/>
  <c r="C64" i="79"/>
  <c r="C63" i="79"/>
  <c r="C67" i="79"/>
  <c r="C35" i="9"/>
  <c r="F118" i="9"/>
  <c r="C34" i="9"/>
  <c r="D118" i="9"/>
  <c r="H118" i="9"/>
  <c r="D59" i="79"/>
  <c r="M55" i="79"/>
  <c r="C68" i="79"/>
  <c r="D54" i="79"/>
  <c r="C95" i="79"/>
  <c r="L66" i="79"/>
  <c r="M66" i="79"/>
  <c r="L65" i="79"/>
  <c r="M65" i="79"/>
  <c r="L64" i="79"/>
  <c r="M64" i="79"/>
  <c r="L68" i="79"/>
  <c r="M68" i="79"/>
  <c r="L67" i="79"/>
  <c r="M67" i="79"/>
  <c r="L63" i="79"/>
  <c r="M63" i="79"/>
  <c r="M69" i="79"/>
  <c r="N69" i="79"/>
  <c r="C80" i="79"/>
  <c r="E80" i="79"/>
  <c r="E81" i="79"/>
  <c r="C81" i="79"/>
  <c r="D14" i="74"/>
  <c r="H101" i="9"/>
  <c r="H119" i="9"/>
  <c r="H5" i="52"/>
  <c r="I118" i="9"/>
  <c r="C104" i="9"/>
  <c r="H4" i="52"/>
  <c r="G118" i="9"/>
  <c r="G4" i="52"/>
  <c r="B52" i="72"/>
  <c r="F119" i="9"/>
  <c r="F5" i="52"/>
  <c r="B53" i="72"/>
  <c r="F4" i="52"/>
  <c r="B51" i="72"/>
  <c r="C96" i="79"/>
  <c r="E96" i="79"/>
  <c r="E97" i="79"/>
  <c r="C97" i="79"/>
  <c r="D58" i="79"/>
  <c r="D56" i="79"/>
  <c r="M54" i="79"/>
  <c r="N57" i="79"/>
  <c r="D4" i="52"/>
  <c r="B47" i="72"/>
  <c r="D119" i="9"/>
  <c r="D5" i="52"/>
  <c r="B49" i="72"/>
  <c r="N58" i="79"/>
  <c r="P57" i="79"/>
  <c r="N59" i="79"/>
  <c r="F14" i="74"/>
  <c r="B5" i="74"/>
  <c r="E14" i="74"/>
  <c r="C105" i="9"/>
  <c r="I4" i="52"/>
  <c r="H102" i="9"/>
  <c r="D7" i="53"/>
  <c r="B21" i="72"/>
  <c r="E118" i="9"/>
  <c r="E4" i="52"/>
  <c r="B48" i="72"/>
  <c r="D5" i="53"/>
  <c r="H107" i="9"/>
  <c r="D45" i="9"/>
  <c r="M48" i="9"/>
  <c r="M49" i="9"/>
  <c r="D122" i="9"/>
  <c r="H108" i="9"/>
  <c r="D15" i="53"/>
  <c r="B31" i="72"/>
  <c r="D13" i="53"/>
  <c r="D55" i="9"/>
  <c r="M53" i="9"/>
  <c r="C64" i="9"/>
  <c r="C63" i="9"/>
  <c r="C67" i="9"/>
  <c r="C72" i="9"/>
  <c r="C78" i="9"/>
  <c r="C73" i="9"/>
  <c r="C79" i="9"/>
  <c r="C93" i="9"/>
  <c r="C86" i="9"/>
  <c r="D52" i="9"/>
  <c r="C85" i="9"/>
  <c r="C95" i="9"/>
  <c r="D53" i="9"/>
  <c r="D6" i="53"/>
  <c r="B22" i="72"/>
  <c r="B20" i="72"/>
  <c r="C5" i="74"/>
  <c r="D5" i="74"/>
  <c r="N60" i="79"/>
  <c r="N61" i="79"/>
  <c r="C96" i="9"/>
  <c r="E96" i="9"/>
  <c r="E97" i="9"/>
  <c r="C68" i="9"/>
  <c r="D54" i="9"/>
  <c r="D59" i="9"/>
  <c r="M55" i="9"/>
  <c r="D14" i="53"/>
  <c r="B32" i="72"/>
  <c r="B30" i="72"/>
  <c r="D123" i="9"/>
  <c r="D9" i="52"/>
  <c r="G14" i="74"/>
  <c r="B6" i="74"/>
  <c r="D8" i="52"/>
  <c r="C80" i="9"/>
  <c r="E80" i="9"/>
  <c r="E81" i="9"/>
  <c r="L63" i="9"/>
  <c r="M63" i="9"/>
  <c r="L67" i="9"/>
  <c r="M67" i="9"/>
  <c r="L64" i="9"/>
  <c r="M64" i="9"/>
  <c r="L65" i="9"/>
  <c r="M65" i="9"/>
  <c r="L66" i="9"/>
  <c r="M66" i="9"/>
  <c r="L68" i="9"/>
  <c r="M68" i="9"/>
  <c r="C81" i="9"/>
  <c r="D6" i="74"/>
  <c r="C6" i="74"/>
  <c r="C97" i="9"/>
  <c r="D58" i="9"/>
  <c r="D56" i="9"/>
  <c r="M54" i="9"/>
  <c r="N57" i="9"/>
  <c r="M69" i="9"/>
  <c r="N69" i="9"/>
  <c r="N58"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<sst xmlns="http://schemas.openxmlformats.org/spreadsheetml/2006/main" count="8120" uniqueCount="3159">
  <si>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</si>
  <si>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</si>
  <si>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</si>
  <si>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</si>
  <si>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</si>
  <si>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</si>
  <si>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</si>
  <si>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</si>
  <si>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</si>
  <si>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</si>
  <si>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</si>
  <si>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</si>
  <si>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</si>
  <si>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</si>
  <si>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</si>
  <si>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</si>
  <si>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</si>
  <si>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</si>
  <si>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</si>
  <si>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</si>
  <si>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</si>
  <si>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</si>
  <si>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</si>
  <si>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</si>
  <si>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</si>
  <si>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</si>
  <si>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</si>
  <si>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</si>
  <si>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</si>
  <si>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</si>
  <si>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</si>
  <si>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</si>
  <si>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</si>
  <si>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</si>
  <si>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</si>
  <si>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</si>
  <si>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</si>
  <si>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</si>
  <si>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</si>
  <si>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</si>
  <si>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</si>
  <si>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</si>
  <si>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</si>
  <si>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</si>
  <si>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</si>
  <si>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</si>
  <si>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</si>
  <si>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</si>
  <si>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</si>
  <si>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</si>
  <si>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</si>
  <si>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</si>
  <si>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</si>
  <si>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</si>
  <si>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</si>
  <si>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</si>
  <si>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</si>
  <si>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</si>
  <si>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</si>
  <si>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</si>
  <si>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</si>
  <si>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</si>
  <si>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</si>
  <si>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</si>
  <si>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</si>
  <si>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</si>
  <si>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</si>
  <si>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</si>
  <si>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</si>
  <si>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</si>
  <si>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</si>
  <si>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</si>
  <si>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</si>
  <si>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</si>
  <si>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</si>
  <si>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</si>
  <si>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</si>
  <si>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</si>
  <si>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</si>
  <si>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</si>
  <si>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</si>
  <si>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</si>
  <si>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</si>
  <si>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</si>
  <si>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</si>
  <si>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</si>
  <si>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</si>
  <si>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</si>
  <si>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</si>
  <si>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</si>
  <si>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</si>
  <si>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</si>
  <si>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</si>
  <si>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</si>
  <si>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</si>
  <si>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</si>
  <si>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</si>
  <si>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</si>
  <si>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</si>
  <si>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</si>
  <si>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</si>
  <si>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</si>
  <si>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</si>
  <si>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</si>
  <si>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</si>
  <si>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</si>
  <si>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</si>
  <si>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</si>
  <si>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</si>
  <si>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</si>
  <si>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</si>
  <si>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</si>
  <si>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</si>
  <si>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</si>
  <si>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</si>
  <si>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</si>
  <si>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</si>
  <si>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</si>
  <si>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</si>
  <si>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</si>
  <si>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</si>
  <si>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</si>
  <si>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</si>
  <si>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</si>
  <si>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</si>
  <si>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</si>
  <si>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</si>
  <si>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</si>
  <si>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</si>
  <si>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</si>
  <si>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</si>
  <si>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</si>
  <si>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</si>
  <si>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</si>
  <si>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</si>
  <si>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</si>
  <si>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</si>
  <si>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</si>
  <si>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</si>
  <si>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</si>
  <si>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</si>
  <si>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</si>
  <si>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</si>
  <si>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</si>
  <si>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</si>
  <si>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</si>
  <si>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</si>
  <si>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</si>
  <si>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</si>
  <si>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</si>
  <si>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</si>
  <si>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</si>
  <si>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</si>
  <si>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</si>
  <si>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</si>
  <si>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</si>
  <si>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</si>
  <si>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</si>
  <si>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</si>
  <si>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</si>
  <si>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</si>
  <si>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</si>
  <si>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</si>
  <si>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</si>
  <si>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</si>
  <si>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</si>
  <si>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</si>
  <si>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</si>
  <si>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</si>
  <si>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</si>
  <si>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</si>
  <si>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</si>
  <si>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</si>
  <si>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</si>
  <si>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</si>
  <si>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</si>
  <si>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</si>
  <si>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</si>
  <si>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</si>
  <si>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</si>
  <si>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</si>
  <si>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</si>
  <si>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</si>
  <si>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</si>
  <si>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</si>
  <si>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</si>
  <si>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</si>
  <si>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</si>
  <si>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</si>
  <si>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</si>
  <si>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</si>
  <si>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</si>
  <si>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</si>
  <si>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</si>
  <si>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</si>
  <si>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</si>
  <si>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</si>
  <si>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</si>
  <si>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</si>
  <si>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</si>
  <si>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</si>
  <si>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</si>
  <si>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</si>
  <si>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</si>
  <si>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</si>
  <si>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</si>
  <si>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</si>
  <si>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</si>
  <si>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</si>
  <si>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</si>
  <si>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</si>
  <si>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</si>
  <si>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</si>
  <si>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</si>
  <si>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</si>
  <si>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</si>
  <si>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</si>
  <si>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</si>
  <si>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</si>
  <si>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</si>
  <si>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</si>
  <si>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</si>
  <si>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</si>
  <si>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</si>
  <si>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</si>
  <si>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</si>
  <si>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</si>
  <si>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</si>
  <si>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</si>
  <si>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</si>
  <si>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</si>
  <si>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</si>
  <si>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</si>
  <si>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</si>
  <si>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</si>
  <si>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</si>
  <si>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</si>
  <si>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</si>
  <si>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</si>
  <si>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</si>
  <si>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</si>
  <si>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</si>
  <si>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</si>
  <si>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</si>
  <si>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</si>
  <si>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</si>
  <si>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</si>
  <si>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</si>
  <si>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</si>
  <si>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</si>
  <si>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</si>
  <si>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</si>
  <si>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</si>
  <si>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</si>
  <si>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</si>
  <si>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</si>
  <si>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</si>
  <si>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</si>
  <si>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</si>
  <si>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</si>
  <si>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</si>
  <si>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</si>
  <si>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</si>
  <si>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</si>
  <si>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</si>
  <si>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</si>
  <si>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</si>
  <si>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</si>
  <si>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</si>
  <si>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</si>
  <si>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</si>
  <si>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</si>
  <si>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</si>
  <si>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</si>
  <si>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</si>
  <si>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</si>
  <si>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</si>
  <si>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</si>
  <si>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</si>
  <si>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</si>
  <si>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</si>
  <si>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</si>
  <si>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</si>
  <si>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</si>
  <si>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</si>
  <si>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</si>
  <si>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</si>
  <si>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</si>
  <si>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</si>
  <si>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</si>
  <si>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</si>
  <si>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</si>
  <si>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</si>
  <si>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</si>
  <si>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</si>
  <si>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</si>
  <si>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</si>
  <si>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</si>
  <si>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</si>
  <si>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</si>
  <si>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</si>
  <si>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</si>
  <si>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</si>
  <si>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</si>
  <si>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</si>
  <si>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</si>
  <si>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</si>
  <si>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</si>
  <si>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</si>
  <si>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</si>
  <si>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</si>
  <si>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</si>
  <si>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</si>
  <si>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</si>
  <si>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</si>
  <si>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</si>
  <si>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</si>
  <si>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</si>
  <si>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</si>
  <si>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</si>
  <si>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</si>
  <si>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</si>
  <si>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</si>
  <si>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</si>
  <si>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</si>
  <si>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</si>
  <si>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</si>
  <si>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</si>
  <si>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</si>
  <si>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</si>
  <si>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</si>
  <si>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</si>
  <si>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</si>
  <si>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</si>
  <si>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</si>
  <si>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</si>
  <si>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</si>
  <si>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</si>
  <si>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</si>
  <si>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</si>
  <si>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</si>
  <si>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</si>
  <si>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</si>
  <si>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</si>
  <si>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</si>
  <si>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</si>
  <si>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</si>
  <si>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</si>
  <si>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</si>
  <si>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</si>
  <si>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</si>
  <si>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</si>
  <si>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</si>
  <si>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</si>
  <si>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</si>
  <si>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</si>
  <si>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</si>
  <si>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</si>
  <si>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</si>
  <si>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</si>
  <si>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</si>
  <si>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</si>
  <si>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</si>
  <si>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</si>
  <si>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</si>
  <si>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</si>
  <si>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</si>
  <si>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</si>
  <si>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</si>
  <si>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</si>
  <si>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</si>
  <si>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</si>
  <si>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</si>
  <si>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</si>
  <si>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</si>
  <si>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</si>
  <si>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</si>
  <si>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</si>
  <si>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</si>
  <si>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</si>
  <si>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</si>
  <si>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</si>
  <si>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</si>
  <si>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</si>
  <si>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</si>
  <si>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</si>
  <si>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</si>
  <si>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</si>
  <si>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</si>
  <si>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</si>
  <si>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</si>
  <si>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</si>
  <si>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</si>
  <si>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</si>
  <si>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</si>
  <si>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</si>
  <si>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</si>
  <si>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</si>
  <si>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</si>
  <si>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</si>
  <si>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</si>
  <si>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</si>
  <si>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</si>
  <si>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</si>
  <si>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</si>
  <si>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</si>
  <si>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</si>
  <si>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</si>
  <si>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</si>
  <si>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</si>
  <si>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</si>
  <si>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</si>
  <si>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</si>
  <si>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</si>
  <si>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</si>
  <si>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</si>
  <si>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</si>
  <si>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</si>
  <si>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</si>
  <si>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</si>
  <si>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</si>
  <si>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</si>
  <si>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</si>
  <si>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</si>
  <si>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</si>
  <si>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</si>
  <si>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</si>
  <si>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</si>
  <si>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</si>
  <si>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</si>
  <si>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</si>
  <si>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</si>
  <si>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</si>
  <si>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</si>
  <si>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</si>
  <si>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</si>
  <si>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</si>
  <si>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</si>
  <si>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</si>
  <si>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</si>
  <si>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</si>
  <si>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</si>
  <si>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</si>
  <si>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</si>
  <si>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</si>
  <si>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</si>
  <si>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</si>
  <si>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</si>
  <si>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</si>
  <si>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</si>
  <si>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</si>
  <si>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</si>
  <si>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</si>
  <si>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</si>
  <si>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</si>
  <si>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</si>
  <si>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</si>
  <si>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</si>
  <si>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</si>
  <si>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</si>
  <si>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</si>
  <si>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</si>
  <si>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</si>
  <si>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</si>
  <si>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</si>
  <si>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</si>
  <si>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</si>
  <si>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</si>
  <si>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</si>
  <si>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</si>
  <si>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</si>
  <si>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</si>
  <si>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</si>
  <si>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</si>
  <si>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</si>
  <si>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</si>
  <si>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</si>
  <si>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</si>
  <si>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</si>
  <si>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</si>
  <si>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</si>
  <si>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</si>
  <si>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</si>
  <si>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</si>
  <si>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</si>
  <si>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</si>
  <si>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</si>
  <si>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</si>
  <si>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</si>
  <si>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</si>
  <si>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</si>
  <si>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</si>
  <si>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</si>
  <si>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</si>
  <si>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</si>
  <si>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</si>
  <si>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</si>
  <si>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</si>
  <si>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</si>
  <si>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</si>
  <si>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</si>
  <si>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</si>
  <si>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</si>
  <si>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</si>
  <si>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</si>
  <si>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</si>
  <si>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</si>
  <si>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</si>
  <si>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</si>
  <si>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</si>
  <si>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</si>
  <si>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</si>
  <si>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</si>
  <si>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</si>
  <si>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</si>
  <si>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</si>
  <si>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</si>
  <si>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</si>
  <si>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</si>
  <si>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</si>
  <si>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</si>
  <si>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</si>
  <si>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</si>
  <si>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</si>
  <si>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</si>
  <si>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</si>
  <si>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</si>
  <si>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</si>
  <si>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</si>
  <si>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</si>
  <si>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</si>
  <si>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</si>
  <si>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</si>
  <si>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</si>
  <si>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</si>
  <si>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</si>
  <si>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</si>
  <si>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</si>
  <si>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</si>
  <si>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</si>
  <si>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</si>
  <si>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</si>
  <si>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</si>
  <si>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</si>
  <si>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</si>
  <si>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</si>
  <si>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</si>
  <si>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</si>
  <si>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</si>
  <si>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</si>
  <si>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</si>
  <si>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</si>
  <si>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</si>
  <si>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</si>
  <si>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</si>
  <si>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</si>
  <si>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</si>
  <si>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</si>
  <si>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</si>
  <si>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</si>
  <si>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</si>
  <si>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</si>
  <si>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</si>
  <si>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</si>
  <si>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</si>
  <si>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</si>
  <si>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</si>
  <si>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</si>
  <si>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</si>
  <si>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</si>
  <si>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</si>
  <si>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</si>
  <si>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</si>
  <si>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</si>
  <si>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</si>
  <si>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</si>
  <si>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</si>
  <si>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</si>
  <si>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</si>
  <si>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</si>
  <si>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</si>
  <si>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</si>
  <si>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</si>
  <si>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</si>
  <si>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</si>
  <si>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</si>
  <si>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</si>
  <si>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</si>
  <si>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</si>
  <si>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</si>
  <si>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</si>
  <si>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</si>
  <si>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</si>
  <si>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</si>
  <si>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</si>
  <si>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</si>
  <si>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</si>
  <si>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</si>
  <si>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</si>
  <si>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</si>
  <si>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</si>
  <si>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</si>
  <si>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</si>
  <si>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</si>
  <si>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</si>
  <si>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</si>
  <si>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</si>
  <si>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</si>
  <si>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</si>
  <si>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</si>
  <si>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</si>
  <si>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</si>
  <si>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</si>
  <si>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</si>
  <si>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</si>
  <si>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</si>
  <si>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</si>
  <si>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</si>
  <si>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</si>
  <si>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</si>
  <si>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</si>
  <si>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</si>
  <si>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</si>
  <si>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</si>
  <si>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</si>
  <si>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</si>
  <si>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</si>
  <si>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</si>
  <si>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</si>
  <si>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</si>
  <si>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</si>
  <si>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</si>
  <si>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</si>
  <si>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</si>
  <si>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</si>
  <si>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</si>
  <si>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</si>
  <si>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</si>
  <si>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</si>
  <si>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</si>
  <si>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</si>
  <si>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</si>
  <si>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</si>
  <si>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</si>
  <si>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</si>
  <si>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</si>
  <si>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</si>
  <si>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</si>
  <si>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</si>
  <si>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</si>
  <si>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</si>
  <si>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</si>
  <si>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</si>
  <si>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</si>
  <si>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</si>
  <si>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</si>
  <si>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</si>
  <si>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</si>
  <si>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</si>
  <si>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</si>
  <si>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</si>
  <si>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</si>
  <si>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</si>
  <si>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</si>
  <si>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</si>
  <si>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</si>
  <si>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</si>
  <si>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</si>
  <si>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</si>
  <si>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</si>
  <si>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</si>
  <si>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</si>
  <si>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</si>
  <si>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</si>
  <si>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</si>
  <si>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</si>
  <si>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</si>
  <si>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</si>
  <si>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</si>
  <si>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</si>
  <si>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</si>
  <si>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</si>
  <si>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</si>
  <si>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</si>
  <si>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</si>
  <si>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</si>
  <si>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</si>
  <si>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</si>
  <si>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</si>
  <si>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</si>
  <si>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</si>
  <si>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</si>
  <si>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</si>
  <si>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</si>
  <si>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</si>
  <si>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</si>
  <si>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</si>
  <si>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</si>
  <si>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</si>
  <si>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</si>
  <si>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</si>
  <si>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</si>
  <si>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</si>
  <si>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</si>
  <si>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</si>
  <si>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</si>
  <si>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</si>
  <si>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</si>
  <si>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</si>
  <si>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</si>
  <si>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</si>
  <si>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</si>
  <si>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</si>
  <si>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</si>
  <si>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</si>
  <si>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</si>
  <si>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</si>
  <si>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</si>
  <si>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</si>
  <si>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</si>
  <si>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</si>
  <si>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</si>
  <si>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</si>
  <si>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</si>
  <si>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</si>
  <si>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</si>
  <si>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</si>
  <si>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</si>
  <si>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</si>
  <si>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</si>
  <si>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</si>
  <si>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</si>
  <si>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</si>
  <si>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</si>
  <si>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</si>
  <si>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</si>
  <si>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</si>
  <si>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</si>
  <si>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</si>
  <si>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</si>
  <si>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</si>
  <si>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</si>
  <si>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</si>
  <si>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</si>
  <si>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</si>
  <si>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</si>
  <si>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</si>
  <si>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</si>
  <si>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</si>
  <si>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</si>
  <si>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</si>
  <si>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</si>
  <si>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</si>
  <si>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</si>
  <si>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</si>
  <si>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</si>
  <si>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</si>
  <si>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</si>
  <si>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</si>
  <si>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</si>
  <si>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</si>
  <si>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</si>
  <si>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</si>
  <si>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</si>
  <si>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</si>
  <si>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</si>
  <si>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</si>
  <si>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</si>
  <si>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</si>
  <si>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</si>
  <si>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</si>
  <si>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</si>
  <si>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</si>
  <si>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</si>
  <si>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</si>
  <si>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</si>
  <si>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</si>
  <si>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</si>
  <si>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</si>
  <si>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</si>
  <si>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</si>
  <si>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</si>
  <si>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</si>
  <si>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</si>
  <si>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</si>
  <si>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</si>
  <si>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</si>
  <si>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</si>
  <si>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</si>
  <si>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</si>
  <si>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</si>
  <si>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</si>
  <si>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</si>
  <si>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</si>
  <si>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</si>
  <si>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</si>
  <si>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</si>
  <si>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</si>
  <si>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</si>
  <si>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</si>
  <si>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</si>
  <si>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</si>
  <si>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</si>
  <si>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</si>
  <si>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</si>
  <si>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</si>
  <si>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</si>
  <si>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</si>
  <si>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</si>
  <si>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</si>
  <si>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</si>
  <si>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</si>
  <si>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</si>
  <si>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</si>
  <si>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</si>
  <si>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</si>
  <si>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</si>
  <si>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</si>
  <si>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</si>
  <si>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</si>
  <si>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</si>
  <si>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</si>
  <si>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</si>
  <si>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</si>
  <si>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</si>
  <si>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</si>
  <si>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</si>
  <si>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</si>
  <si>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</si>
  <si>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</si>
  <si>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</si>
  <si>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</si>
  <si>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</si>
  <si>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</si>
  <si>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</si>
  <si>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</si>
  <si>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</si>
  <si>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</si>
  <si>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</si>
  <si>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</si>
  <si>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</si>
  <si>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</si>
  <si>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</si>
  <si>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</si>
  <si>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</si>
  <si>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</si>
  <si>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</si>
  <si>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</si>
  <si>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</si>
  <si>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</si>
  <si>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</si>
  <si>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</si>
  <si>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</si>
  <si>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</si>
  <si>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</si>
  <si>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</si>
  <si>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</si>
  <si>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</si>
  <si>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</si>
  <si>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</si>
  <si>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</si>
  <si>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</si>
  <si>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</si>
  <si>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</si>
  <si>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</si>
  <si>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</si>
  <si>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</si>
  <si>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</si>
  <si>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</si>
  <si>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</si>
  <si>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</si>
  <si>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</si>
  <si>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</si>
  <si>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</si>
  <si>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</si>
  <si>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</si>
  <si>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</si>
  <si>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</si>
  <si>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</si>
  <si>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</si>
  <si>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</si>
  <si>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</si>
  <si>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</si>
  <si>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</si>
  <si>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</si>
  <si>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</si>
  <si>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</si>
  <si>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</si>
  <si>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</si>
  <si>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</si>
  <si>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</si>
  <si>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</si>
  <si>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</si>
  <si>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</si>
  <si>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</si>
  <si>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</si>
  <si>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</si>
  <si>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</si>
  <si>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</si>
  <si>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</si>
  <si>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</si>
  <si>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</si>
  <si>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</si>
  <si>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</si>
  <si>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</si>
  <si>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</si>
  <si>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</si>
  <si>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</si>
  <si>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</si>
  <si>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</si>
  <si>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</si>
  <si>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</si>
  <si>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</si>
  <si>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</si>
  <si>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</si>
  <si>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</si>
  <si>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</si>
  <si>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</si>
  <si>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</si>
  <si>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</si>
  <si>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</si>
  <si>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</si>
  <si>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</si>
  <si>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</si>
  <si>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</si>
  <si>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</si>
  <si>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</si>
  <si>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</si>
  <si>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</si>
  <si>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</si>
  <si>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</si>
  <si>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</si>
  <si>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</si>
  <si>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</si>
  <si>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</si>
  <si>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</si>
  <si>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</si>
  <si>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</si>
  <si>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</si>
  <si>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</si>
  <si>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</si>
  <si>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</si>
  <si>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</si>
  <si>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</si>
  <si>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</si>
  <si>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</si>
  <si>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</si>
  <si>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</si>
  <si>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</si>
  <si>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</si>
  <si>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</si>
  <si>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</si>
  <si>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</si>
  <si>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</si>
  <si>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</si>
  <si>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</si>
  <si>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</si>
  <si>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</si>
  <si>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</si>
  <si>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</si>
  <si>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</si>
  <si>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</si>
  <si>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</si>
  <si>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</si>
  <si>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</si>
  <si>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</si>
  <si>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</si>
  <si>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</si>
  <si>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</si>
  <si>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</si>
  <si>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</si>
  <si>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</si>
  <si>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</si>
  <si>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</si>
  <si>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</si>
  <si>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</si>
  <si>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</si>
  <si>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</si>
  <si>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</si>
  <si>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</si>
  <si>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</si>
  <si>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</si>
  <si>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</si>
  <si>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</si>
  <si>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</si>
  <si>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</si>
  <si>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</si>
  <si>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</si>
  <si>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</si>
  <si>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</si>
  <si>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</si>
  <si>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</si>
  <si>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</si>
  <si>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</si>
  <si>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</si>
  <si>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</si>
  <si>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</si>
  <si>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</si>
  <si>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</si>
  <si>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</si>
  <si>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</si>
  <si>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</si>
  <si>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</si>
  <si>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</si>
  <si>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</si>
  <si>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</si>
  <si>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</si>
  <si>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</si>
  <si>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</si>
  <si>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</si>
  <si>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</si>
  <si>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</si>
  <si>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</si>
  <si>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</si>
  <si>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</si>
  <si>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</si>
  <si>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</si>
  <si>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</si>
  <si>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</si>
  <si>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</si>
  <si>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</si>
  <si>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</si>
  <si>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</si>
  <si>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</si>
  <si>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</si>
  <si>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</si>
  <si>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</si>
  <si>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</si>
  <si>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</si>
  <si>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</si>
  <si>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</si>
  <si>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</si>
  <si>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</si>
  <si>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</si>
  <si>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</si>
  <si>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</si>
  <si>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</si>
  <si>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</si>
  <si>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</si>
  <si>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</si>
  <si>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</si>
  <si>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</si>
  <si>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</si>
  <si>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</si>
  <si>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</si>
  <si>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</si>
  <si>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</si>
  <si>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</si>
  <si>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</si>
  <si>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</si>
  <si>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</si>
  <si>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</si>
  <si>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</si>
  <si>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</si>
  <si>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</si>
  <si>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</si>
  <si>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</si>
  <si>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</si>
  <si>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</si>
  <si>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</si>
  <si>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</si>
  <si>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</si>
  <si>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</si>
  <si>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</si>
  <si>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</si>
  <si>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</si>
  <si>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</si>
  <si>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</si>
  <si>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</si>
  <si>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</si>
  <si>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</si>
  <si>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</si>
  <si>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</si>
  <si>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</si>
  <si>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</si>
  <si>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</si>
  <si>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</si>
  <si>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</si>
  <si>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</si>
  <si>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</si>
  <si>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</si>
  <si>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</si>
  <si>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</si>
  <si>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</si>
  <si>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</si>
  <si>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</si>
  <si>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</si>
  <si>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</si>
  <si>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</si>
  <si>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</si>
  <si>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</si>
  <si>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</si>
  <si>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</si>
  <si>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</si>
  <si>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</si>
  <si>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</si>
  <si>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</si>
  <si>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</si>
  <si>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</si>
  <si>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</si>
  <si>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</si>
  <si>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</si>
  <si>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</si>
  <si>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</si>
  <si>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</si>
  <si>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</si>
  <si>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</si>
  <si>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</si>
  <si>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</si>
  <si>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</si>
  <si>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</si>
  <si>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</si>
  <si>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</si>
  <si>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</si>
  <si>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</si>
  <si>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</si>
  <si>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</si>
  <si>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</si>
  <si>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</si>
  <si>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</si>
  <si>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</si>
  <si>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</si>
  <si>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</si>
  <si>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</si>
  <si>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</si>
  <si>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</si>
  <si>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</si>
  <si>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</si>
  <si>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</si>
  <si>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</si>
  <si>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</si>
  <si>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</si>
  <si>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</si>
  <si>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</si>
  <si>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</si>
  <si>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</si>
  <si>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</si>
  <si>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</si>
  <si>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</si>
  <si>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</si>
  <si>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</si>
  <si>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</si>
  <si>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</si>
  <si>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</si>
  <si>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</si>
  <si>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</si>
  <si>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</si>
  <si>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</si>
  <si>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</si>
  <si>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</si>
  <si>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</si>
  <si>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</si>
  <si>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</si>
  <si>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</si>
  <si>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</si>
  <si>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</si>
  <si>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</si>
  <si>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</si>
  <si>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</si>
  <si>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</si>
  <si>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</si>
  <si>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</si>
  <si>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</si>
  <si>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</si>
  <si>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</si>
  <si>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</si>
  <si>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</si>
  <si>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</si>
  <si>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</si>
  <si>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</si>
  <si>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</si>
  <si>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</si>
  <si>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</si>
  <si>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</si>
  <si>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</si>
  <si>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</si>
  <si>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</si>
  <si>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</si>
  <si>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</si>
  <si>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</si>
  <si>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</si>
  <si>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</si>
  <si>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</si>
  <si>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</si>
  <si>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</si>
  <si>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</si>
  <si>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</si>
  <si>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</si>
  <si>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</si>
  <si>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</si>
  <si>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</si>
  <si>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</si>
  <si>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</si>
  <si>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</si>
  <si>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</si>
  <si>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</si>
  <si>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</si>
  <si>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</si>
  <si>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</si>
  <si>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</si>
  <si>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</si>
  <si>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</si>
  <si>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</si>
  <si>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</si>
  <si>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</si>
  <si>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</si>
  <si>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</si>
  <si>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</si>
  <si>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</si>
  <si>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</si>
  <si>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</si>
  <si>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</si>
  <si>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</si>
  <si>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</si>
  <si>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</si>
  <si>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</si>
  <si>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</si>
  <si>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</si>
  <si>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</si>
  <si>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</si>
  <si>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</si>
  <si>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</si>
  <si>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</si>
  <si>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</si>
  <si>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</si>
  <si>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</si>
  <si>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</si>
  <si>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</si>
  <si>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</si>
  <si>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</si>
  <si>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</si>
  <si>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</si>
  <si>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</si>
  <si>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</si>
  <si>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</si>
  <si>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</si>
  <si>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</si>
  <si>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</si>
  <si>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</si>
  <si>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</si>
  <si>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</si>
  <si>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</si>
  <si>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</si>
  <si>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</si>
  <si>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</si>
  <si>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</si>
  <si>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</si>
  <si>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</si>
  <si>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</si>
  <si>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</si>
  <si>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</si>
  <si>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</si>
  <si>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</si>
  <si>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</si>
  <si>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</si>
  <si>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</si>
  <si>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</si>
  <si>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</si>
  <si>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</si>
  <si>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</si>
  <si>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</si>
  <si>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</si>
  <si>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</si>
  <si>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</si>
  <si>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</si>
  <si>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</si>
  <si>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</si>
  <si>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</si>
  <si>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</si>
  <si>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</si>
  <si>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</si>
  <si>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</si>
  <si>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</si>
  <si>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</si>
  <si>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</si>
  <si>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</si>
  <si>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</si>
  <si>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</si>
  <si>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</si>
  <si>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</si>
  <si>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</si>
  <si>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</si>
  <si>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</si>
  <si>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</si>
  <si>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</si>
  <si>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</si>
  <si>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</si>
  <si>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</si>
  <si>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</si>
  <si>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</si>
  <si>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</si>
  <si>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</si>
  <si>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</si>
  <si>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</si>
  <si>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</si>
  <si>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</si>
  <si>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</si>
  <si>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</si>
  <si>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</si>
  <si>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</si>
  <si>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</si>
  <si>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</si>
  <si>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</si>
  <si>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</si>
  <si>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</si>
  <si>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</si>
  <si>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</si>
  <si>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</si>
  <si>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</si>
  <si>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</si>
  <si>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</si>
  <si>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</si>
  <si>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</si>
  <si>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</si>
  <si>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</si>
  <si>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</si>
  <si>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</si>
  <si>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</si>
  <si>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</si>
  <si>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</si>
  <si>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</si>
  <si>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</si>
  <si>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</si>
  <si>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</si>
  <si>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</si>
  <si>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</si>
  <si>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</si>
  <si>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</si>
  <si>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</si>
  <si>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</si>
  <si>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</si>
  <si>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</si>
  <si>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</si>
  <si>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</si>
  <si>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</si>
  <si>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</si>
  <si>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</si>
  <si>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</si>
  <si>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</si>
  <si>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</si>
  <si>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</si>
  <si>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</si>
  <si>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</si>
  <si>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</si>
  <si>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</si>
  <si>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</si>
  <si>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</si>
  <si>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</si>
  <si>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</si>
  <si>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</si>
  <si>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</si>
  <si>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</si>
  <si>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</si>
  <si>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</si>
  <si>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</si>
  <si>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</si>
  <si>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</si>
  <si>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</si>
  <si>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</si>
  <si>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</si>
  <si>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</si>
  <si>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</si>
  <si>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</si>
  <si>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</si>
  <si>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</si>
  <si>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</si>
  <si>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</si>
  <si>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</si>
  <si>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</si>
  <si>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</si>
  <si>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</si>
  <si>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</si>
  <si>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</si>
  <si>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</si>
  <si>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</si>
  <si>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</si>
  <si>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</si>
  <si>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</si>
  <si>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</si>
  <si>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</si>
  <si>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</si>
  <si>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</si>
  <si>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</si>
  <si>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</si>
  <si>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</si>
  <si>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</si>
  <si>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</si>
  <si>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</si>
  <si>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</si>
  <si>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</si>
  <si>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</si>
  <si>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</si>
  <si>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</si>
  <si>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</si>
  <si>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</si>
  <si>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</si>
  <si>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</si>
  <si>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</si>
  <si>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</si>
  <si>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</si>
  <si>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</si>
  <si>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</si>
  <si>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</si>
  <si>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</si>
  <si>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</si>
  <si>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</si>
  <si>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</si>
  <si>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</si>
  <si>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</si>
  <si>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</si>
  <si>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</si>
  <si>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</si>
  <si>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</si>
  <si>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</si>
  <si>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</si>
  <si>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</si>
  <si>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</si>
  <si>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</si>
  <si>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</si>
  <si>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</si>
  <si>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</si>
  <si>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</si>
  <si>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</si>
  <si>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</si>
  <si>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</si>
  <si>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</si>
  <si>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</si>
  <si>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</si>
  <si>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</si>
  <si>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</si>
  <si>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</si>
  <si>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</si>
  <si>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</si>
  <si>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</si>
  <si>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</si>
  <si>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</si>
  <si>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</si>
  <si>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</si>
  <si>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</si>
  <si>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</si>
  <si>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</si>
  <si>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</si>
  <si>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</si>
  <si>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</si>
  <si>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</si>
  <si>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</si>
  <si>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</si>
  <si>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</si>
  <si>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</si>
  <si>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</si>
  <si>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</si>
  <si>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</si>
  <si>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</si>
  <si>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</si>
  <si>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</si>
  <si>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</si>
  <si>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</si>
  <si>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</si>
  <si>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</si>
  <si>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</si>
  <si>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</si>
  <si>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</si>
  <si>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</si>
  <si>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</si>
  <si>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</si>
  <si>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</si>
  <si>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</si>
  <si>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</si>
  <si>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</si>
  <si>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</si>
  <si>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</si>
  <si>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</si>
  <si>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</si>
  <si>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</si>
  <si>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</si>
  <si>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</si>
  <si>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</si>
  <si>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</si>
  <si>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</si>
  <si>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</si>
  <si>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</si>
  <si>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</si>
  <si>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</si>
  <si>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</si>
  <si>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</si>
  <si>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</si>
  <si>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</si>
  <si>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</si>
  <si>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</si>
  <si>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</si>
  <si>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</si>
  <si>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</si>
  <si>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</si>
  <si>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</si>
  <si>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</si>
  <si>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</si>
  <si>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</si>
  <si>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</si>
  <si>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</si>
  <si>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</si>
  <si>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</si>
  <si>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</si>
  <si>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</si>
  <si>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</si>
  <si>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</si>
  <si>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</si>
  <si>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</si>
  <si>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</si>
  <si>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</si>
  <si>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</si>
  <si>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</si>
  <si>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</si>
  <si>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</si>
  <si>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</si>
  <si>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</si>
  <si>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</si>
  <si>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</si>
  <si>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</si>
  <si>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</si>
  <si>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</si>
  <si>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</si>
  <si>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</si>
  <si>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</si>
  <si>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</si>
  <si>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</si>
  <si>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</si>
  <si>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</si>
  <si>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</si>
  <si>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</si>
  <si>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</si>
  <si>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</si>
  <si>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</si>
  <si>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</si>
  <si>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</si>
  <si>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</si>
  <si>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</si>
  <si>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</si>
  <si>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</si>
  <si>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</si>
  <si>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</si>
  <si>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</si>
  <si>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</si>
  <si>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</si>
  <si>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</si>
  <si>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</si>
  <si>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</si>
  <si>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</si>
  <si>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</si>
  <si>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</si>
  <si>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</si>
  <si>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</si>
  <si>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</si>
  <si>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</si>
  <si>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</si>
  <si>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</si>
  <si>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</si>
  <si>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</si>
  <si>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</si>
  <si>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</si>
  <si>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</si>
  <si>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</si>
  <si>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</si>
  <si>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</si>
  <si>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</si>
  <si>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</si>
  <si>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</si>
  <si>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</si>
  <si>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</si>
  <si>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</si>
  <si>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</si>
  <si>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</si>
  <si>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</si>
  <si>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</si>
  <si>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</si>
  <si>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</si>
  <si>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</si>
  <si>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</si>
  <si>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</si>
  <si>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</si>
  <si>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</si>
  <si>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</si>
  <si>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</si>
  <si>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</si>
  <si>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</si>
  <si>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</si>
  <si>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</si>
  <si>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</si>
  <si>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</si>
  <si>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</si>
  <si>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</si>
  <si>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</si>
  <si>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</si>
  <si>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</si>
  <si>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</si>
  <si>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</si>
  <si>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</si>
  <si>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</si>
  <si>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</si>
  <si>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</si>
  <si>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</si>
  <si>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</si>
  <si>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</si>
  <si>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</si>
  <si>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</si>
  <si>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</si>
  <si>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</si>
  <si>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</si>
  <si>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</si>
  <si>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</si>
  <si>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</si>
  <si>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</si>
  <si>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</si>
  <si>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</si>
  <si>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</si>
  <si>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</si>
  <si>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</si>
  <si>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</si>
  <si>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</si>
  <si>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</si>
  <si>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</si>
  <si>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</si>
  <si>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</si>
  <si>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</si>
  <si>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</si>
  <si>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</si>
  <si>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</si>
  <si>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</si>
  <si>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</si>
  <si>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</si>
  <si>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</si>
  <si>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</si>
  <si>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</si>
  <si>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</si>
  <si>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</si>
  <si>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</si>
  <si>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</si>
  <si>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</si>
  <si>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</si>
  <si>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</si>
  <si>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</si>
  <si>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</si>
  <si>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</si>
  <si>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</si>
  <si>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</si>
  <si>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</si>
  <si>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</si>
  <si>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</si>
  <si>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</si>
  <si>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</si>
  <si>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</si>
  <si>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</si>
  <si>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</si>
  <si>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</si>
  <si>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</si>
  <si>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</si>
  <si>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</si>
  <si>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</si>
  <si>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</si>
  <si>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</si>
  <si>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</si>
  <si>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</si>
  <si>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</si>
  <si>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</si>
  <si>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</si>
  <si>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</si>
  <si>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</si>
  <si>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</si>
  <si>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</si>
  <si>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</si>
  <si>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</si>
  <si>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</si>
  <si>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</si>
  <si>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</si>
  <si>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</si>
  <si>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</si>
  <si>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</si>
  <si>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</si>
  <si>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</si>
  <si>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</si>
  <si>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</si>
  <si>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</si>
  <si>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</si>
  <si>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</si>
  <si>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</si>
  <si>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</si>
  <si>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</si>
  <si>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</si>
  <si>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</si>
  <si>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</si>
  <si>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</si>
  <si>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</si>
  <si>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</si>
  <si>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</si>
  <si>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</si>
  <si>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</si>
  <si>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</si>
  <si>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</si>
  <si>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</si>
  <si>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</si>
  <si>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</si>
  <si>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</si>
  <si>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</si>
  <si>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</si>
  <si>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</si>
  <si>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</si>
  <si>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</si>
  <si>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</si>
  <si>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</si>
  <si>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</si>
  <si>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</si>
  <si>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</si>
  <si>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</si>
  <si>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</si>
  <si>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</si>
  <si>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</si>
  <si>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</si>
  <si>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</si>
  <si>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</si>
  <si>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</si>
  <si>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</si>
  <si>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</si>
  <si>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</si>
  <si>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</si>
  <si>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</si>
  <si>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</si>
  <si>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</si>
  <si>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</si>
  <si>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</si>
  <si>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</si>
  <si>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</si>
  <si>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</si>
  <si>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</si>
  <si>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</si>
  <si>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</si>
  <si>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</si>
  <si>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</si>
  <si>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</si>
  <si>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</si>
  <si>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</si>
  <si>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</si>
  <si>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</si>
  <si>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</si>
  <si>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</si>
  <si>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</si>
  <si>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</si>
  <si>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</si>
  <si>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</si>
  <si>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</si>
  <si>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</si>
  <si>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</si>
  <si>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</si>
  <si>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</si>
  <si>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</si>
  <si>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</si>
  <si>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</si>
  <si>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</si>
  <si>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</si>
  <si>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</si>
  <si>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</si>
  <si>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</si>
  <si>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</si>
  <si>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</si>
  <si>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</si>
  <si>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</si>
  <si>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</si>
  <si>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</si>
  <si>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</si>
  <si>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</si>
  <si>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</si>
  <si>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</si>
  <si>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</si>
  <si>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</si>
  <si>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</si>
  <si>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</si>
  <si>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</si>
  <si>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</si>
  <si>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</si>
  <si>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</si>
  <si>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</si>
  <si>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</si>
  <si>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</si>
  <si>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</si>
  <si>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</si>
  <si>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</si>
  <si>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</si>
  <si>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</si>
  <si>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</si>
  <si>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</si>
  <si>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</si>
  <si>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</si>
  <si>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</si>
  <si>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</si>
  <si>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</si>
  <si>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</si>
  <si>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</si>
  <si>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</si>
  <si>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</si>
  <si>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</si>
  <si>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</si>
  <si>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</si>
  <si>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</si>
  <si>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</si>
  <si>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</si>
  <si>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</si>
  <si>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</si>
  <si>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</si>
  <si>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</si>
  <si>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</si>
  <si>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</si>
  <si>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</si>
  <si>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</si>
  <si>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</si>
  <si>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</si>
  <si>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</si>
  <si>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</si>
  <si>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</si>
  <si>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</si>
  <si>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</si>
  <si>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</si>
  <si>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</si>
  <si>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</si>
  <si>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</si>
  <si>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</si>
  <si>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</si>
  <si>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</si>
  <si>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</si>
  <si>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</si>
  <si>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</si>
  <si>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</si>
  <si>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</si>
  <si>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</si>
  <si>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</si>
  <si>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</si>
  <si>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</si>
  <si>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</si>
  <si>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</si>
  <si>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</si>
  <si>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</si>
  <si>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</si>
  <si>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</si>
  <si>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</si>
  <si>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</si>
  <si>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</si>
  <si>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</si>
  <si>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</si>
  <si>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</si>
  <si>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</si>
  <si>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</si>
  <si>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</si>
  <si>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</si>
  <si>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</si>
  <si>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</si>
  <si>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</si>
  <si>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</si>
  <si>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</si>
  <si>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</si>
  <si>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</si>
  <si>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</si>
  <si>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</si>
  <si>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</si>
  <si>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</si>
  <si>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</si>
  <si>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</si>
  <si>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</si>
  <si>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</si>
  <si>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</si>
  <si>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</si>
  <si>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</si>
  <si>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</si>
  <si>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</si>
  <si>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</si>
  <si>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</si>
  <si>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</si>
  <si>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</si>
  <si>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</si>
  <si>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</si>
  <si>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</si>
  <si>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</si>
  <si>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</si>
  <si>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</si>
  <si>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</si>
  <si>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</si>
  <si>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</si>
  <si>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</si>
  <si>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</si>
  <si>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</si>
  <si>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</si>
  <si>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</si>
  <si>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</si>
  <si>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</si>
  <si>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</si>
  <si>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</si>
  <si>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</si>
  <si>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</si>
  <si>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</si>
  <si>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</si>
  <si>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</si>
  <si>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</si>
  <si>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</si>
  <si>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</si>
  <si>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</si>
  <si>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</si>
  <si>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</si>
  <si>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</si>
  <si>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</si>
  <si>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</si>
  <si>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</si>
  <si>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</si>
  <si>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</si>
  <si>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</si>
  <si>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</si>
  <si>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</si>
  <si>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</si>
  <si>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</si>
  <si>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</si>
  <si>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</si>
  <si>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</si>
  <si>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</si>
  <si>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</si>
  <si>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</si>
  <si>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</si>
  <si>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</si>
  <si>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</si>
  <si>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</si>
  <si>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</si>
  <si>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</si>
  <si>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</si>
  <si>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</si>
  <si>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</si>
  <si>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</si>
  <si>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</si>
  <si>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</si>
  <si>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</si>
  <si>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</si>
  <si>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</si>
  <si>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</si>
  <si>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</si>
  <si>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</si>
  <si>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</si>
  <si>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</si>
  <si>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</si>
  <si>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</si>
  <si>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</si>
  <si>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</si>
  <si>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</si>
  <si>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</si>
  <si>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</si>
  <si>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</si>
  <si>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</si>
  <si>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</si>
  <si>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</si>
  <si>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</si>
  <si>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</si>
  <si>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</si>
  <si>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</si>
  <si>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</si>
  <si>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</si>
  <si>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</si>
  <si>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</si>
  <si>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</si>
  <si>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</si>
  <si>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</si>
  <si>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</si>
  <si>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</si>
  <si>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</si>
  <si>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</si>
  <si>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</si>
  <si>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</si>
  <si>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</si>
  <si>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</si>
  <si>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</si>
  <si>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</si>
  <si>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</si>
  <si>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</si>
  <si>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</si>
  <si>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</si>
  <si>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</si>
  <si>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</si>
  <si>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</si>
  <si>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</si>
  <si>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</si>
  <si>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</si>
  <si>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</si>
  <si>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</si>
  <si>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</si>
  <si>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</si>
  <si>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</si>
  <si>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</si>
  <si>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</si>
  <si>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</si>
  <si>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</si>
  <si>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</si>
  <si>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</si>
  <si>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</si>
  <si>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</si>
  <si>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</si>
  <si>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</si>
  <si>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</si>
  <si>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</si>
  <si>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</si>
  <si>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</si>
  <si>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</si>
  <si>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</si>
  <si>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</si>
  <si>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</si>
  <si>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</si>
  <si>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</si>
  <si>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</si>
  <si>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</si>
  <si>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</si>
  <si>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</si>
  <si>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</si>
  <si>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</si>
  <si>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</si>
  <si>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</si>
  <si>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</si>
  <si>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</si>
  <si>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</si>
  <si>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</si>
  <si>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</si>
  <si>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</si>
  <si>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</si>
  <si>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</si>
  <si>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</si>
  <si>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</si>
  <si>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</si>
  <si>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</si>
  <si>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</si>
  <si>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</si>
  <si>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</si>
  <si>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</si>
  <si>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</si>
  <si>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</si>
  <si>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</si>
  <si>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</si>
  <si>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</si>
  <si>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</si>
  <si>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</si>
  <si>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</si>
  <si>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</si>
  <si>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</si>
  <si>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</si>
  <si>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</si>
  <si>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</si>
  <si>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</si>
  <si>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</si>
  <si>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</si>
  <si>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</si>
  <si>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</si>
  <si>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</si>
  <si>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</si>
  <si>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</si>
  <si>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</si>
  <si>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</si>
  <si>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</si>
  <si>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</si>
  <si>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</si>
  <si>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</si>
  <si>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</si>
  <si>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</si>
  <si>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</si>
  <si>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</si>
  <si>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</si>
  <si>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</si>
  <si>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</si>
  <si>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</si>
  <si>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</si>
  <si>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</si>
  <si>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</si>
  <si>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</si>
  <si>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</si>
  <si>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</si>
  <si>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</si>
  <si>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</si>
  <si>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</si>
  <si>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</si>
  <si>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</si>
  <si>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</si>
  <si>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</si>
  <si>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</si>
  <si>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</si>
  <si>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</si>
  <si>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</si>
  <si>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</si>
  <si>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</si>
  <si>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</si>
  <si>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</si>
  <si>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</si>
  <si>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</si>
  <si>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</si>
  <si>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</si>
  <si>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</si>
  <si>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</si>
  <si>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</si>
  <si>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</si>
  <si>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</si>
  <si>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</si>
  <si>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</si>
  <si>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</si>
  <si>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</si>
  <si>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</si>
  <si>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</si>
  <si>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</si>
  <si>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</si>
  <si>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</si>
  <si>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</si>
  <si>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</si>
  <si>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</si>
  <si>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</si>
  <si>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</si>
  <si>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</si>
  <si>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</si>
  <si>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</si>
  <si>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</si>
  <si>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</si>
  <si>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</si>
  <si>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</si>
  <si>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</si>
  <si>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</si>
  <si>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</si>
  <si>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</si>
  <si>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</si>
  <si>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</si>
  <si>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</si>
  <si>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</si>
  <si>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</si>
  <si>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</si>
  <si>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</si>
  <si>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</si>
  <si>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</si>
  <si>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</si>
  <si>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</si>
  <si>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</si>
  <si>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</si>
  <si>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</si>
  <si>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</si>
  <si>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</si>
  <si>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</si>
  <si>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</si>
  <si>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</si>
  <si>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</si>
  <si>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</si>
  <si>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</si>
  <si>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</si>
  <si>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</si>
  <si>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</si>
  <si>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</si>
  <si>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</si>
  <si>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</si>
  <si>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</si>
  <si>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</si>
  <si>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</si>
  <si>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</si>
  <si>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</si>
  <si>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</si>
  <si>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</si>
  <si>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</si>
  <si>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</si>
  <si>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</si>
  <si>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</si>
  <si>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</si>
  <si>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</si>
  <si>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</si>
  <si>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</si>
  <si>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</si>
  <si>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</si>
  <si>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</si>
  <si>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</si>
  <si>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</si>
  <si>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</si>
  <si>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</si>
  <si>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</si>
  <si>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</si>
  <si>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</si>
  <si>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</si>
  <si>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</si>
  <si>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</si>
  <si>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</si>
  <si>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</si>
  <si>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</si>
  <si>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</si>
  <si>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</si>
  <si>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</si>
  <si>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</si>
  <si>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</si>
  <si>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</si>
  <si>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</si>
  <si>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</si>
  <si>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</si>
  <si>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</si>
  <si>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</si>
  <si>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</si>
  <si>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</si>
  <si>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</si>
  <si>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</si>
  <si>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</si>
  <si>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</si>
  <si>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</si>
  <si>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</si>
  <si>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</si>
  <si>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</si>
  <si>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</si>
  <si>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</si>
  <si>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</si>
  <si>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</si>
  <si>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</si>
  <si>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</si>
  <si>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</si>
  <si>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</si>
  <si>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</si>
  <si>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</si>
  <si>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</si>
  <si>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</si>
  <si>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</si>
  <si>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</si>
  <si>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</si>
  <si>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</si>
  <si>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</si>
  <si>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</si>
  <si>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</si>
  <si>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</si>
  <si>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</si>
  <si>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</si>
  <si>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</si>
  <si>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</si>
  <si>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</si>
  <si>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</si>
  <si>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</si>
  <si>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</si>
  <si>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</si>
  <si>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</si>
  <si>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</si>
  <si>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</si>
  <si>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</si>
  <si>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</si>
  <si>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</si>
  <si>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</si>
  <si>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</si>
  <si>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</si>
  <si>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</si>
  <si>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</si>
  <si>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</si>
  <si>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</si>
  <si>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</si>
  <si>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</si>
  <si>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</si>
  <si>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</si>
  <si>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</si>
  <si>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</si>
  <si>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</si>
  <si>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</si>
  <si>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</si>
  <si>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</si>
  <si>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</si>
  <si>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</si>
  <si>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</si>
  <si>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</si>
  <si>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</si>
  <si>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</si>
  <si>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</si>
  <si>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</si>
  <si>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</si>
  <si>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</si>
  <si>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</si>
  <si>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</si>
  <si>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</si>
  <si>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</si>
  <si>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</si>
  <si>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</si>
  <si>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</si>
  <si>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</si>
  <si>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</si>
  <si>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</si>
  <si>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</si>
  <si>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</si>
  <si>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</si>
  <si>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</si>
  <si>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</si>
  <si>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</si>
  <si>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</si>
  <si>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</si>
  <si>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</si>
  <si>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</si>
  <si>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</si>
  <si>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</si>
  <si>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</si>
  <si>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</si>
  <si>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</si>
  <si>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</si>
  <si>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</si>
  <si>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</si>
  <si>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</si>
  <si>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</si>
  <si>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</si>
  <si>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</si>
  <si>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</si>
  <si>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</si>
  <si>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</si>
  <si>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</si>
  <si>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</si>
  <si>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</si>
  <si>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</si>
  <si>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</si>
  <si>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</si>
  <si>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</si>
  <si>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</si>
  <si>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</si>
  <si>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</si>
  <si>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</si>
  <si>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</si>
  <si>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</si>
  <si>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</si>
  <si>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</si>
  <si>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</si>
  <si>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</si>
  <si>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</si>
  <si>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</si>
  <si>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</si>
  <si>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</si>
  <si>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</si>
  <si>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</si>
  <si>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</si>
  <si>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</si>
  <si>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</si>
  <si>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</si>
  <si>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</si>
  <si>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</si>
  <si>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</si>
  <si>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</si>
  <si>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</si>
  <si>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</si>
  <si>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</si>
  <si>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</si>
  <si>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</si>
  <si>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</si>
  <si>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</si>
  <si>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</si>
  <si>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</si>
  <si>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</si>
  <si>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</si>
  <si>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</si>
  <si>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</si>
  <si>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</si>
  <si>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</si>
  <si>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</si>
  <si>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</si>
  <si>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</si>
  <si>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</si>
  <si>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</si>
  <si>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</si>
  <si>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</si>
  <si>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</si>
  <si>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</si>
  <si>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</si>
  <si>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</si>
  <si>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</si>
  <si>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</si>
  <si>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</si>
  <si>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</si>
  <si>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</si>
  <si>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</si>
  <si>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</si>
  <si>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</si>
  <si>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</si>
  <si>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</si>
  <si>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</si>
  <si>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</si>
  <si>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</si>
  <si>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</si>
  <si>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</si>
  <si>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</si>
  <si>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</si>
  <si>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</si>
  <si>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</si>
  <si>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</si>
  <si>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</si>
  <si>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</si>
  <si>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</si>
  <si>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</si>
  <si>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</si>
  <si>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</si>
  <si>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</si>
  <si>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</si>
  <si>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</si>
  <si>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</si>
  <si>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</si>
  <si>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</si>
  <si>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</si>
  <si>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</si>
  <si>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</si>
  <si>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</si>
  <si>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</si>
  <si>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</si>
  <si>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</si>
  <si>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</si>
  <si>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</si>
  <si>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</si>
  <si>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</si>
  <si>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</si>
  <si>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</si>
  <si>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</si>
  <si>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</si>
  <si>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</si>
  <si>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</si>
  <si>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</si>
  <si>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</si>
  <si>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</si>
  <si>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</si>
  <si>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</si>
  <si>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</si>
  <si>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</si>
  <si>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</si>
  <si>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</si>
  <si>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</si>
  <si>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</si>
  <si>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</si>
  <si>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</si>
  <si>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</si>
  <si>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</si>
  <si>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</si>
  <si>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</si>
  <si>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</si>
  <si>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</si>
  <si>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</si>
  <si>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</si>
  <si>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</si>
  <si>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</si>
  <si>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</si>
  <si>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</si>
  <si>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</si>
  <si>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</si>
  <si>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</si>
  <si>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</si>
  <si>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</si>
  <si>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</si>
  <si>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</si>
  <si>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</si>
  <si>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</si>
  <si>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</si>
  <si>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</si>
  <si>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</si>
  <si>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</si>
  <si>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</si>
  <si>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</si>
  <si>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</si>
  <si>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</si>
  <si>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</si>
  <si>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</si>
  <si>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</si>
  <si>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</si>
  <si>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</si>
  <si>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</si>
  <si>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</si>
  <si>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</si>
  <si>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</si>
  <si>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</si>
  <si>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</si>
  <si>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</si>
  <si>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</si>
  <si>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</si>
  <si>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</si>
  <si>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</si>
  <si>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</si>
  <si>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</si>
  <si>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</si>
  <si>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</si>
  <si>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</si>
  <si>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</si>
  <si>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</si>
  <si>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</si>
  <si>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</si>
  <si>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</si>
  <si>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</si>
  <si>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</si>
  <si>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</si>
  <si>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</si>
  <si>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</si>
  <si>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</si>
  <si>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</si>
  <si>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</si>
  <si>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</si>
  <si>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</si>
  <si>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</si>
  <si>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</si>
  <si>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</si>
  <si>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</si>
  <si>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</si>
  <si>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</si>
  <si>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</si>
  <si>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</si>
  <si>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</si>
  <si>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</si>
  <si>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</si>
  <si>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</si>
  <si>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</si>
  <si>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</si>
  <si>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</si>
  <si>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</si>
  <si>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</si>
  <si>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</si>
  <si>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</si>
  <si>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</si>
  <si>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</si>
  <si>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</si>
  <si>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</si>
  <si>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</si>
  <si>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</si>
  <si>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</si>
  <si>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</si>
  <si>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</si>
  <si>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</si>
  <si>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</si>
  <si>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</si>
  <si>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</si>
  <si>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</si>
  <si>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</si>
  <si>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</si>
  <si>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</si>
  <si>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</si>
  <si>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</si>
  <si>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</si>
  <si>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</si>
  <si>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</si>
  <si>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</si>
  <si>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</si>
  <si>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</si>
  <si>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</si>
  <si>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</si>
  <si>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</si>
  <si>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</si>
  <si>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</si>
  <si>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</si>
  <si>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</si>
  <si>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</si>
  <si>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</si>
  <si>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</si>
  <si>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</si>
  <si>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</si>
  <si>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</si>
  <si>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</si>
  <si>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</si>
  <si>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</si>
  <si>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</si>
  <si>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</si>
  <si>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</si>
  <si>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</si>
  <si>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</si>
  <si>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</si>
  <si>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</si>
  <si>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</si>
  <si>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</si>
  <si>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</si>
  <si>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</si>
  <si>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</si>
  <si>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</si>
  <si>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</si>
  <si>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</si>
  <si>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</si>
  <si>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</si>
  <si>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</si>
  <si>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</si>
  <si>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</si>
  <si>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</si>
  <si>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</si>
  <si>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</si>
  <si>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</si>
  <si>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</si>
  <si>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</si>
  <si>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</si>
  <si>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</si>
  <si>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</si>
  <si>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</si>
  <si>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</si>
  <si>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</si>
  <si>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</si>
  <si>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</si>
  <si>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</si>
  <si>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</si>
  <si>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</si>
  <si>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</si>
  <si>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</si>
  <si>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</si>
  <si>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</si>
  <si>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</si>
  <si>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</si>
  <si>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</si>
  <si>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</si>
  <si>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</si>
  <si>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</si>
  <si>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</si>
  <si>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</si>
  <si>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</si>
  <si>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</si>
  <si>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</si>
  <si>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</si>
  <si>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</si>
  <si>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</si>
  <si>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</si>
  <si>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</si>
  <si>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</si>
  <si>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</si>
  <si>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</si>
  <si>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</si>
  <si>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</si>
  <si>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</si>
  <si>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</si>
  <si>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</si>
  <si>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</si>
  <si>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</si>
  <si>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</si>
  <si>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</si>
  <si>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</si>
  <si>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</si>
  <si>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</si>
  <si>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</si>
  <si>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</si>
  <si>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</si>
  <si>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</si>
  <si>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</si>
  <si>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</si>
  <si>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</si>
  <si>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</si>
  <si>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</si>
  <si>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</si>
  <si>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</si>
  <si>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</si>
  <si>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</si>
  <si>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</si>
  <si>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</si>
  <si>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</si>
  <si>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</si>
  <si>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</si>
  <si>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</si>
  <si>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</si>
  <si>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</si>
  <si>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</si>
  <si>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</si>
  <si>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</si>
  <si>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</si>
  <si>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</si>
  <si>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</si>
  <si>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</si>
  <si>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</si>
  <si>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</si>
  <si>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</si>
  <si>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</si>
  <si>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</si>
  <si>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</si>
  <si>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</si>
  <si>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</si>
  <si>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</si>
  <si>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</si>
  <si>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</si>
  <si>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</si>
  <si>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</si>
  <si>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</si>
  <si>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</si>
  <si>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</si>
  <si>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</si>
  <si>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</si>
  <si>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</si>
  <si>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</si>
  <si>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</si>
  <si>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</si>
  <si>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</si>
  <si>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</si>
  <si>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</si>
  <si>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</si>
  <si>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</si>
  <si>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</si>
  <si>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</si>
  <si>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</si>
  <si>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</si>
  <si>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</si>
  <si>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</si>
  <si>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</si>
  <si>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</si>
  <si>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</si>
  <si>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</si>
  <si>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</si>
  <si>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</si>
  <si>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</si>
  <si>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</si>
  <si>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</si>
  <si>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</si>
  <si>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</si>
  <si>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</si>
  <si>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</si>
  <si>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</si>
  <si>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</si>
  <si>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</si>
  <si>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</si>
  <si>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</si>
  <si>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</si>
  <si>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</si>
  <si>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</si>
  <si>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</si>
  <si>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</si>
  <si>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</si>
  <si>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</si>
  <si>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</si>
  <si>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</si>
  <si>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</si>
  <si>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</si>
  <si>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</si>
  <si>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</si>
  <si>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</si>
  <si>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</si>
  <si>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</si>
  <si>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</si>
  <si>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</si>
  <si>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</si>
  <si>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</si>
  <si>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</si>
  <si>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</si>
  <si>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</si>
  <si>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</si>
  <si>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</si>
  <si>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</si>
  <si>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</si>
  <si>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</si>
  <si>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</si>
  <si>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</si>
  <si>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</si>
  <si>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</si>
  <si>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</si>
  <si>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</si>
  <si>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</si>
  <si>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</si>
  <si>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</si>
  <si>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</si>
  <si>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</si>
  <si>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</si>
  <si>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</si>
  <si>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</si>
  <si>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</si>
  <si>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</si>
  <si>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</si>
  <si>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</si>
  <si>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</si>
  <si>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</si>
  <si>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</si>
  <si>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</si>
  <si>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</si>
  <si>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</si>
  <si>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</si>
  <si>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</si>
  <si>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</si>
  <si>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</si>
  <si>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</si>
  <si>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</si>
  <si>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</si>
  <si>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</si>
  <si>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</si>
  <si>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</si>
  <si>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</si>
  <si>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</si>
  <si>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</si>
  <si>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</si>
  <si>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</si>
  <si>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</si>
  <si>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</si>
  <si>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</si>
  <si>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</si>
  <si>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</si>
  <si>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</si>
  <si>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</si>
  <si>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</si>
  <si>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</si>
  <si>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</si>
  <si>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</si>
  <si>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</si>
  <si>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</si>
  <si>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</si>
  <si>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</si>
  <si>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</si>
  <si>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</si>
  <si>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</si>
  <si>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</si>
  <si>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</si>
  <si>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</si>
  <si>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</si>
  <si>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</si>
  <si>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</si>
  <si>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</si>
  <si>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</si>
  <si>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</si>
  <si>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</si>
  <si>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</si>
  <si>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</si>
  <si>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</si>
  <si>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</si>
  <si>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</si>
  <si>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</si>
  <si>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</si>
  <si>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</si>
  <si>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</si>
  <si>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</si>
  <si>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</si>
  <si>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</si>
  <si>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</si>
  <si>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</si>
  <si>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</si>
  <si>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</si>
  <si>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</si>
  <si>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</si>
  <si>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</si>
  <si>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</si>
  <si>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</si>
  <si>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</si>
  <si>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</si>
  <si>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</si>
  <si>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</si>
  <si>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</si>
  <si>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</si>
  <si>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</si>
  <si>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</si>
  <si>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</si>
  <si>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</si>
  <si>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</si>
  <si>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</si>
  <si>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</si>
  <si>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</si>
  <si>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</si>
  <si>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</si>
  <si>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</si>
  <si>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</si>
  <si>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</si>
  <si>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</si>
  <si>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</si>
  <si>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</si>
  <si>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</si>
  <si>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</si>
  <si>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</si>
  <si>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</si>
  <si>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</si>
  <si>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</si>
  <si>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</si>
  <si>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</si>
  <si>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</si>
  <si>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</si>
  <si>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</si>
  <si>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</si>
  <si>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</si>
  <si>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</si>
  <si>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</si>
  <si>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</si>
  <si>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</si>
  <si>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</si>
  <si>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</si>
  <si>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</si>
  <si>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</si>
  <si>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</si>
  <si>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</si>
  <si>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</si>
  <si>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</si>
  <si>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</si>
  <si>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</si>
  <si>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</si>
  <si>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</si>
  <si>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</si>
  <si>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</si>
  <si>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</si>
  <si>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</si>
  <si>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</si>
  <si>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</si>
  <si>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</si>
  <si>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</si>
  <si>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</si>
  <si>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</si>
  <si>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</si>
  <si>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</si>
  <si>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</si>
  <si>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</si>
  <si>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</si>
  <si>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</si>
  <si>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</si>
  <si>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</si>
  <si>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</si>
  <si>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</si>
  <si>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</si>
  <si>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</si>
  <si>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</si>
  <si>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</si>
  <si>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</si>
  <si>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</si>
  <si>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</si>
  <si>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</si>
  <si>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</si>
  <si>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</si>
  <si>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</si>
  <si>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</si>
  <si>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</si>
  <si>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</si>
  <si>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</si>
  <si>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</si>
  <si>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</si>
  <si>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</si>
  <si>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</si>
  <si>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</si>
  <si>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</si>
  <si>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</si>
  <si>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</si>
  <si>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</si>
  <si>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</si>
  <si>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</si>
  <si>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</si>
  <si>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</si>
  <si>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</si>
  <si>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</si>
  <si>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</si>
  <si>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</si>
  <si>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</si>
  <si>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</si>
  <si>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</si>
  <si>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</si>
  <si>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</si>
  <si>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</si>
  <si>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</si>
  <si>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</si>
  <si>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</si>
  <si>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</si>
  <si>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</si>
  <si>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</si>
  <si>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</si>
  <si>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</si>
  <si>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</si>
  <si>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</si>
  <si>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</si>
  <si>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</si>
  <si>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</si>
  <si>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</si>
  <si>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</si>
  <si>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</si>
  <si>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</si>
  <si>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</si>
  <si>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</si>
  <si>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</si>
  <si>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</si>
  <si>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</si>
  <si>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</si>
  <si>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</si>
  <si>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</si>
  <si>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</si>
  <si>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</si>
  <si>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</si>
  <si>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</si>
  <si>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</si>
  <si>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</si>
  <si>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</si>
  <si>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</si>
  <si>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</si>
  <si>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</si>
  <si>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</si>
  <si>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</si>
  <si>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</si>
  <si>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</si>
  <si>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</si>
  <si>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</si>
  <si>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</si>
  <si>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</si>
  <si>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</si>
  <si>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</si>
  <si>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</si>
  <si>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</si>
  <si>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</si>
  <si>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</si>
  <si>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</si>
  <si>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</si>
  <si>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</si>
  <si>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</si>
  <si>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</si>
  <si>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</si>
  <si>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</si>
  <si>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</si>
  <si>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</si>
  <si>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</si>
  <si>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</si>
  <si>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</si>
  <si>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</si>
  <si>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</si>
  <si>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</si>
  <si>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</si>
  <si>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</si>
  <si>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</si>
  <si>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</si>
  <si>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</si>
  <si>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</si>
  <si>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</si>
  <si>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</si>
  <si>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</si>
  <si>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</si>
  <si>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</si>
  <si>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</si>
  <si>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</si>
  <si>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</si>
  <si>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</si>
  <si>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</si>
  <si>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</si>
  <si>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</si>
  <si>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</si>
  <si>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</si>
  <si>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</si>
  <si>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</si>
  <si>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</si>
  <si>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</si>
  <si>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</si>
  <si>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</si>
  <si>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</si>
  <si>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</si>
  <si>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</si>
  <si>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</si>
  <si>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</si>
  <si>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</si>
  <si>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</si>
  <si>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</si>
  <si>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</si>
  <si>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</si>
  <si>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</si>
  <si>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</si>
  <si>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</si>
  <si>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</si>
  <si>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</si>
  <si>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</si>
  <si>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</si>
  <si>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</si>
  <si>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</si>
  <si>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</si>
  <si>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</si>
  <si>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</si>
  <si>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</si>
  <si>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</si>
  <si>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</si>
  <si>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</si>
  <si>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</si>
  <si>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</si>
  <si>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</si>
  <si>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</si>
  <si>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</si>
  <si>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</si>
  <si>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</si>
  <si>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</si>
  <si>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</si>
  <si>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</si>
  <si>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</si>
  <si>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</si>
  <si>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</si>
  <si>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</si>
  <si>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</si>
  <si>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</si>
  <si>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</si>
  <si>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</si>
  <si>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</si>
  <si>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</si>
  <si>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</si>
  <si>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</si>
  <si>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</si>
  <si>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</si>
  <si>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</si>
  <si>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</si>
  <si>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</si>
  <si>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王鹏</t>
  </si>
  <si>
    <t>郑燚</t>
  </si>
  <si>
    <t>准信智慧消防股份有限公司</t>
    <phoneticPr fontId="6" type="noConversion"/>
  </si>
  <si>
    <t>中国银行股份有限公司厦门开元分行</t>
    <phoneticPr fontId="6" type="noConversion"/>
  </si>
  <si>
    <t>抵押</t>
  </si>
  <si>
    <t>房地产抵押价值</t>
  </si>
  <si>
    <t>北京市</t>
  </si>
  <si>
    <r>
      <rPr>
        <sz val="10"/>
        <color theme="9" tint="-0.249977111117893"/>
        <rFont val="宋体"/>
        <family val="3"/>
        <charset val="134"/>
      </rPr>
      <t>西城区西直门外大街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17</t>
    </r>
    <r>
      <rPr>
        <sz val="10"/>
        <color theme="9" tint="-0.249977111117893"/>
        <rFont val="宋体"/>
        <family val="3"/>
        <charset val="134"/>
      </rPr>
      <t>层</t>
    </r>
    <r>
      <rPr>
        <sz val="10"/>
        <color theme="9" tint="-0.249977111117893"/>
        <rFont val="Arial"/>
        <family val="2"/>
      </rPr>
      <t>19C5-19C13</t>
    </r>
    <r>
      <rPr>
        <sz val="10"/>
        <color theme="9" tint="-0.249977111117893"/>
        <rFont val="宋体"/>
        <family val="3"/>
        <charset val="134"/>
      </rPr>
      <t>共</t>
    </r>
    <r>
      <rPr>
        <sz val="10"/>
        <color theme="9" tint="-0.249977111117893"/>
        <rFont val="Arial"/>
        <family val="2"/>
      </rPr>
      <t>9</t>
    </r>
    <r>
      <rPr>
        <sz val="10"/>
        <color theme="9" tint="-0.249977111117893"/>
        <rFont val="宋体"/>
        <family val="3"/>
        <charset val="134"/>
      </rPr>
      <t>套办公用房</t>
    </r>
    <phoneticPr fontId="6" type="noConversion"/>
  </si>
  <si>
    <t>出让</t>
  </si>
  <si>
    <t>企业</t>
  </si>
  <si>
    <t>办公用房</t>
    <phoneticPr fontId="6" type="noConversion"/>
  </si>
  <si>
    <r>
      <rPr>
        <sz val="10"/>
        <color theme="9" tint="-0.249977111117893"/>
        <rFont val="宋体"/>
        <family val="3"/>
        <charset val="134"/>
      </rPr>
      <t>办公</t>
    </r>
    <r>
      <rPr>
        <sz val="10"/>
        <color theme="9" tint="-0.249977111117893"/>
        <rFont val="Arial"/>
        <family val="2"/>
      </rPr>
      <t>33.18</t>
    </r>
    <r>
      <rPr>
        <sz val="10"/>
        <color theme="9" tint="-0.249977111117893"/>
        <rFont val="宋体"/>
        <family val="3"/>
        <charset val="134"/>
      </rPr>
      <t>年</t>
    </r>
    <phoneticPr fontId="6" type="noConversion"/>
  </si>
  <si>
    <t>是</t>
  </si>
  <si>
    <t>办公项目</t>
  </si>
  <si>
    <t>无</t>
  </si>
  <si>
    <t>否</t>
  </si>
  <si>
    <t>现房</t>
  </si>
  <si>
    <t>通路</t>
  </si>
  <si>
    <t>通电</t>
  </si>
  <si>
    <t>通讯</t>
  </si>
  <si>
    <t>通上水</t>
  </si>
  <si>
    <t>通下水</t>
  </si>
  <si>
    <t>京（2017）西不动产权第0026866号</t>
  </si>
  <si>
    <t>不动产权证书</t>
  </si>
  <si>
    <t>17层19C5</t>
  </si>
  <si>
    <t>京（2017）西不动产权第0026867号</t>
  </si>
  <si>
    <t>17层19C6</t>
  </si>
  <si>
    <t>京（2017）西不动产权第0026868号</t>
  </si>
  <si>
    <t>17层19C7</t>
  </si>
  <si>
    <t>京（2017）西不动产权第0026869号</t>
  </si>
  <si>
    <t>17层19C8</t>
  </si>
  <si>
    <t>京（2017）西不动产权第0026870号</t>
  </si>
  <si>
    <t>17层19C9</t>
  </si>
  <si>
    <t>京（2017）西不动产权第0026871号</t>
  </si>
  <si>
    <t>17层19C10</t>
  </si>
  <si>
    <t>京（2017）西不动产权第0026872号</t>
  </si>
  <si>
    <t>17层19C11</t>
  </si>
  <si>
    <t>京（2017）西不动产权第0026873号</t>
  </si>
  <si>
    <t>17层19C12</t>
  </si>
  <si>
    <t>京（2017）西不动产权第0026874号</t>
  </si>
  <si>
    <t>17层19C13</t>
  </si>
  <si>
    <t>地上</t>
  </si>
  <si>
    <t>办公楼</t>
  </si>
  <si>
    <t>其他办公</t>
    <phoneticPr fontId="7" type="noConversion"/>
  </si>
  <si>
    <t>成新度</t>
  </si>
  <si>
    <t>收益法 (元)</t>
  </si>
  <si>
    <t>比较法-办公</t>
  </si>
  <si>
    <t>总价</t>
  </si>
  <si>
    <t>成本比率</t>
  </si>
  <si>
    <t>分摊土地面积</t>
  </si>
  <si>
    <t>建筑物价值</t>
  </si>
  <si>
    <t>建筑面积</t>
  </si>
  <si>
    <t>按租金收入计税</t>
  </si>
  <si>
    <t>钢混</t>
  </si>
  <si>
    <t>非生产用房</t>
  </si>
  <si>
    <t>押二</t>
  </si>
  <si>
    <t>售价</t>
  </si>
  <si>
    <t>西环广场</t>
    <phoneticPr fontId="3" type="noConversion"/>
  </si>
  <si>
    <t>西环广场</t>
    <phoneticPr fontId="3" type="noConversion"/>
  </si>
  <si>
    <t>正常</t>
  </si>
  <si>
    <t>办公</t>
    <phoneticPr fontId="32" type="noConversion"/>
  </si>
  <si>
    <t>较好</t>
  </si>
  <si>
    <t>好</t>
  </si>
  <si>
    <t>七通</t>
  </si>
  <si>
    <t>高速路</t>
  </si>
  <si>
    <t>快速路</t>
  </si>
  <si>
    <t>主干道</t>
  </si>
  <si>
    <t>次干道</t>
  </si>
  <si>
    <t>支路</t>
  </si>
  <si>
    <t>高区</t>
  </si>
  <si>
    <t>中区</t>
  </si>
  <si>
    <t>低区</t>
  </si>
  <si>
    <t>砖混</t>
  </si>
  <si>
    <t>精装修</t>
  </si>
  <si>
    <t>精装修</t>
    <phoneticPr fontId="32" type="noConversion"/>
  </si>
  <si>
    <t>普通装修</t>
    <phoneticPr fontId="32" type="noConversion"/>
  </si>
  <si>
    <t>简单装修</t>
    <phoneticPr fontId="32" type="noConversion"/>
  </si>
  <si>
    <t>毛坯</t>
    <phoneticPr fontId="32" type="noConversion"/>
  </si>
  <si>
    <t>甲级</t>
  </si>
  <si>
    <t>乙级</t>
  </si>
  <si>
    <t>丙级</t>
  </si>
  <si>
    <t>未评级</t>
  </si>
  <si>
    <t>专业</t>
  </si>
  <si>
    <t>非专业</t>
  </si>
  <si>
    <t>六通</t>
  </si>
  <si>
    <t>五通</t>
  </si>
  <si>
    <t>四通</t>
  </si>
  <si>
    <t>三通</t>
    <phoneticPr fontId="32" type="noConversion"/>
  </si>
  <si>
    <t>标准</t>
  </si>
  <si>
    <t>非标准</t>
  </si>
  <si>
    <t>租金</t>
  </si>
  <si>
    <t>典型户型修正</t>
  </si>
  <si>
    <t>40-50（含）</t>
  </si>
  <si>
    <t>豪华装修</t>
  </si>
  <si>
    <t>豪华装修</t>
    <phoneticPr fontId="32" type="noConversion"/>
  </si>
  <si>
    <t>高层</t>
  </si>
  <si>
    <t>高层</t>
    <phoneticPr fontId="32" type="noConversion"/>
  </si>
  <si>
    <t>高层</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</si>
</sst>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35"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184" fontId="63" fillId="0" borderId="1" xfId="10" applyNumberFormat="1" applyFont="1" applyFill="1" applyBorder="1" applyAlignment="1" applyProtection="1">
      <alignment horizontal="center" vertical="center" shrinkToFit="1"/>
      <protection locked="0"/>
    </xf>
    <xf numFmtId="0" fontId="49" fillId="7" borderId="54" xfId="0" applyFont="1" applyFill="1" applyBorder="1" applyAlignment="1" applyProtection="1">
      <alignment vertical="center"/>
      <protection locked="0"/>
    </xf>
    <xf numFmtId="0" fontId="49" fillId="0" borderId="2"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181" fontId="103" fillId="0" borderId="1" xfId="10" applyNumberFormat="1" applyFont="1" applyFill="1" applyBorder="1" applyAlignment="1" applyProtection="1">
      <alignment horizontal="center" vertical="center"/>
      <protection locked="0"/>
    </xf>
    <xf numFmtId="181" fontId="46" fillId="0" borderId="1" xfId="10" applyNumberFormat="1" applyFont="1" applyFill="1" applyBorder="1" applyAlignment="1" applyProtection="1">
      <alignment horizontal="center" vertical="center"/>
      <protection locked="0"/>
    </xf>
    <xf numFmtId="0" fontId="46" fillId="7" borderId="23" xfId="10" applyFont="1" applyFill="1" applyBorder="1" applyAlignment="1" applyProtection="1">
      <alignment vertical="center"/>
      <protection locked="0"/>
    </xf>
    <xf numFmtId="181" fontId="46" fillId="7" borderId="1" xfId="10" applyNumberFormat="1" applyFont="1" applyFill="1" applyBorder="1" applyAlignment="1" applyProtection="1">
      <alignment vertical="center"/>
      <protection locked="0"/>
    </xf>
    <xf numFmtId="181" fontId="46" fillId="0" borderId="1" xfId="10" applyNumberFormat="1" applyFont="1" applyBorder="1" applyAlignment="1" applyProtection="1">
      <alignment vertical="center"/>
      <protection locked="0"/>
    </xf>
    <xf numFmtId="10" fontId="46" fillId="7" borderId="1" xfId="10" applyNumberFormat="1" applyFont="1" applyFill="1" applyBorder="1" applyAlignment="1" applyProtection="1">
      <alignment horizontal="center" vertical="center"/>
      <protection locked="0"/>
    </xf>
    <xf numFmtId="183" fontId="46" fillId="7" borderId="1" xfId="10" applyNumberFormat="1" applyFont="1" applyFill="1" applyBorder="1" applyAlignment="1" applyProtection="1">
      <alignment horizontal="center" vertical="center"/>
      <protection locked="0"/>
    </xf>
    <xf numFmtId="181" fontId="46" fillId="7" borderId="24" xfId="10" applyNumberFormat="1" applyFont="1" applyFill="1" applyBorder="1" applyAlignment="1" applyProtection="1">
      <alignment horizontal="center" vertical="center"/>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60" fillId="20" borderId="3" xfId="0" applyNumberFormat="1" applyFont="1" applyFill="1" applyBorder="1" applyAlignment="1" applyProtection="1">
      <alignment horizontal="center" vertical="center" wrapText="1"/>
      <protection locked="0"/>
    </xf>
    <xf numFmtId="10" fontId="49" fillId="17" borderId="1" xfId="1" applyNumberFormat="1" applyFont="1" applyFill="1" applyBorder="1" applyAlignment="1" applyProtection="1">
      <alignment horizontal="center" vertical="center"/>
      <protection locked="0"/>
    </xf>
    <xf numFmtId="177" fontId="49" fillId="17" borderId="1" xfId="1" applyNumberFormat="1" applyFont="1" applyFill="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122953</xdr:colOff>
      <xdr:row>32</xdr:row>
      <xdr:rowOff>65981</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6980953" cy="5552381"/>
        </a:xfrm>
        <a:prstGeom prst="rect">
          <a:avLst/>
        </a:prstGeom>
      </xdr:spPr>
    </xdr:pic>
    <xdr:clientData/>
  </xdr:twoCellAnchor>
  <xdr:twoCellAnchor editAs="oneCell">
    <xdr:from>
      <xdr:col>0</xdr:col>
      <xdr:colOff>0</xdr:colOff>
      <xdr:row>33</xdr:row>
      <xdr:rowOff>0</xdr:rowOff>
    </xdr:from>
    <xdr:to>
      <xdr:col>10</xdr:col>
      <xdr:colOff>161048</xdr:colOff>
      <xdr:row>66</xdr:row>
      <xdr:rowOff>104055</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0" y="5657850"/>
          <a:ext cx="7019048" cy="5761905"/>
        </a:xfrm>
        <a:prstGeom prst="rect">
          <a:avLst/>
        </a:prstGeom>
      </xdr:spPr>
    </xdr:pic>
    <xdr:clientData/>
  </xdr:twoCellAnchor>
  <xdr:twoCellAnchor editAs="oneCell">
    <xdr:from>
      <xdr:col>0</xdr:col>
      <xdr:colOff>0</xdr:colOff>
      <xdr:row>103</xdr:row>
      <xdr:rowOff>0</xdr:rowOff>
    </xdr:from>
    <xdr:to>
      <xdr:col>9</xdr:col>
      <xdr:colOff>142086</xdr:colOff>
      <xdr:row>129</xdr:row>
      <xdr:rowOff>85157</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3"/>
        <a:stretch>
          <a:fillRect/>
        </a:stretch>
      </xdr:blipFill>
      <xdr:spPr>
        <a:xfrm>
          <a:off x="0" y="17659350"/>
          <a:ext cx="6314286" cy="4542857"/>
        </a:xfrm>
        <a:prstGeom prst="rect">
          <a:avLst/>
        </a:prstGeom>
      </xdr:spPr>
    </xdr:pic>
    <xdr:clientData/>
  </xdr:twoCellAnchor>
  <xdr:twoCellAnchor editAs="oneCell">
    <xdr:from>
      <xdr:col>0</xdr:col>
      <xdr:colOff>0</xdr:colOff>
      <xdr:row>130</xdr:row>
      <xdr:rowOff>0</xdr:rowOff>
    </xdr:from>
    <xdr:to>
      <xdr:col>9</xdr:col>
      <xdr:colOff>103991</xdr:colOff>
      <xdr:row>157</xdr:row>
      <xdr:rowOff>27993</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4"/>
        <a:stretch>
          <a:fillRect/>
        </a:stretch>
      </xdr:blipFill>
      <xdr:spPr>
        <a:xfrm>
          <a:off x="0" y="22288500"/>
          <a:ext cx="6276191" cy="4657143"/>
        </a:xfrm>
        <a:prstGeom prst="rect">
          <a:avLst/>
        </a:prstGeom>
      </xdr:spPr>
    </xdr:pic>
    <xdr:clientData/>
  </xdr:twoCellAnchor>
  <xdr:twoCellAnchor editAs="oneCell">
    <xdr:from>
      <xdr:col>0</xdr:col>
      <xdr:colOff>0</xdr:colOff>
      <xdr:row>157</xdr:row>
      <xdr:rowOff>0</xdr:rowOff>
    </xdr:from>
    <xdr:to>
      <xdr:col>9</xdr:col>
      <xdr:colOff>170658</xdr:colOff>
      <xdr:row>183</xdr:row>
      <xdr:rowOff>132777</xdr:rowOff>
    </xdr:to>
    <xdr:pic>
      <xdr:nvPicPr>
        <xdr:cNvPr id="7" name="图片 6">
          <a:extLst>
            <a:ext uri="{FF2B5EF4-FFF2-40B4-BE49-F238E27FC236}">
              <a16:creationId xmlns:a16="http://schemas.microsoft.com/office/drawing/2014/main" xmlns="" id="{00000000-0008-0000-2E00-000007000000}"/>
            </a:ext>
          </a:extLst>
        </xdr:cNvPr>
        <xdr:cNvPicPr>
          <a:picLocks noChangeAspect="1"/>
        </xdr:cNvPicPr>
      </xdr:nvPicPr>
      <xdr:blipFill>
        <a:blip xmlns:r="http://schemas.openxmlformats.org/officeDocument/2006/relationships" r:embed="rId5"/>
        <a:stretch>
          <a:fillRect/>
        </a:stretch>
      </xdr:blipFill>
      <xdr:spPr>
        <a:xfrm>
          <a:off x="0" y="26917650"/>
          <a:ext cx="6342858" cy="4590477"/>
        </a:xfrm>
        <a:prstGeom prst="rect">
          <a:avLst/>
        </a:prstGeom>
      </xdr:spPr>
    </xdr:pic>
    <xdr:clientData/>
  </xdr:twoCellAnchor>
  <xdr:twoCellAnchor editAs="oneCell">
    <xdr:from>
      <xdr:col>0</xdr:col>
      <xdr:colOff>0</xdr:colOff>
      <xdr:row>184</xdr:row>
      <xdr:rowOff>0</xdr:rowOff>
    </xdr:from>
    <xdr:to>
      <xdr:col>9</xdr:col>
      <xdr:colOff>103991</xdr:colOff>
      <xdr:row>209</xdr:row>
      <xdr:rowOff>170893</xdr:rowOff>
    </xdr:to>
    <xdr:pic>
      <xdr:nvPicPr>
        <xdr:cNvPr id="8" name="图片 7">
          <a:extLst>
            <a:ext uri="{FF2B5EF4-FFF2-40B4-BE49-F238E27FC236}">
              <a16:creationId xmlns:a16="http://schemas.microsoft.com/office/drawing/2014/main" xmlns="" id="{00000000-0008-0000-2E00-000008000000}"/>
            </a:ext>
          </a:extLst>
        </xdr:cNvPr>
        <xdr:cNvPicPr>
          <a:picLocks noChangeAspect="1"/>
        </xdr:cNvPicPr>
      </xdr:nvPicPr>
      <xdr:blipFill>
        <a:blip xmlns:r="http://schemas.openxmlformats.org/officeDocument/2006/relationships" r:embed="rId6"/>
        <a:stretch>
          <a:fillRect/>
        </a:stretch>
      </xdr:blipFill>
      <xdr:spPr>
        <a:xfrm>
          <a:off x="0" y="31546800"/>
          <a:ext cx="6276191" cy="4457143"/>
        </a:xfrm>
        <a:prstGeom prst="rect">
          <a:avLst/>
        </a:prstGeom>
      </xdr:spPr>
    </xdr:pic>
    <xdr:clientData/>
  </xdr:twoCellAnchor>
  <xdr:twoCellAnchor editAs="oneCell">
    <xdr:from>
      <xdr:col>0</xdr:col>
      <xdr:colOff>0</xdr:colOff>
      <xdr:row>210</xdr:row>
      <xdr:rowOff>0</xdr:rowOff>
    </xdr:from>
    <xdr:to>
      <xdr:col>9</xdr:col>
      <xdr:colOff>170658</xdr:colOff>
      <xdr:row>237</xdr:row>
      <xdr:rowOff>27993</xdr:rowOff>
    </xdr:to>
    <xdr:pic>
      <xdr:nvPicPr>
        <xdr:cNvPr id="9" name="图片 8">
          <a:extLst>
            <a:ext uri="{FF2B5EF4-FFF2-40B4-BE49-F238E27FC236}">
              <a16:creationId xmlns:a16="http://schemas.microsoft.com/office/drawing/2014/main" xmlns="" id="{00000000-0008-0000-2E00-000009000000}"/>
            </a:ext>
          </a:extLst>
        </xdr:cNvPr>
        <xdr:cNvPicPr>
          <a:picLocks noChangeAspect="1"/>
        </xdr:cNvPicPr>
      </xdr:nvPicPr>
      <xdr:blipFill>
        <a:blip xmlns:r="http://schemas.openxmlformats.org/officeDocument/2006/relationships" r:embed="rId7"/>
        <a:stretch>
          <a:fillRect/>
        </a:stretch>
      </xdr:blipFill>
      <xdr:spPr>
        <a:xfrm>
          <a:off x="0" y="36004500"/>
          <a:ext cx="6342858" cy="4657143"/>
        </a:xfrm>
        <a:prstGeom prst="rect">
          <a:avLst/>
        </a:prstGeom>
      </xdr:spPr>
    </xdr:pic>
    <xdr:clientData/>
  </xdr:twoCellAnchor>
  <xdr:twoCellAnchor editAs="oneCell">
    <xdr:from>
      <xdr:col>0</xdr:col>
      <xdr:colOff>0</xdr:colOff>
      <xdr:row>237</xdr:row>
      <xdr:rowOff>0</xdr:rowOff>
    </xdr:from>
    <xdr:to>
      <xdr:col>9</xdr:col>
      <xdr:colOff>123039</xdr:colOff>
      <xdr:row>257</xdr:row>
      <xdr:rowOff>28143</xdr:rowOff>
    </xdr:to>
    <xdr:pic>
      <xdr:nvPicPr>
        <xdr:cNvPr id="10" name="图片 9">
          <a:extLst>
            <a:ext uri="{FF2B5EF4-FFF2-40B4-BE49-F238E27FC236}">
              <a16:creationId xmlns:a16="http://schemas.microsoft.com/office/drawing/2014/main" xmlns="" id="{00000000-0008-0000-2E00-00000A000000}"/>
            </a:ext>
          </a:extLst>
        </xdr:cNvPr>
        <xdr:cNvPicPr>
          <a:picLocks noChangeAspect="1"/>
        </xdr:cNvPicPr>
      </xdr:nvPicPr>
      <xdr:blipFill>
        <a:blip xmlns:r="http://schemas.openxmlformats.org/officeDocument/2006/relationships" r:embed="rId8"/>
        <a:stretch>
          <a:fillRect/>
        </a:stretch>
      </xdr:blipFill>
      <xdr:spPr>
        <a:xfrm>
          <a:off x="0" y="40633650"/>
          <a:ext cx="6295239" cy="3457143"/>
        </a:xfrm>
        <a:prstGeom prst="rect">
          <a:avLst/>
        </a:prstGeom>
      </xdr:spPr>
    </xdr:pic>
    <xdr:clientData/>
  </xdr:twoCellAnchor>
  <xdr:twoCellAnchor editAs="oneCell">
    <xdr:from>
      <xdr:col>11</xdr:col>
      <xdr:colOff>0</xdr:colOff>
      <xdr:row>0</xdr:row>
      <xdr:rowOff>0</xdr:rowOff>
    </xdr:from>
    <xdr:to>
      <xdr:col>21</xdr:col>
      <xdr:colOff>465810</xdr:colOff>
      <xdr:row>33</xdr:row>
      <xdr:rowOff>46912</xdr:rowOff>
    </xdr:to>
    <xdr:pic>
      <xdr:nvPicPr>
        <xdr:cNvPr id="11" name="图片 10">
          <a:extLst>
            <a:ext uri="{FF2B5EF4-FFF2-40B4-BE49-F238E27FC236}">
              <a16:creationId xmlns:a16="http://schemas.microsoft.com/office/drawing/2014/main" xmlns="" id="{00000000-0008-0000-2E00-00000B000000}"/>
            </a:ext>
          </a:extLst>
        </xdr:cNvPr>
        <xdr:cNvPicPr>
          <a:picLocks noChangeAspect="1"/>
        </xdr:cNvPicPr>
      </xdr:nvPicPr>
      <xdr:blipFill>
        <a:blip xmlns:r="http://schemas.openxmlformats.org/officeDocument/2006/relationships" r:embed="rId9"/>
        <a:stretch>
          <a:fillRect/>
        </a:stretch>
      </xdr:blipFill>
      <xdr:spPr>
        <a:xfrm>
          <a:off x="7543800" y="0"/>
          <a:ext cx="7323810" cy="5704762"/>
        </a:xfrm>
        <a:prstGeom prst="rect">
          <a:avLst/>
        </a:prstGeom>
      </xdr:spPr>
    </xdr:pic>
    <xdr:clientData/>
  </xdr:twoCellAnchor>
  <xdr:twoCellAnchor editAs="oneCell">
    <xdr:from>
      <xdr:col>11</xdr:col>
      <xdr:colOff>0</xdr:colOff>
      <xdr:row>34</xdr:row>
      <xdr:rowOff>0</xdr:rowOff>
    </xdr:from>
    <xdr:to>
      <xdr:col>21</xdr:col>
      <xdr:colOff>608667</xdr:colOff>
      <xdr:row>67</xdr:row>
      <xdr:rowOff>161198</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10"/>
        <a:stretch>
          <a:fillRect/>
        </a:stretch>
      </xdr:blipFill>
      <xdr:spPr>
        <a:xfrm>
          <a:off x="7543800" y="5829300"/>
          <a:ext cx="7466667" cy="5819048"/>
        </a:xfrm>
        <a:prstGeom prst="rect">
          <a:avLst/>
        </a:prstGeom>
      </xdr:spPr>
    </xdr:pic>
    <xdr:clientData/>
  </xdr:twoCellAnchor>
  <xdr:twoCellAnchor editAs="oneCell">
    <xdr:from>
      <xdr:col>11</xdr:col>
      <xdr:colOff>0</xdr:colOff>
      <xdr:row>68</xdr:row>
      <xdr:rowOff>0</xdr:rowOff>
    </xdr:from>
    <xdr:to>
      <xdr:col>21</xdr:col>
      <xdr:colOff>513429</xdr:colOff>
      <xdr:row>101</xdr:row>
      <xdr:rowOff>142150</xdr:rowOff>
    </xdr:to>
    <xdr:pic>
      <xdr:nvPicPr>
        <xdr:cNvPr id="13" name="图片 12">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11"/>
        <a:stretch>
          <a:fillRect/>
        </a:stretch>
      </xdr:blipFill>
      <xdr:spPr>
        <a:xfrm>
          <a:off x="7543800" y="11658600"/>
          <a:ext cx="7371429" cy="5800000"/>
        </a:xfrm>
        <a:prstGeom prst="rect">
          <a:avLst/>
        </a:prstGeom>
      </xdr:spPr>
    </xdr:pic>
    <xdr:clientData/>
  </xdr:twoCellAnchor>
  <xdr:twoCellAnchor editAs="oneCell">
    <xdr:from>
      <xdr:col>0</xdr:col>
      <xdr:colOff>0</xdr:colOff>
      <xdr:row>67</xdr:row>
      <xdr:rowOff>0</xdr:rowOff>
    </xdr:from>
    <xdr:to>
      <xdr:col>10</xdr:col>
      <xdr:colOff>122953</xdr:colOff>
      <xdr:row>99</xdr:row>
      <xdr:rowOff>8838</xdr:rowOff>
    </xdr:to>
    <xdr:pic>
      <xdr:nvPicPr>
        <xdr:cNvPr id="14" name="图片 13">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12"/>
        <a:stretch>
          <a:fillRect/>
        </a:stretch>
      </xdr:blipFill>
      <xdr:spPr>
        <a:xfrm>
          <a:off x="0" y="11487150"/>
          <a:ext cx="6980953" cy="5495238"/>
        </a:xfrm>
        <a:prstGeom prst="rect">
          <a:avLst/>
        </a:prstGeom>
      </xdr:spPr>
    </xdr:pic>
    <xdr:clientData/>
  </xdr:twoCellAnchor>
  <xdr:twoCellAnchor editAs="oneCell">
    <xdr:from>
      <xdr:col>11</xdr:col>
      <xdr:colOff>0</xdr:colOff>
      <xdr:row>102</xdr:row>
      <xdr:rowOff>0</xdr:rowOff>
    </xdr:from>
    <xdr:to>
      <xdr:col>19</xdr:col>
      <xdr:colOff>446934</xdr:colOff>
      <xdr:row>127</xdr:row>
      <xdr:rowOff>85179</xdr:rowOff>
    </xdr:to>
    <xdr:pic>
      <xdr:nvPicPr>
        <xdr:cNvPr id="15" name="图片 14">
          <a:extLst>
            <a:ext uri="{FF2B5EF4-FFF2-40B4-BE49-F238E27FC236}">
              <a16:creationId xmlns:a16="http://schemas.microsoft.com/office/drawing/2014/main" xmlns="" id="{00000000-0008-0000-2E00-00000F000000}"/>
            </a:ext>
          </a:extLst>
        </xdr:cNvPr>
        <xdr:cNvPicPr>
          <a:picLocks noChangeAspect="1"/>
        </xdr:cNvPicPr>
      </xdr:nvPicPr>
      <xdr:blipFill>
        <a:blip xmlns:r="http://schemas.openxmlformats.org/officeDocument/2006/relationships" r:embed="rId13"/>
        <a:stretch>
          <a:fillRect/>
        </a:stretch>
      </xdr:blipFill>
      <xdr:spPr>
        <a:xfrm>
          <a:off x="7543800" y="17487900"/>
          <a:ext cx="5933334" cy="4371429"/>
        </a:xfrm>
        <a:prstGeom prst="rect">
          <a:avLst/>
        </a:prstGeom>
      </xdr:spPr>
    </xdr:pic>
    <xdr:clientData/>
  </xdr:twoCellAnchor>
  <xdr:twoCellAnchor editAs="oneCell">
    <xdr:from>
      <xdr:col>11</xdr:col>
      <xdr:colOff>0</xdr:colOff>
      <xdr:row>128</xdr:row>
      <xdr:rowOff>0</xdr:rowOff>
    </xdr:from>
    <xdr:to>
      <xdr:col>19</xdr:col>
      <xdr:colOff>294553</xdr:colOff>
      <xdr:row>140</xdr:row>
      <xdr:rowOff>85457</xdr:rowOff>
    </xdr:to>
    <xdr:pic>
      <xdr:nvPicPr>
        <xdr:cNvPr id="16" name="图片 15">
          <a:extLst>
            <a:ext uri="{FF2B5EF4-FFF2-40B4-BE49-F238E27FC236}">
              <a16:creationId xmlns:a16="http://schemas.microsoft.com/office/drawing/2014/main" xmlns="" id="{00000000-0008-0000-2E00-000010000000}"/>
            </a:ext>
          </a:extLst>
        </xdr:cNvPr>
        <xdr:cNvPicPr>
          <a:picLocks noChangeAspect="1"/>
        </xdr:cNvPicPr>
      </xdr:nvPicPr>
      <xdr:blipFill>
        <a:blip xmlns:r="http://schemas.openxmlformats.org/officeDocument/2006/relationships" r:embed="rId14"/>
        <a:stretch>
          <a:fillRect/>
        </a:stretch>
      </xdr:blipFill>
      <xdr:spPr>
        <a:xfrm>
          <a:off x="7543800" y="21945600"/>
          <a:ext cx="5780953" cy="2142857"/>
        </a:xfrm>
        <a:prstGeom prst="rect">
          <a:avLst/>
        </a:prstGeom>
      </xdr:spPr>
    </xdr:pic>
    <xdr:clientData/>
  </xdr:twoCellAnchor>
  <xdr:twoCellAnchor editAs="oneCell">
    <xdr:from>
      <xdr:col>11</xdr:col>
      <xdr:colOff>0</xdr:colOff>
      <xdr:row>141</xdr:row>
      <xdr:rowOff>0</xdr:rowOff>
    </xdr:from>
    <xdr:to>
      <xdr:col>19</xdr:col>
      <xdr:colOff>323124</xdr:colOff>
      <xdr:row>171</xdr:row>
      <xdr:rowOff>151738</xdr:rowOff>
    </xdr:to>
    <xdr:pic>
      <xdr:nvPicPr>
        <xdr:cNvPr id="17" name="图片 16">
          <a:extLst>
            <a:ext uri="{FF2B5EF4-FFF2-40B4-BE49-F238E27FC236}">
              <a16:creationId xmlns:a16="http://schemas.microsoft.com/office/drawing/2014/main" xmlns="" id="{00000000-0008-0000-2E00-000011000000}"/>
            </a:ext>
          </a:extLst>
        </xdr:cNvPr>
        <xdr:cNvPicPr>
          <a:picLocks noChangeAspect="1"/>
        </xdr:cNvPicPr>
      </xdr:nvPicPr>
      <xdr:blipFill>
        <a:blip xmlns:r="http://schemas.openxmlformats.org/officeDocument/2006/relationships" r:embed="rId15"/>
        <a:stretch>
          <a:fillRect/>
        </a:stretch>
      </xdr:blipFill>
      <xdr:spPr>
        <a:xfrm>
          <a:off x="7543800" y="24174450"/>
          <a:ext cx="5809524" cy="5295238"/>
        </a:xfrm>
        <a:prstGeom prst="rect">
          <a:avLst/>
        </a:prstGeom>
      </xdr:spPr>
    </xdr:pic>
    <xdr:clientData/>
  </xdr:twoCellAnchor>
  <xdr:twoCellAnchor editAs="oneCell">
    <xdr:from>
      <xdr:col>11</xdr:col>
      <xdr:colOff>0</xdr:colOff>
      <xdr:row>172</xdr:row>
      <xdr:rowOff>0</xdr:rowOff>
    </xdr:from>
    <xdr:to>
      <xdr:col>19</xdr:col>
      <xdr:colOff>418362</xdr:colOff>
      <xdr:row>201</xdr:row>
      <xdr:rowOff>161284</xdr:rowOff>
    </xdr:to>
    <xdr:pic>
      <xdr:nvPicPr>
        <xdr:cNvPr id="18" name="图片 17">
          <a:extLst>
            <a:ext uri="{FF2B5EF4-FFF2-40B4-BE49-F238E27FC236}">
              <a16:creationId xmlns:a16="http://schemas.microsoft.com/office/drawing/2014/main" xmlns="" id="{00000000-0008-0000-2E00-000012000000}"/>
            </a:ext>
          </a:extLst>
        </xdr:cNvPr>
        <xdr:cNvPicPr>
          <a:picLocks noChangeAspect="1"/>
        </xdr:cNvPicPr>
      </xdr:nvPicPr>
      <xdr:blipFill>
        <a:blip xmlns:r="http://schemas.openxmlformats.org/officeDocument/2006/relationships" r:embed="rId16"/>
        <a:stretch>
          <a:fillRect/>
        </a:stretch>
      </xdr:blipFill>
      <xdr:spPr>
        <a:xfrm>
          <a:off x="7543800" y="29489400"/>
          <a:ext cx="5904762" cy="5133334"/>
        </a:xfrm>
        <a:prstGeom prst="rect">
          <a:avLst/>
        </a:prstGeom>
      </xdr:spPr>
    </xdr:pic>
    <xdr:clientData/>
  </xdr:twoCellAnchor>
  <xdr:twoCellAnchor editAs="oneCell">
    <xdr:from>
      <xdr:col>11</xdr:col>
      <xdr:colOff>0</xdr:colOff>
      <xdr:row>202</xdr:row>
      <xdr:rowOff>0</xdr:rowOff>
    </xdr:from>
    <xdr:to>
      <xdr:col>19</xdr:col>
      <xdr:colOff>485029</xdr:colOff>
      <xdr:row>214</xdr:row>
      <xdr:rowOff>94981</xdr:rowOff>
    </xdr:to>
    <xdr:pic>
      <xdr:nvPicPr>
        <xdr:cNvPr id="19" name="图片 18">
          <a:extLst>
            <a:ext uri="{FF2B5EF4-FFF2-40B4-BE49-F238E27FC236}">
              <a16:creationId xmlns:a16="http://schemas.microsoft.com/office/drawing/2014/main" xmlns="" id="{00000000-0008-0000-2E00-000013000000}"/>
            </a:ext>
          </a:extLst>
        </xdr:cNvPr>
        <xdr:cNvPicPr>
          <a:picLocks noChangeAspect="1"/>
        </xdr:cNvPicPr>
      </xdr:nvPicPr>
      <xdr:blipFill>
        <a:blip xmlns:r="http://schemas.openxmlformats.org/officeDocument/2006/relationships" r:embed="rId17"/>
        <a:stretch>
          <a:fillRect/>
        </a:stretch>
      </xdr:blipFill>
      <xdr:spPr>
        <a:xfrm>
          <a:off x="7543800" y="34632900"/>
          <a:ext cx="5971429" cy="2152381"/>
        </a:xfrm>
        <a:prstGeom prst="rect">
          <a:avLst/>
        </a:prstGeom>
      </xdr:spPr>
    </xdr:pic>
    <xdr:clientData/>
  </xdr:twoCellAnchor>
  <xdr:twoCellAnchor editAs="oneCell">
    <xdr:from>
      <xdr:col>11</xdr:col>
      <xdr:colOff>0</xdr:colOff>
      <xdr:row>215</xdr:row>
      <xdr:rowOff>0</xdr:rowOff>
    </xdr:from>
    <xdr:to>
      <xdr:col>19</xdr:col>
      <xdr:colOff>237410</xdr:colOff>
      <xdr:row>234</xdr:row>
      <xdr:rowOff>66260</xdr:rowOff>
    </xdr:to>
    <xdr:pic>
      <xdr:nvPicPr>
        <xdr:cNvPr id="20" name="图片 19">
          <a:extLst>
            <a:ext uri="{FF2B5EF4-FFF2-40B4-BE49-F238E27FC236}">
              <a16:creationId xmlns:a16="http://schemas.microsoft.com/office/drawing/2014/main" xmlns="" id="{00000000-0008-0000-2E00-000014000000}"/>
            </a:ext>
          </a:extLst>
        </xdr:cNvPr>
        <xdr:cNvPicPr>
          <a:picLocks noChangeAspect="1"/>
        </xdr:cNvPicPr>
      </xdr:nvPicPr>
      <xdr:blipFill>
        <a:blip xmlns:r="http://schemas.openxmlformats.org/officeDocument/2006/relationships" r:embed="rId18"/>
        <a:stretch>
          <a:fillRect/>
        </a:stretch>
      </xdr:blipFill>
      <xdr:spPr>
        <a:xfrm>
          <a:off x="7543800" y="36861750"/>
          <a:ext cx="5723810" cy="3323810"/>
        </a:xfrm>
        <a:prstGeom prst="rect">
          <a:avLst/>
        </a:prstGeom>
      </xdr:spPr>
    </xdr:pic>
    <xdr:clientData/>
  </xdr:twoCellAnchor>
  <xdr:twoCellAnchor editAs="oneCell">
    <xdr:from>
      <xdr:col>11</xdr:col>
      <xdr:colOff>0</xdr:colOff>
      <xdr:row>235</xdr:row>
      <xdr:rowOff>0</xdr:rowOff>
    </xdr:from>
    <xdr:to>
      <xdr:col>19</xdr:col>
      <xdr:colOff>332648</xdr:colOff>
      <xdr:row>265</xdr:row>
      <xdr:rowOff>132691</xdr:rowOff>
    </xdr:to>
    <xdr:pic>
      <xdr:nvPicPr>
        <xdr:cNvPr id="21" name="图片 20">
          <a:extLst>
            <a:ext uri="{FF2B5EF4-FFF2-40B4-BE49-F238E27FC236}">
              <a16:creationId xmlns:a16="http://schemas.microsoft.com/office/drawing/2014/main" xmlns="" id="{00000000-0008-0000-2E00-000015000000}"/>
            </a:ext>
          </a:extLst>
        </xdr:cNvPr>
        <xdr:cNvPicPr>
          <a:picLocks noChangeAspect="1"/>
        </xdr:cNvPicPr>
      </xdr:nvPicPr>
      <xdr:blipFill>
        <a:blip xmlns:r="http://schemas.openxmlformats.org/officeDocument/2006/relationships" r:embed="rId19"/>
        <a:stretch>
          <a:fillRect/>
        </a:stretch>
      </xdr:blipFill>
      <xdr:spPr>
        <a:xfrm>
          <a:off x="7543800" y="40290750"/>
          <a:ext cx="5819048" cy="5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esktop/&#26446;&#26133;&#32493;&#35780;2020-1-0239-F02DYGJ3&#21271;&#20140;&#24066;&#35199;&#22478;&#21306;&#35199;&#30452;&#38376;&#22806;&#22823;&#34903;1&#21495;&#38498;2&#21495;&#27004;17&#23618;19C5-19C13&#20849;9&#22871;&#21150;&#20844;&#29992;&#25151;/2020-1-0239-F01DYGJ3-&#35199;&#29615;&#24191;&#22330;&#32493;&#35780;-&#26446;&#26133;-&#20108;&#23457;-&#23828;&#38196;20200520-151042-&#26446;&#26133;20200522-13485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结果表 (2)"/>
      <sheetName val="收益法 (元)"/>
      <sheetName val="收益法（汇总）"/>
      <sheetName val="酒店收入计算"/>
      <sheetName val="比较法-住宅"/>
      <sheetName val="比较法-商业"/>
      <sheetName val="比较法-办公 (租金-日期调整为19年2个 今年5月1个)"/>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C2" t="str">
            <v>0(含)-100</v>
          </cell>
          <cell r="D2" t="str">
            <v>100(含)-150</v>
          </cell>
          <cell r="E2" t="str">
            <v>150(含)-200</v>
          </cell>
          <cell r="F2" t="str">
            <v>200(含)-250</v>
          </cell>
          <cell r="G2" t="str">
            <v>250(含)-300</v>
          </cell>
          <cell r="H2" t="str">
            <v>300(含)-500</v>
          </cell>
          <cell r="I2" t="str">
            <v>500(含)-750</v>
          </cell>
          <cell r="J2" t="str">
            <v>750(含)-1000</v>
          </cell>
        </row>
        <row r="4">
          <cell r="C4">
            <v>92</v>
          </cell>
          <cell r="D4">
            <v>94</v>
          </cell>
          <cell r="E4">
            <v>96</v>
          </cell>
          <cell r="F4">
            <v>98</v>
          </cell>
          <cell r="G4">
            <v>100</v>
          </cell>
          <cell r="H4">
            <v>98</v>
          </cell>
          <cell r="I4">
            <v>96</v>
          </cell>
          <cell r="J4">
            <v>94</v>
          </cell>
        </row>
      </sheetData>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北京市西城区西直门外大街1号院2号楼17层19C5-19C13共9套办公用房房地产抵押价值预评估</v>
      </c>
    </row>
    <row r="3" spans="1:2" s="1365" customFormat="1">
      <c r="A3" s="1363" t="s">
        <v>1188</v>
      </c>
      <c r="B3" s="1364" t="str">
        <f>'预评函-封皮'!B40</f>
        <v>准信智慧消防股份有限公司</v>
      </c>
    </row>
    <row r="4" spans="1:2" s="1365" customFormat="1">
      <c r="A4" s="1363" t="s">
        <v>1189</v>
      </c>
      <c r="B4" s="1364" t="str">
        <f ca="1">'预评函-封皮'!B46</f>
        <v>王鹏（注册号：1120050019)、郑燚（注册号：1120070131)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受贵公司委托，我公司对北京市西城区西直门外大街1号院2号楼17层19C5-19C13共9套办公用房房地产抵押价值进行了预评估。</v>
      </c>
    </row>
    <row r="7" spans="1:2" s="1365" customFormat="1">
      <c r="A7" s="1363" t="s">
        <v>1231</v>
      </c>
      <c r="B7" s="1364" t="str">
        <f>'预评函-1'!A7</f>
        <v>估价对象为北京市西城区西直门外大街1号院2号楼17层19C5-19C13共9套办公用房房地产，为准信智慧消防股份有限公司所有。根据《国有土地使用证》[]，估价对象（分摊）出让国有建设用地使用权面积为0平方米，建筑面积为1141.77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西城区西直门外大街1号院2号楼17层19C5-19C13共9套办公用房房地产,属准信智慧消防股份有限公司开发建设的办公项目，该项目尚在开发建设中。根据《国有土地使用证》[]，估价对象（分摊）出让国有建设用地使用权面积为0平方米，规划建筑面积为1141.77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为估价委托人在向中国银行股份有限公司厦门开元分行办理贷款手续过程中，确定房地产抵押贷款额度提供参考依据而评估房地产抵押价值。</v>
      </c>
    </row>
    <row r="12" spans="1:2" s="1365" customFormat="1">
      <c r="A12" s="1363" t="s">
        <v>1193</v>
      </c>
      <c r="B12" s="1364" t="str">
        <f>'预评函-1'!A15</f>
        <v>2021年6月23日（评估专业人员实地查勘之日）</v>
      </c>
    </row>
    <row r="13" spans="1:2" s="1365" customFormat="1">
      <c r="A13" s="1363" t="s">
        <v>1194</v>
      </c>
      <c r="B13" s="1364" t="str">
        <f>'预评函-1'!A18</f>
        <v>本次估价的“房地产价值”是指在正常市场情况下，在价值时点2021年6月23日，估价对象规划用途为办公用房，土地取得方式为出让，出让国有建设用地使用权剩余土地使用年限为办公33.18年，假定未设立法定优先受偿款下的房地产市场价值。</v>
      </c>
    </row>
    <row r="14" spans="1:2" s="1365" customFormat="1">
      <c r="A14" s="1363" t="s">
        <v>1195</v>
      </c>
      <c r="B14" s="1364" t="str">
        <f>'预评函-1'!A19</f>
        <v>其中，“出让国有建设用地使用权价值”是指估价对象用途为办公用房，实际开发程度为宗地红线外“七通”（即通路、通电、通讯、通上水、通下水、、）、红线内场地平整条件下，剩余土地使用年限为办公33.18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4779</v>
      </c>
    </row>
    <row r="21" spans="1:2" s="1365" customFormat="1">
      <c r="A21" s="1363" t="s">
        <v>1202</v>
      </c>
      <c r="B21" s="1364">
        <f ca="1">'预评函-2'!D7</f>
        <v>41856</v>
      </c>
    </row>
    <row r="22" spans="1:2" s="1365" customFormat="1">
      <c r="A22" s="1363" t="s">
        <v>1203</v>
      </c>
      <c r="B22" s="1364" t="str">
        <f ca="1">'预评函-2'!D6</f>
        <v>肆仟柒佰柒拾玖万元整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4779</v>
      </c>
    </row>
    <row r="31" spans="1:2" s="1365" customFormat="1">
      <c r="A31" s="1363" t="s">
        <v>1241</v>
      </c>
      <c r="B31" s="1364">
        <f ca="1">'预评函-2'!D15</f>
        <v>41856</v>
      </c>
    </row>
    <row r="32" spans="1:2" s="1365" customFormat="1">
      <c r="A32" s="1363" t="s">
        <v>1208</v>
      </c>
      <c r="B32" s="1364" t="str">
        <f ca="1">'预评函-2'!D14</f>
        <v>肆仟柒佰柒拾玖万元整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北京市西城区西直门外大街1号院2号楼17层19C5-19C13共9套办公用房房地产</v>
      </c>
    </row>
    <row r="42" spans="1:2" s="1365" customFormat="1">
      <c r="A42" s="1363" t="s">
        <v>1255</v>
      </c>
      <c r="B42" s="1364" t="str">
        <f>'预评函-3'!B2</f>
        <v>建筑面积</v>
      </c>
    </row>
    <row r="43" spans="1:2" s="1365" customFormat="1">
      <c r="A43" s="1363" t="s">
        <v>1256</v>
      </c>
      <c r="B43" s="1364">
        <f>'预评函-3'!B4</f>
        <v>1141.77</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（1）根据估价对象《房屋所有权证》原件、《国有土地使用权》复印件，截至价值时点，估价对象已设定抵押。上述抵押权设定日期为，权利人为，权利范围为，权利价值为。</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王鹏</v>
      </c>
    </row>
    <row r="71" spans="1:2">
      <c r="A71" s="1363" t="s">
        <v>1228</v>
      </c>
      <c r="B71" s="1364">
        <f ca="1">'预评函-4'!B4</f>
        <v>1120050019</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3036</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为估价委托人在向中国银行股份有限公司厦门开元分行办理贷款手续过程中，确定房地产抵押贷款额度提供参考依据而评估房地产抵押价值。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准信智慧消防股份有限公司拟使用北京市西城区西直门外大街1号院2号楼17层19C5-19C13共9套办公用房房地产作为抵押担保物，向中国银行股份有限公司厦门开元分行办理贷款手续。中国银行股份有限公司厦门开元分行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45"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23日，估价对象规划用途为办公用房土地取得方式为出让，出让国有建设用地使用权剩余土地使用年限为XX年(多用途剩余年限尾数不同时，可只体现小数点后一位)，假定未设立法定优先受偿款下的房地产市场价值。</v>
      </c>
    </row>
    <row r="54" spans="1:4">
      <c r="A54" s="3145"/>
      <c r="B54" s="1739" t="s">
        <v>832</v>
      </c>
      <c r="C54" s="1736" t="s">
        <v>1248</v>
      </c>
    </row>
    <row r="55" spans="1:4">
      <c r="A55" s="3145"/>
      <c r="B55" s="1739" t="s">
        <v>833</v>
      </c>
      <c r="C55" s="1736" t="s">
        <v>1249</v>
      </c>
    </row>
    <row r="56" spans="1:4">
      <c r="A56" s="3145"/>
      <c r="B56" s="1739" t="s">
        <v>834</v>
      </c>
      <c r="C56" s="1736" t="s">
        <v>1253</v>
      </c>
    </row>
    <row r="57" spans="1:4">
      <c r="A57" s="3145"/>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5" sqref="F15"/>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2" customWidth="1"/>
    <col min="12" max="13" width="10" style="2853"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2911</v>
      </c>
      <c r="B1" s="3146" t="str">
        <f>IF(B10="北京市","北京市",C10)&amp;F10&amp;IF(结果表!G1="在建","出让国有建设用地使用权及在建建筑物",IF(结果表!G1="土地","出让国有建设用地使用权",))&amp;B9&amp;"预评估"</f>
        <v>北京市西城区西直门外大街1号院2号楼17层19C5-19C13共9套办公用房房地产抵押价值预评估</v>
      </c>
      <c r="C1" s="3147"/>
      <c r="D1" s="3147"/>
      <c r="E1" s="3147"/>
      <c r="F1" s="3147"/>
      <c r="G1" s="3147"/>
      <c r="H1" s="3147"/>
      <c r="I1" s="3148"/>
      <c r="J1" s="2694"/>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北京市西城区西直门外大街1号院2号楼17层19C5-19C13共9套办公用房房地产抵押价值</v>
      </c>
      <c r="T1" s="1931"/>
      <c r="U1" s="1931"/>
      <c r="V1" s="1931"/>
      <c r="W1" s="1931"/>
      <c r="X1" s="1931"/>
      <c r="Y1" s="1931"/>
      <c r="Z1" s="1931"/>
      <c r="AA1" s="1931"/>
      <c r="AB1" s="1931"/>
    </row>
    <row r="2" spans="1:28">
      <c r="A2" s="2591" t="s">
        <v>2912</v>
      </c>
      <c r="B2" s="2595"/>
      <c r="C2" s="2596"/>
      <c r="D2" s="2896"/>
      <c r="E2" s="2886"/>
      <c r="F2" s="2886"/>
      <c r="G2" s="2887"/>
      <c r="H2" s="2887"/>
      <c r="I2" s="2887"/>
      <c r="J2" s="2694"/>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北京市西城区西直门外大街1号院2号楼17层19C5-19C13共9套办公用房房地产</v>
      </c>
      <c r="T2" s="1931"/>
      <c r="U2" s="1931"/>
      <c r="V2" s="1931"/>
      <c r="W2" s="1931"/>
      <c r="X2" s="1931"/>
      <c r="Y2" s="1931"/>
      <c r="Z2" s="1931"/>
      <c r="AA2" s="1931"/>
      <c r="AB2" s="1931"/>
    </row>
    <row r="3" spans="1:28">
      <c r="A3" s="308" t="s">
        <v>2913</v>
      </c>
      <c r="B3" s="2597">
        <v>44370</v>
      </c>
      <c r="C3" s="2598" t="s">
        <v>2914</v>
      </c>
      <c r="D3" s="2597">
        <f>B3</f>
        <v>44370</v>
      </c>
      <c r="E3" s="2887"/>
      <c r="F3" s="2887"/>
      <c r="G3" s="2887"/>
      <c r="H3" s="2887"/>
      <c r="I3" s="2887"/>
      <c r="J3" s="2694"/>
      <c r="K3" s="2592"/>
      <c r="L3" s="2593"/>
      <c r="M3" s="2593"/>
      <c r="N3" s="2594"/>
      <c r="O3" s="1761"/>
      <c r="P3" s="2594"/>
      <c r="Q3" s="2594"/>
      <c r="R3" s="2594"/>
      <c r="S3" s="1868"/>
      <c r="T3" s="1931"/>
      <c r="U3" s="1931"/>
      <c r="V3" s="1931"/>
      <c r="W3" s="1931"/>
      <c r="X3" s="1931"/>
      <c r="Y3" s="1931"/>
      <c r="Z3" s="1931"/>
      <c r="AA3" s="1931"/>
      <c r="AB3" s="1931"/>
    </row>
    <row r="4" spans="1:28" ht="13.5" thickBot="1">
      <c r="A4" s="1250" t="s">
        <v>2915</v>
      </c>
      <c r="B4" s="2599" t="s">
        <v>3061</v>
      </c>
      <c r="C4" s="2600">
        <f ca="1">SUMIF(注册房地产估价师,B4,估价师及机构信息!B3:B24)</f>
        <v>1120050019</v>
      </c>
      <c r="D4" s="2599" t="s">
        <v>3062</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2"/>
      <c r="K4" s="2602" t="str">
        <f ca="1">CONCATENATE(B4,"（注册号：",C4,")、",D4,"（注册号：",E4,")")</f>
        <v>王鹏（注册号：1120050019)、郑燚（注册号：1120070131)</v>
      </c>
      <c r="L4" s="2593"/>
      <c r="M4" s="2593"/>
      <c r="N4" s="2594"/>
      <c r="O4" s="1761"/>
      <c r="P4" s="2594"/>
      <c r="Q4" s="2594"/>
      <c r="R4" s="2594"/>
      <c r="S4" s="1868"/>
      <c r="T4" s="1931"/>
      <c r="U4" s="1931"/>
      <c r="V4" s="1931"/>
      <c r="W4" s="1931"/>
      <c r="X4" s="1931"/>
      <c r="Y4" s="1931"/>
      <c r="Z4" s="1931"/>
      <c r="AA4" s="1931"/>
      <c r="AB4" s="1931"/>
    </row>
    <row r="5" spans="1:28" ht="13.5" thickTop="1">
      <c r="A5" s="2603" t="s">
        <v>2916</v>
      </c>
      <c r="B5" s="3082" t="s">
        <v>3063</v>
      </c>
      <c r="C5" s="2604"/>
      <c r="D5" s="2605"/>
      <c r="E5" s="2888"/>
      <c r="F5" s="2888"/>
      <c r="G5" s="2888"/>
      <c r="H5" s="2888"/>
      <c r="I5" s="2888"/>
      <c r="J5" s="2662"/>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2917</v>
      </c>
      <c r="B6" s="3083" t="s">
        <v>3064</v>
      </c>
      <c r="C6" s="2608"/>
      <c r="D6" s="2609"/>
      <c r="E6" s="2886"/>
      <c r="F6" s="2888"/>
      <c r="G6" s="2888"/>
      <c r="H6" s="2888"/>
      <c r="I6" s="2888"/>
      <c r="J6" s="2662"/>
      <c r="K6" s="2838" t="str">
        <f>IF(COUNTIF(B6,"*上海银行*"),"上海银行","")</f>
        <v/>
      </c>
      <c r="L6" s="2836"/>
      <c r="M6" s="2836"/>
      <c r="N6" s="2662"/>
      <c r="O6" s="2673"/>
      <c r="P6" s="2662"/>
      <c r="Q6" s="2662"/>
      <c r="R6" s="2662"/>
    </row>
    <row r="7" spans="1:28">
      <c r="A7" s="2606" t="s">
        <v>2918</v>
      </c>
      <c r="B7" s="2607" t="str">
        <f>B5</f>
        <v>准信智慧消防股份有限公司</v>
      </c>
      <c r="C7" s="2608"/>
      <c r="D7" s="2609"/>
      <c r="E7" s="2886"/>
      <c r="F7" s="2888"/>
      <c r="G7" s="2888"/>
      <c r="H7" s="2888"/>
      <c r="I7" s="2888"/>
      <c r="J7" s="2662"/>
      <c r="K7" s="2839"/>
      <c r="L7" s="2836"/>
      <c r="M7" s="2836"/>
      <c r="N7" s="2662"/>
      <c r="O7" s="2673"/>
      <c r="P7" s="2662"/>
      <c r="Q7" s="2662"/>
      <c r="R7" s="2662"/>
    </row>
    <row r="8" spans="1:28">
      <c r="A8" s="2610" t="s">
        <v>2919</v>
      </c>
      <c r="B8" s="2611" t="s">
        <v>3065</v>
      </c>
      <c r="C8" s="2612"/>
      <c r="D8" s="3149" t="s">
        <v>2920</v>
      </c>
      <c r="E8" s="2613" t="s">
        <v>3066</v>
      </c>
      <c r="F8" s="2614"/>
      <c r="G8" s="2887"/>
      <c r="H8" s="2887"/>
      <c r="I8" s="2887"/>
      <c r="J8" s="2662"/>
      <c r="K8" s="2837"/>
      <c r="L8" s="2836"/>
      <c r="M8" s="2836"/>
      <c r="N8" s="2662"/>
      <c r="O8" s="2673"/>
      <c r="P8" s="2662"/>
      <c r="Q8" s="2662"/>
      <c r="R8" s="2662"/>
    </row>
    <row r="9" spans="1:28" ht="13.5" thickBot="1">
      <c r="A9" s="2615" t="s">
        <v>2921</v>
      </c>
      <c r="B9" s="2616" t="s">
        <v>3066</v>
      </c>
      <c r="C9" s="2617"/>
      <c r="D9" s="3150"/>
      <c r="E9" s="2616"/>
      <c r="F9" s="2618"/>
      <c r="G9" s="2889"/>
      <c r="H9" s="2889"/>
      <c r="I9" s="2889"/>
      <c r="J9" s="2662"/>
      <c r="K9" s="2839"/>
      <c r="L9" s="2836"/>
      <c r="M9" s="2836"/>
      <c r="N9" s="2662"/>
      <c r="O9" s="2673"/>
      <c r="P9" s="2662"/>
      <c r="Q9" s="2662"/>
      <c r="R9" s="2662"/>
    </row>
    <row r="10" spans="1:28" ht="13.5" thickTop="1">
      <c r="A10" s="2619" t="s">
        <v>2922</v>
      </c>
      <c r="B10" s="2620" t="s">
        <v>3067</v>
      </c>
      <c r="C10" s="2621"/>
      <c r="D10" s="2605"/>
      <c r="E10" s="2622" t="s">
        <v>2923</v>
      </c>
      <c r="F10" s="2890" t="s">
        <v>3068</v>
      </c>
      <c r="G10" s="2891"/>
      <c r="H10" s="2892"/>
      <c r="I10" s="2893"/>
      <c r="J10" s="2662"/>
      <c r="K10" s="2839"/>
      <c r="L10" s="2836"/>
      <c r="M10" s="2836"/>
      <c r="N10" s="2662"/>
      <c r="O10" s="2673"/>
      <c r="P10" s="2662"/>
      <c r="Q10" s="2662"/>
      <c r="R10" s="2662"/>
    </row>
    <row r="11" spans="1:28">
      <c r="A11" s="2623" t="s">
        <v>2924</v>
      </c>
      <c r="B11" s="2624" t="s">
        <v>3070</v>
      </c>
      <c r="C11" s="3085" t="str">
        <f>B7</f>
        <v>准信智慧消防股份有限公司</v>
      </c>
      <c r="D11" s="2625"/>
      <c r="E11" s="2594"/>
      <c r="F11" s="2594"/>
      <c r="G11" s="2594"/>
      <c r="H11" s="2594"/>
      <c r="I11" s="2594"/>
      <c r="J11" s="2662"/>
      <c r="K11" s="2839"/>
      <c r="L11" s="2836"/>
      <c r="M11" s="2836"/>
      <c r="N11" s="2662"/>
      <c r="O11" s="2673"/>
      <c r="P11" s="2662"/>
      <c r="Q11" s="2662"/>
      <c r="R11" s="2662"/>
    </row>
    <row r="12" spans="1:28">
      <c r="A12" s="2626" t="s">
        <v>2925</v>
      </c>
      <c r="B12" s="2624" t="s">
        <v>3069</v>
      </c>
      <c r="C12" s="329" t="s">
        <v>2926</v>
      </c>
      <c r="D12" s="2627" t="s">
        <v>2927</v>
      </c>
      <c r="E12" s="2627" t="s">
        <v>2928</v>
      </c>
      <c r="F12" s="2627" t="s">
        <v>2929</v>
      </c>
      <c r="G12" s="2627" t="s">
        <v>2930</v>
      </c>
      <c r="H12" s="2627" t="s">
        <v>2931</v>
      </c>
      <c r="I12" s="2627" t="s">
        <v>2932</v>
      </c>
      <c r="J12" s="2662"/>
      <c r="K12" s="2839"/>
      <c r="L12" s="2836"/>
      <c r="M12" s="2836"/>
      <c r="N12" s="2662"/>
      <c r="O12" s="2673"/>
      <c r="P12" s="2662"/>
      <c r="Q12" s="2662"/>
      <c r="R12" s="2662"/>
    </row>
    <row r="13" spans="1:28" ht="15">
      <c r="A13" s="1241"/>
      <c r="B13" s="2628"/>
      <c r="C13" s="2629" t="s">
        <v>2933</v>
      </c>
      <c r="D13" s="965"/>
      <c r="E13" s="965"/>
      <c r="F13" s="3084">
        <v>56484</v>
      </c>
      <c r="G13" s="965"/>
      <c r="H13" s="965"/>
      <c r="I13" s="965"/>
      <c r="J13" s="2662"/>
      <c r="K13" s="2839"/>
      <c r="L13" s="2836"/>
      <c r="M13" s="2836"/>
      <c r="N13" s="2662"/>
      <c r="O13" s="2673"/>
      <c r="P13" s="2662"/>
      <c r="Q13" s="2662"/>
      <c r="R13" s="2662"/>
    </row>
    <row r="14" spans="1:28">
      <c r="A14" s="1241"/>
      <c r="B14" s="2628"/>
      <c r="C14" s="2629" t="s">
        <v>2934</v>
      </c>
      <c r="D14" s="2630"/>
      <c r="E14" s="2630"/>
      <c r="F14" s="2630">
        <v>50</v>
      </c>
      <c r="G14" s="2630"/>
      <c r="H14" s="2630"/>
      <c r="I14" s="2630"/>
      <c r="J14" s="2662"/>
      <c r="K14" s="2840"/>
      <c r="L14" s="2836"/>
      <c r="M14" s="2836"/>
      <c r="N14" s="2662"/>
      <c r="O14" s="2673"/>
      <c r="P14" s="2662"/>
      <c r="Q14" s="2662"/>
      <c r="R14" s="2662"/>
    </row>
    <row r="15" spans="1:28">
      <c r="A15" s="326"/>
      <c r="B15" s="2631"/>
      <c r="C15" s="2632" t="s">
        <v>2935</v>
      </c>
      <c r="D15" s="2633" t="str">
        <f>IF(B12="出让",IF(D13="","",ROUNDDOWN(MIN((D13-$D$3)/365,D14),2)),D14)</f>
        <v/>
      </c>
      <c r="E15" s="2633" t="str">
        <f>IF(B12="出让",IF(E13="","",ROUNDDOWN(MIN((E13-$D$3)/365,E14),2)),E14)</f>
        <v/>
      </c>
      <c r="F15" s="2633">
        <f>IF(B12="出让",IF(F13="","",ROUNDDOWN(MIN((F13-$D$3)/365,F14),2)),F14)</f>
        <v>33.18</v>
      </c>
      <c r="G15" s="2633" t="str">
        <f>IF(B12="出让",IF(G13="","",ROUNDDOWN(MIN((G13-$D$3)/365,G14),2)),G14)</f>
        <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2" t="s">
        <v>2936</v>
      </c>
      <c r="B16" s="3156" t="s">
        <v>3071</v>
      </c>
      <c r="C16" s="3157"/>
      <c r="D16" s="3158"/>
      <c r="E16" s="2636" t="s">
        <v>2937</v>
      </c>
      <c r="F16" s="3159" t="s">
        <v>3072</v>
      </c>
      <c r="G16" s="3160"/>
      <c r="H16" s="3160"/>
      <c r="I16" s="3161"/>
      <c r="J16" s="2662"/>
      <c r="K16" s="2841"/>
      <c r="L16" s="2674"/>
      <c r="M16" s="2674"/>
      <c r="N16" s="2732"/>
      <c r="O16" s="2674"/>
      <c r="P16" s="2732"/>
      <c r="Q16" s="2662"/>
      <c r="R16" s="2662"/>
    </row>
    <row r="17" spans="1:28">
      <c r="A17" s="319" t="s">
        <v>2938</v>
      </c>
      <c r="B17" s="308" t="s">
        <v>2939</v>
      </c>
      <c r="C17" s="11">
        <f>'数据-汇总表'!E3</f>
        <v>1141.77</v>
      </c>
      <c r="D17" s="2545" t="s">
        <v>2940</v>
      </c>
      <c r="E17" s="3162" t="s">
        <v>2941</v>
      </c>
      <c r="F17" s="3163"/>
      <c r="G17" s="3163"/>
      <c r="H17" s="3163"/>
      <c r="I17" s="3164"/>
      <c r="J17" s="2662"/>
      <c r="K17" s="2842"/>
      <c r="L17" s="2674"/>
      <c r="M17" s="2674"/>
      <c r="N17" s="2732"/>
      <c r="O17" s="2674"/>
      <c r="P17" s="2732"/>
      <c r="Q17" s="2662"/>
      <c r="R17" s="2662"/>
      <c r="S17" s="2662"/>
      <c r="T17" s="2662"/>
      <c r="U17" s="2662"/>
      <c r="V17" s="2662"/>
    </row>
    <row r="18" spans="1:28" ht="24.75" thickBot="1">
      <c r="A18" s="2637" t="s">
        <v>2942</v>
      </c>
      <c r="B18" s="1250" t="s">
        <v>2943</v>
      </c>
      <c r="C18" s="2638">
        <f>'数据-汇总表'!D3</f>
        <v>0</v>
      </c>
      <c r="D18" s="1252" t="s">
        <v>2944</v>
      </c>
      <c r="E18" s="3165" t="s">
        <v>2945</v>
      </c>
      <c r="F18" s="3166"/>
      <c r="G18" s="3166"/>
      <c r="H18" s="3166"/>
      <c r="I18" s="3167"/>
      <c r="J18" s="2662"/>
      <c r="K18" s="2842"/>
      <c r="L18" s="2674"/>
      <c r="M18" s="2674"/>
      <c r="N18" s="2732"/>
      <c r="O18" s="2674"/>
      <c r="P18" s="2732"/>
      <c r="Q18" s="2662"/>
      <c r="R18" s="2662"/>
      <c r="S18" s="2662"/>
      <c r="T18" s="2662"/>
      <c r="U18" s="2662"/>
      <c r="V18" s="2662"/>
    </row>
    <row r="19" spans="1:28" ht="37.5" thickTop="1" thickBot="1">
      <c r="A19" s="333" t="s">
        <v>1741</v>
      </c>
      <c r="B19" s="313" t="s">
        <v>2946</v>
      </c>
      <c r="C19" s="1748" t="s">
        <v>3073</v>
      </c>
      <c r="D19" s="1749" t="s">
        <v>2947</v>
      </c>
      <c r="E19" s="1750" t="s">
        <v>3073</v>
      </c>
      <c r="F19" s="1751" t="str">
        <f>IF(AND(C19="是",E19="否"),"是否提供他项权证或相关说明","")</f>
        <v/>
      </c>
      <c r="G19" s="1752"/>
      <c r="H19" s="2888"/>
      <c r="I19" s="2888"/>
      <c r="J19" s="2662"/>
      <c r="K19" s="2839"/>
      <c r="L19" s="2836"/>
      <c r="M19" s="2836"/>
      <c r="N19" s="2732"/>
      <c r="O19" s="2674"/>
      <c r="P19" s="2732"/>
      <c r="Q19" s="2662"/>
      <c r="R19" s="2662"/>
      <c r="S19" s="2662"/>
      <c r="T19" s="2662"/>
      <c r="U19" s="2662"/>
      <c r="V19" s="2662"/>
    </row>
    <row r="20" spans="1:28">
      <c r="A20" s="2856" t="s">
        <v>2948</v>
      </c>
      <c r="B20" s="3152" t="s">
        <v>2949</v>
      </c>
      <c r="C20" s="3153"/>
      <c r="D20" s="3154" t="s">
        <v>2950</v>
      </c>
      <c r="E20" s="3155"/>
      <c r="F20" s="2871" t="s">
        <v>1742</v>
      </c>
      <c r="G20" s="2888"/>
      <c r="H20" s="2888"/>
      <c r="I20" s="2888"/>
      <c r="J20" s="2662"/>
      <c r="K20" s="3151" t="s">
        <v>2951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3"/>
      <c r="N20" s="2635"/>
      <c r="O20" s="2634"/>
      <c r="P20" s="2635"/>
      <c r="Q20" s="2594"/>
      <c r="R20" s="2594"/>
      <c r="S20" s="2594"/>
      <c r="T20" s="2594"/>
      <c r="U20" s="2594"/>
      <c r="V20" s="2594"/>
      <c r="W20" s="1931"/>
      <c r="X20" s="1931"/>
      <c r="Y20" s="1931"/>
      <c r="Z20" s="1931"/>
      <c r="AA20" s="1931"/>
      <c r="AB20" s="1931"/>
    </row>
    <row r="21" spans="1:28" ht="24.75" thickBot="1">
      <c r="A21" s="2856"/>
      <c r="B21" s="2857" t="s">
        <v>2952</v>
      </c>
      <c r="C21" s="2858" t="s">
        <v>1743</v>
      </c>
      <c r="D21" s="1753" t="s">
        <v>2953</v>
      </c>
      <c r="E21" s="2859" t="s">
        <v>1743</v>
      </c>
      <c r="F21" s="2872"/>
      <c r="G21" s="2888"/>
      <c r="H21" s="2888"/>
      <c r="I21" s="2888"/>
      <c r="J21" s="2662"/>
      <c r="K21" s="315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593"/>
      <c r="N21" s="2635"/>
      <c r="O21" s="2634"/>
      <c r="P21" s="2635"/>
      <c r="Q21" s="2594"/>
      <c r="R21" s="2594"/>
      <c r="S21" s="2594"/>
      <c r="T21" s="2594"/>
      <c r="U21" s="2594"/>
      <c r="V21" s="2594"/>
      <c r="W21" s="1931"/>
      <c r="X21" s="1931"/>
      <c r="Y21" s="1931"/>
      <c r="Z21" s="1931"/>
      <c r="AA21" s="1931"/>
      <c r="AB21" s="1931"/>
    </row>
    <row r="22" spans="1:28" ht="24.75" thickBot="1">
      <c r="A22" s="2856"/>
      <c r="B22" s="2860" t="s">
        <v>2954</v>
      </c>
      <c r="C22" s="2858" t="s">
        <v>1744</v>
      </c>
      <c r="D22" s="2887"/>
      <c r="E22" s="2887"/>
      <c r="F22" s="2887"/>
      <c r="G22" s="2888"/>
      <c r="H22" s="2888"/>
      <c r="I22" s="2888"/>
      <c r="J22" s="2662"/>
      <c r="K22" s="315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5"/>
      <c r="O22" s="2634"/>
      <c r="P22" s="2635"/>
      <c r="Q22" s="2594"/>
      <c r="R22" s="2594"/>
      <c r="S22" s="2594"/>
      <c r="T22" s="2594"/>
      <c r="U22" s="2594"/>
      <c r="V22" s="2594"/>
      <c r="W22" s="1931"/>
      <c r="X22" s="1931"/>
      <c r="Y22" s="1931"/>
      <c r="Z22" s="1931"/>
      <c r="AA22" s="1931"/>
      <c r="AB22" s="1931"/>
    </row>
    <row r="23" spans="1:28">
      <c r="A23" s="2861" t="s">
        <v>2955</v>
      </c>
      <c r="B23" s="2725" t="s">
        <v>2956</v>
      </c>
      <c r="C23" s="2862"/>
      <c r="D23" s="2863" t="s">
        <v>2956</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69" t="s">
        <v>2957</v>
      </c>
      <c r="B27" s="326" t="s">
        <v>2958</v>
      </c>
      <c r="C27" s="2639" t="s">
        <v>3074</v>
      </c>
      <c r="D27" s="2640"/>
      <c r="E27" s="2888"/>
      <c r="F27" s="2888"/>
      <c r="G27" s="2888"/>
      <c r="H27" s="2888"/>
      <c r="I27" s="2888"/>
      <c r="J27" s="2662"/>
      <c r="K27" s="2841"/>
      <c r="L27" s="2674"/>
      <c r="M27" s="2674"/>
      <c r="N27" s="2732"/>
      <c r="O27" s="2674"/>
      <c r="P27" s="2732"/>
      <c r="Q27" s="2662"/>
      <c r="R27" s="2662"/>
      <c r="S27" s="2662"/>
      <c r="T27" s="2662"/>
      <c r="U27" s="2662"/>
      <c r="V27" s="2662"/>
    </row>
    <row r="28" spans="1:28">
      <c r="A28" s="3169"/>
      <c r="B28" s="308" t="s">
        <v>2959</v>
      </c>
      <c r="C28" s="2641" t="s">
        <v>3075</v>
      </c>
      <c r="D28" s="2642"/>
      <c r="E28" s="2888"/>
      <c r="F28" s="2888"/>
      <c r="G28" s="2888"/>
      <c r="H28" s="2888"/>
      <c r="I28" s="2888"/>
      <c r="J28" s="2662"/>
      <c r="K28" s="2839"/>
      <c r="L28" s="2836"/>
      <c r="M28" s="2836"/>
      <c r="N28" s="2662"/>
      <c r="O28" s="2673"/>
      <c r="P28" s="2662"/>
      <c r="Q28" s="2662"/>
      <c r="R28" s="2662"/>
      <c r="S28" s="2662"/>
      <c r="T28" s="2662"/>
      <c r="U28" s="2662"/>
      <c r="V28" s="2662"/>
    </row>
    <row r="29" spans="1:28">
      <c r="A29" s="3169"/>
      <c r="B29" s="308" t="s">
        <v>2960</v>
      </c>
      <c r="C29" s="2643" t="s">
        <v>3076</v>
      </c>
      <c r="D29" s="2644"/>
      <c r="E29" s="2888"/>
      <c r="F29" s="2888"/>
      <c r="G29" s="2888"/>
      <c r="H29" s="2888"/>
      <c r="I29" s="2888"/>
      <c r="J29" s="2662"/>
      <c r="K29" s="2839"/>
      <c r="L29" s="2836"/>
      <c r="M29" s="2836"/>
      <c r="N29" s="2662"/>
      <c r="O29" s="2673"/>
      <c r="P29" s="2662"/>
      <c r="Q29" s="2662"/>
      <c r="R29" s="2662"/>
      <c r="S29" s="2662"/>
      <c r="T29" s="2662"/>
      <c r="U29" s="2662"/>
      <c r="V29" s="2662"/>
    </row>
    <row r="30" spans="1:28">
      <c r="A30" s="3170"/>
      <c r="B30" s="308" t="s">
        <v>2961</v>
      </c>
      <c r="C30" s="3171"/>
      <c r="D30" s="3172"/>
      <c r="E30" s="2888"/>
      <c r="F30" s="2888"/>
      <c r="G30" s="2888"/>
      <c r="H30" s="2888"/>
      <c r="I30" s="2888"/>
      <c r="J30" s="2662"/>
      <c r="K30" s="2839"/>
      <c r="L30" s="2836"/>
      <c r="M30" s="2836"/>
      <c r="N30" s="2662"/>
      <c r="O30" s="2673"/>
      <c r="P30" s="2662"/>
      <c r="Q30" s="2662"/>
      <c r="R30" s="2662"/>
      <c r="S30" s="2662"/>
      <c r="T30" s="2662"/>
      <c r="U30" s="2662"/>
      <c r="V30" s="2662"/>
    </row>
    <row r="31" spans="1:28">
      <c r="A31" s="3173" t="s">
        <v>2962</v>
      </c>
      <c r="B31" s="2645" t="s">
        <v>3077</v>
      </c>
      <c r="C31" s="2546" t="str">
        <f>IF(B31="现房","成新及维护状况正常否",IF(B31="在建","工程状态是否正常",IF(B31="土地","是否闲置","-")))</f>
        <v>成新及维护状况正常否</v>
      </c>
      <c r="D31" s="1557"/>
      <c r="E31" s="2646"/>
      <c r="F31" s="2888"/>
      <c r="G31" s="2888"/>
      <c r="H31" s="2888"/>
      <c r="I31" s="2888"/>
      <c r="J31" s="2662"/>
      <c r="K31" s="2838"/>
      <c r="L31" s="2836"/>
      <c r="M31" s="2836"/>
      <c r="N31" s="2662"/>
      <c r="O31" s="2673"/>
      <c r="P31" s="2662"/>
      <c r="Q31" s="2662"/>
      <c r="R31" s="2662"/>
      <c r="S31" s="2662"/>
      <c r="T31" s="2662"/>
      <c r="U31" s="2662"/>
      <c r="V31" s="2662"/>
    </row>
    <row r="32" spans="1:28">
      <c r="A32" s="3174"/>
      <c r="B32" s="2645"/>
      <c r="C32" s="2546" t="str">
        <f>IF(B32="现房","成新及维护状况是否正常",IF(B32="在建","工程状态是否正常",IF(B32="土地","是否闲置","-")))</f>
        <v>-</v>
      </c>
      <c r="D32" s="1557"/>
      <c r="E32" s="2646"/>
      <c r="F32" s="2888"/>
      <c r="G32" s="2888"/>
      <c r="H32" s="2888"/>
      <c r="I32" s="2888"/>
      <c r="J32" s="2662"/>
      <c r="K32" s="2839"/>
      <c r="L32" s="2836"/>
      <c r="M32" s="2836"/>
      <c r="N32" s="2662"/>
      <c r="O32" s="2673"/>
      <c r="P32" s="2662"/>
      <c r="Q32" s="2662"/>
      <c r="R32" s="2662"/>
      <c r="S32" s="2662"/>
      <c r="T32" s="2662"/>
      <c r="U32" s="2662"/>
      <c r="V32" s="2662"/>
    </row>
    <row r="33" spans="1:30">
      <c r="A33" s="3174"/>
      <c r="B33" s="2648"/>
      <c r="C33" s="1775" t="str">
        <f>IF(B33="现房","成新及维护状况是否正常",IF(B33="在建","工程状态是否正常",IF(B33="土地","是否闲置","-")))</f>
        <v>-</v>
      </c>
      <c r="D33" s="1549"/>
      <c r="E33" s="2649"/>
      <c r="F33" s="2888"/>
      <c r="G33" s="2888"/>
      <c r="H33" s="2888"/>
      <c r="I33" s="2888"/>
      <c r="J33" s="2662"/>
      <c r="K33" s="2839"/>
      <c r="L33" s="2836"/>
      <c r="M33" s="2836"/>
      <c r="N33" s="2662"/>
      <c r="O33" s="2673"/>
      <c r="P33" s="2662"/>
      <c r="Q33" s="2662"/>
      <c r="R33" s="2662"/>
      <c r="S33" s="2662"/>
      <c r="T33" s="2662"/>
      <c r="U33" s="2662"/>
      <c r="V33" s="2662"/>
    </row>
    <row r="34" spans="1:30">
      <c r="A34" s="308" t="s">
        <v>2963</v>
      </c>
      <c r="B34" s="2214" t="s">
        <v>3078</v>
      </c>
      <c r="C34" s="2214" t="s">
        <v>3079</v>
      </c>
      <c r="D34" s="2214" t="s">
        <v>3080</v>
      </c>
      <c r="E34" s="2214" t="s">
        <v>3081</v>
      </c>
      <c r="F34" s="2214" t="s">
        <v>3082</v>
      </c>
      <c r="G34" s="2214"/>
      <c r="H34" s="2214"/>
      <c r="I34" s="2888"/>
      <c r="J34" s="2662"/>
      <c r="K34" s="2650">
        <f>COUNTIF(B34:H34,"——")</f>
        <v>0</v>
      </c>
      <c r="L34" s="329" t="s">
        <v>2964</v>
      </c>
      <c r="M34" s="329" t="s">
        <v>2965</v>
      </c>
      <c r="N34" s="329" t="s">
        <v>2966</v>
      </c>
      <c r="O34" s="329" t="s">
        <v>2967</v>
      </c>
      <c r="P34" s="329" t="s">
        <v>2968</v>
      </c>
      <c r="Q34" s="329" t="s">
        <v>2969</v>
      </c>
      <c r="R34" s="329" t="s">
        <v>2970</v>
      </c>
      <c r="S34" s="3168" t="s">
        <v>2971</v>
      </c>
      <c r="T34" s="2651" t="str">
        <f>NUMBERSTRING(7-K34,1)&amp;"通"</f>
        <v>七通</v>
      </c>
      <c r="U34" s="2662"/>
      <c r="V34" s="2662"/>
    </row>
    <row r="35" spans="1:30">
      <c r="A35" s="2652"/>
      <c r="B35" s="3175" t="s">
        <v>2972</v>
      </c>
      <c r="C35" s="3175"/>
      <c r="D35" s="3175"/>
      <c r="E35" s="3175"/>
      <c r="F35" s="673">
        <f>C10</f>
        <v>0</v>
      </c>
      <c r="G35" s="2888"/>
      <c r="H35" s="2888"/>
      <c r="I35" s="2888"/>
      <c r="J35" s="266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68"/>
      <c r="T35" s="335" t="str">
        <f>IF(T34="一通",L35,IF(T34="二通",M35,IF(T34="三通",N35,IF(T34="四通",O35,IF(T34="五通",P35,IF(T34="六通",Q35,R35))))))</f>
        <v>通路、通电、通讯、通上水、通下水、、</v>
      </c>
      <c r="U35" s="2662"/>
      <c r="V35" s="2662"/>
    </row>
    <row r="36" spans="1:30">
      <c r="A36" s="2653"/>
      <c r="B36" s="673" t="s">
        <v>2928</v>
      </c>
      <c r="C36" s="673" t="s">
        <v>2929</v>
      </c>
      <c r="D36" s="673" t="s">
        <v>2927</v>
      </c>
      <c r="E36" s="673" t="s">
        <v>2932</v>
      </c>
      <c r="F36" s="2894"/>
      <c r="G36" s="2888"/>
      <c r="H36" s="2888"/>
      <c r="I36" s="2888"/>
      <c r="J36" s="2662"/>
      <c r="K36" s="2839"/>
      <c r="L36" s="2836"/>
      <c r="M36" s="2836"/>
      <c r="N36" s="2662"/>
      <c r="O36" s="2673"/>
      <c r="P36" s="2662"/>
      <c r="Q36" s="2662"/>
      <c r="R36" s="2662"/>
      <c r="S36" s="2662"/>
      <c r="T36" s="2662"/>
      <c r="U36" s="2662"/>
      <c r="V36" s="2662"/>
    </row>
    <row r="37" spans="1:30">
      <c r="A37" s="2854" t="s">
        <v>2973</v>
      </c>
      <c r="B37" s="2654"/>
      <c r="C37" s="2654"/>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2974</v>
      </c>
      <c r="B38" s="2655"/>
      <c r="C38" s="2655"/>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2975</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4"/>
      <c r="B40" s="2594"/>
      <c r="C40" s="2594"/>
      <c r="D40" s="2594"/>
      <c r="E40" s="2594"/>
      <c r="F40" s="2594"/>
      <c r="G40" s="2594"/>
      <c r="H40" s="2594"/>
      <c r="I40" s="1763"/>
      <c r="J40" s="2732"/>
      <c r="K40" s="2838"/>
      <c r="L40" s="2674"/>
      <c r="M40" s="2674"/>
      <c r="N40" s="2732"/>
      <c r="O40" s="2674"/>
      <c r="P40" s="2662"/>
      <c r="Q40" s="2662"/>
      <c r="R40" s="2662"/>
      <c r="S40" s="2662"/>
      <c r="T40" s="2662"/>
      <c r="U40" s="2662"/>
      <c r="V40" s="2662"/>
    </row>
    <row r="41" spans="1:30">
      <c r="A41" s="2659" t="s">
        <v>2976</v>
      </c>
      <c r="B41" s="1943"/>
      <c r="C41" s="1557"/>
      <c r="D41" s="2594"/>
      <c r="E41" s="2594"/>
      <c r="F41" s="2594"/>
      <c r="G41" s="2594"/>
      <c r="H41" s="2594"/>
      <c r="I41" s="1761"/>
      <c r="J41" s="2662"/>
      <c r="K41" s="2839"/>
      <c r="L41" s="2836"/>
      <c r="M41" s="2836"/>
      <c r="N41" s="2662"/>
      <c r="O41" s="2673"/>
      <c r="P41" s="2662"/>
      <c r="Q41" s="2662"/>
      <c r="R41" s="2662"/>
      <c r="S41" s="2662"/>
      <c r="T41" s="2662"/>
      <c r="U41" s="2662"/>
      <c r="V41" s="2662"/>
    </row>
    <row r="42" spans="1:30" ht="25.5">
      <c r="A42" s="329" t="s">
        <v>2977</v>
      </c>
      <c r="B42" s="11" t="s">
        <v>2978</v>
      </c>
      <c r="C42" s="11" t="s">
        <v>2979</v>
      </c>
      <c r="D42" s="11" t="s">
        <v>2980</v>
      </c>
      <c r="E42" s="11" t="s">
        <v>2981</v>
      </c>
      <c r="F42" s="11" t="s">
        <v>2982</v>
      </c>
      <c r="G42" s="11" t="s">
        <v>2983</v>
      </c>
      <c r="H42" s="11" t="s">
        <v>2984</v>
      </c>
      <c r="I42" s="11" t="s">
        <v>2985</v>
      </c>
      <c r="J42" s="2850" t="s">
        <v>2986</v>
      </c>
      <c r="K42" s="2851" t="s">
        <v>2987</v>
      </c>
      <c r="L42" s="2851" t="s">
        <v>2988</v>
      </c>
      <c r="M42" s="2851" t="s">
        <v>2989</v>
      </c>
      <c r="N42" s="2844" t="s">
        <v>2990</v>
      </c>
      <c r="O42" s="2844" t="s">
        <v>2991</v>
      </c>
      <c r="P42" s="2844" t="s">
        <v>2992</v>
      </c>
      <c r="Q42" s="2845" t="s">
        <v>2993</v>
      </c>
      <c r="R42" s="2845" t="s">
        <v>2994</v>
      </c>
      <c r="S42" s="2662"/>
      <c r="T42" s="2662"/>
      <c r="U42" s="2662"/>
      <c r="V42" s="2662"/>
    </row>
    <row r="43" spans="1:30" s="1929" customFormat="1">
      <c r="A43" s="1755"/>
      <c r="B43" s="1182"/>
      <c r="C43" s="1182"/>
      <c r="D43" s="1182"/>
      <c r="E43" s="1182"/>
      <c r="F43" s="1182"/>
      <c r="G43" s="1182"/>
      <c r="H43" s="1182"/>
      <c r="I43" s="1182"/>
      <c r="J43" s="2660"/>
      <c r="K43" s="2661"/>
      <c r="L43" s="2661"/>
      <c r="M43" s="1182"/>
      <c r="N43" s="1182"/>
      <c r="O43" s="1182"/>
      <c r="P43" s="1182"/>
      <c r="Q43" s="1182"/>
      <c r="R43" s="1182"/>
      <c r="S43" s="2662"/>
      <c r="T43" s="2662"/>
      <c r="U43" s="2662"/>
      <c r="V43" s="2662"/>
    </row>
    <row r="44" spans="1:30" s="1929" customFormat="1">
      <c r="A44" s="1755"/>
      <c r="B44" s="1755"/>
      <c r="C44" s="1182"/>
      <c r="D44" s="1182"/>
      <c r="E44" s="1182"/>
      <c r="F44" s="1182"/>
      <c r="G44" s="1182"/>
      <c r="H44" s="1182"/>
      <c r="I44" s="1182"/>
      <c r="J44" s="2660"/>
      <c r="K44" s="2661"/>
      <c r="L44" s="2661"/>
      <c r="M44" s="1182"/>
      <c r="N44" s="1182"/>
      <c r="O44" s="1182"/>
      <c r="P44" s="1182"/>
      <c r="Q44" s="1182"/>
      <c r="R44" s="1182"/>
      <c r="S44" s="2662"/>
      <c r="T44" s="2662"/>
      <c r="U44" s="2662"/>
      <c r="V44" s="2662"/>
    </row>
    <row r="45" spans="1:30" s="1929" customFormat="1">
      <c r="A45" s="1755"/>
      <c r="B45" s="1755"/>
      <c r="C45" s="1182"/>
      <c r="D45" s="1182"/>
      <c r="E45" s="1182"/>
      <c r="F45" s="1182"/>
      <c r="G45" s="1182"/>
      <c r="H45" s="1182"/>
      <c r="I45" s="1182"/>
      <c r="J45" s="2660"/>
      <c r="K45" s="2661"/>
      <c r="L45" s="2661"/>
      <c r="M45" s="1182"/>
      <c r="N45" s="1182"/>
      <c r="O45" s="1182"/>
      <c r="P45" s="1182"/>
      <c r="Q45" s="1182"/>
      <c r="R45" s="1182"/>
      <c r="S45" s="2662"/>
      <c r="T45" s="2662"/>
      <c r="U45" s="2662"/>
      <c r="V45" s="2662"/>
    </row>
    <row r="46" spans="1:30" s="1929" customFormat="1">
      <c r="A46" s="1755"/>
      <c r="B46" s="1755"/>
      <c r="C46" s="1182"/>
      <c r="D46" s="1182"/>
      <c r="E46" s="1182"/>
      <c r="F46" s="1182"/>
      <c r="G46" s="1182"/>
      <c r="H46" s="1182"/>
      <c r="I46" s="1182"/>
      <c r="J46" s="2660"/>
      <c r="K46" s="2661"/>
      <c r="L46" s="2661"/>
      <c r="M46" s="1182"/>
      <c r="N46" s="1182"/>
      <c r="O46" s="1182"/>
      <c r="P46" s="1182"/>
      <c r="Q46" s="1182"/>
      <c r="R46" s="1182"/>
      <c r="S46" s="2662"/>
      <c r="T46" s="2662"/>
      <c r="U46" s="2662"/>
      <c r="V46" s="2662"/>
    </row>
    <row r="47" spans="1:30" s="1929" customFormat="1">
      <c r="A47" s="1755"/>
      <c r="B47" s="1755"/>
      <c r="C47" s="1182"/>
      <c r="D47" s="1182"/>
      <c r="E47" s="1182"/>
      <c r="F47" s="1182"/>
      <c r="G47" s="1182"/>
      <c r="H47" s="1182"/>
      <c r="I47" s="1182"/>
      <c r="J47" s="2660"/>
      <c r="K47" s="2661"/>
      <c r="L47" s="2661"/>
      <c r="M47" s="1182"/>
      <c r="N47" s="1182"/>
      <c r="O47" s="1182"/>
      <c r="P47" s="1182"/>
      <c r="Q47" s="1182"/>
      <c r="R47" s="1182"/>
      <c r="S47" s="2662"/>
      <c r="T47" s="2662"/>
      <c r="U47" s="2662"/>
      <c r="V47" s="2662"/>
    </row>
    <row r="48" spans="1:30" s="1929" customFormat="1">
      <c r="A48" s="1755"/>
      <c r="B48" s="1755"/>
      <c r="C48" s="1182"/>
      <c r="D48" s="1182"/>
      <c r="E48" s="1182"/>
      <c r="F48" s="1182"/>
      <c r="G48" s="1182"/>
      <c r="H48" s="1182"/>
      <c r="I48" s="1182"/>
      <c r="J48" s="2660"/>
      <c r="K48" s="2661"/>
      <c r="L48" s="2661"/>
      <c r="M48" s="1182"/>
      <c r="N48" s="1182"/>
      <c r="O48" s="1182"/>
      <c r="P48" s="1182"/>
      <c r="Q48" s="1182"/>
      <c r="R48" s="1182"/>
      <c r="S48" s="2662"/>
      <c r="T48" s="2662"/>
      <c r="U48" s="2662"/>
      <c r="V48" s="2662"/>
    </row>
    <row r="49" spans="1:22" s="1929" customFormat="1">
      <c r="A49" s="1755"/>
      <c r="B49" s="1755"/>
      <c r="C49" s="1182"/>
      <c r="D49" s="1182"/>
      <c r="E49" s="1182"/>
      <c r="F49" s="1182"/>
      <c r="G49" s="1182"/>
      <c r="H49" s="1182"/>
      <c r="I49" s="1182"/>
      <c r="J49" s="2660"/>
      <c r="K49" s="2661"/>
      <c r="L49" s="2661"/>
      <c r="M49" s="1182"/>
      <c r="N49" s="1182"/>
      <c r="O49" s="1182"/>
      <c r="P49" s="1182"/>
      <c r="Q49" s="1182"/>
      <c r="R49" s="1182"/>
      <c r="S49" s="2662"/>
      <c r="T49" s="2662"/>
      <c r="U49" s="2662"/>
      <c r="V49" s="2662"/>
    </row>
    <row r="50" spans="1:22" s="1929" customFormat="1">
      <c r="A50" s="1755"/>
      <c r="B50" s="1755"/>
      <c r="C50" s="1182"/>
      <c r="D50" s="1182"/>
      <c r="E50" s="1182"/>
      <c r="F50" s="1182"/>
      <c r="G50" s="1182"/>
      <c r="H50" s="1182"/>
      <c r="I50" s="1182"/>
      <c r="J50" s="2660"/>
      <c r="K50" s="2661"/>
      <c r="L50" s="2661"/>
      <c r="M50" s="1182"/>
      <c r="N50" s="1182"/>
      <c r="O50" s="1182"/>
      <c r="P50" s="1182"/>
      <c r="Q50" s="1182"/>
      <c r="R50" s="1182"/>
      <c r="S50" s="2662"/>
      <c r="T50" s="2662"/>
      <c r="U50" s="2662"/>
      <c r="V50" s="2662"/>
    </row>
    <row r="51" spans="1:22" s="1929" customFormat="1">
      <c r="A51" s="1755"/>
      <c r="B51" s="1755"/>
      <c r="C51" s="1182"/>
      <c r="D51" s="1182"/>
      <c r="E51" s="1182"/>
      <c r="F51" s="1182"/>
      <c r="G51" s="1182"/>
      <c r="H51" s="1182"/>
      <c r="I51" s="1182"/>
      <c r="J51" s="2660"/>
      <c r="K51" s="2661"/>
      <c r="L51" s="2661"/>
      <c r="M51" s="1182"/>
      <c r="N51" s="1182"/>
      <c r="O51" s="1182"/>
      <c r="P51" s="1182"/>
      <c r="Q51" s="1182"/>
      <c r="R51" s="1182"/>
    </row>
    <row r="52" spans="1:22" s="1929" customFormat="1">
      <c r="A52" s="1755"/>
      <c r="B52" s="1755"/>
      <c r="C52" s="1755"/>
      <c r="D52" s="1755"/>
      <c r="E52" s="1755"/>
      <c r="F52" s="1182"/>
      <c r="G52" s="1755"/>
      <c r="H52" s="1755"/>
      <c r="I52" s="1755"/>
      <c r="J52" s="2663"/>
      <c r="K52" s="2661"/>
      <c r="L52" s="2661"/>
      <c r="M52" s="2661"/>
      <c r="N52" s="1755"/>
      <c r="O52" s="1755"/>
      <c r="P52" s="1755"/>
      <c r="Q52" s="1755"/>
      <c r="R52" s="1755"/>
    </row>
    <row r="53" spans="1:22" s="1929" customFormat="1">
      <c r="A53" s="1755"/>
      <c r="B53" s="1755"/>
      <c r="C53" s="1755"/>
      <c r="D53" s="1755"/>
      <c r="E53" s="1755"/>
      <c r="F53" s="1182"/>
      <c r="G53" s="1755"/>
      <c r="H53" s="1755"/>
      <c r="I53" s="1755"/>
      <c r="J53" s="2663"/>
      <c r="K53" s="2661"/>
      <c r="L53" s="2661"/>
      <c r="M53" s="2661"/>
      <c r="N53" s="1755"/>
      <c r="O53" s="1755"/>
      <c r="P53" s="1755"/>
      <c r="Q53" s="1755"/>
      <c r="R53" s="1755"/>
    </row>
    <row r="54" spans="1:22" s="1929" customFormat="1">
      <c r="A54" s="1755"/>
      <c r="B54" s="1755"/>
      <c r="C54" s="1755"/>
      <c r="D54" s="1755"/>
      <c r="E54" s="1755"/>
      <c r="F54" s="1182"/>
      <c r="G54" s="1755"/>
      <c r="H54" s="1755"/>
      <c r="I54" s="1755"/>
      <c r="J54" s="2663"/>
      <c r="K54" s="2661"/>
      <c r="L54" s="2661"/>
      <c r="M54" s="2661"/>
      <c r="N54" s="1755"/>
      <c r="O54" s="1755"/>
      <c r="P54" s="1755"/>
      <c r="Q54" s="1755"/>
      <c r="R54" s="1755"/>
    </row>
    <row r="55" spans="1:22" s="1929" customFormat="1">
      <c r="A55" s="1755"/>
      <c r="B55" s="1755"/>
      <c r="C55" s="1755"/>
      <c r="D55" s="1755"/>
      <c r="E55" s="1755"/>
      <c r="F55" s="1182"/>
      <c r="G55" s="1755"/>
      <c r="H55" s="1755"/>
      <c r="I55" s="1755"/>
      <c r="J55" s="2663"/>
      <c r="K55" s="2661"/>
      <c r="L55" s="2661"/>
      <c r="M55" s="2661"/>
      <c r="N55" s="1755"/>
      <c r="O55" s="1755"/>
      <c r="P55" s="1755"/>
      <c r="Q55" s="1755"/>
      <c r="R55" s="1755"/>
    </row>
    <row r="56" spans="1:22" s="1929" customFormat="1">
      <c r="A56" s="1755"/>
      <c r="B56" s="1755"/>
      <c r="C56" s="1755"/>
      <c r="D56" s="1755"/>
      <c r="E56" s="1755"/>
      <c r="F56" s="1182"/>
      <c r="G56" s="1755"/>
      <c r="H56" s="1755"/>
      <c r="I56" s="1755"/>
      <c r="J56" s="2663"/>
      <c r="K56" s="2661"/>
      <c r="L56" s="2661"/>
      <c r="M56" s="2661"/>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1"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2" width="9.5" style="1758" customWidth="1"/>
    <col min="13"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1141.77</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1141.77</v>
      </c>
      <c r="H5" s="16">
        <f t="shared" ref="H5:AT5" si="0">SUM(H13:H656)</f>
        <v>1141.77</v>
      </c>
      <c r="I5" s="16">
        <f t="shared" si="0"/>
        <v>1141.77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1141.77</v>
      </c>
      <c r="BA5" s="18">
        <f t="shared" si="1"/>
        <v>1141.77</v>
      </c>
      <c r="BB5" s="18">
        <f t="shared" si="1"/>
        <v>1141.77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3102</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3103</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51">
      <c r="A13" s="1182" t="s">
        <v>3083</v>
      </c>
      <c r="B13" s="1182" t="s">
        <v>3084</v>
      </c>
      <c r="C13" s="1182" t="s">
        <v>3085</v>
      </c>
      <c r="D13" s="1810" t="s">
        <v>3073</v>
      </c>
      <c r="E13" s="16">
        <f>IF($C$3="是",ROUND($A$3*G13/$B$3,2),ROUND($A$3*(G13-AT13)/$B$3,2))</f>
        <v>0</v>
      </c>
      <c r="F13" s="32"/>
      <c r="G13" s="33">
        <f>H13+AC13+AT13</f>
        <v>103.53</v>
      </c>
      <c r="H13" s="20">
        <f>SUMIF(I$12:AB$12,"总值",I13:AB13)</f>
        <v>103.53</v>
      </c>
      <c r="I13" s="1811">
        <v>103.53</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t="str">
        <f t="shared" ref="AV13:AX17" si="6">A13</f>
        <v>京（2017）西不动产权第0026866号</v>
      </c>
      <c r="AW13" s="11" t="str">
        <f t="shared" si="6"/>
        <v>不动产权证书</v>
      </c>
      <c r="AX13" s="11" t="str">
        <f t="shared" si="6"/>
        <v>17层19C5</v>
      </c>
      <c r="AY13" s="1533">
        <f>ROUND($AY$6*AZ13/$AZ$5,2)</f>
        <v>0</v>
      </c>
      <c r="AZ13" s="16">
        <f>BA13+BL13</f>
        <v>103.53</v>
      </c>
      <c r="BA13" s="16">
        <f>SUM(BB13:BK13)</f>
        <v>103.53</v>
      </c>
      <c r="BB13" s="16">
        <f>IF($D13="是",I13-J13,0)</f>
        <v>103.53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51">
      <c r="A14" s="1182" t="s">
        <v>3086</v>
      </c>
      <c r="B14" s="1182" t="s">
        <v>3084</v>
      </c>
      <c r="C14" s="1755" t="s">
        <v>3087</v>
      </c>
      <c r="D14" s="1810" t="s">
        <v>3073</v>
      </c>
      <c r="E14" s="16">
        <f>IF($C$3="是",ROUND($A$3*G14/$B$3,2),ROUND($A$3*(G14-AT14)/$B$3,2))</f>
        <v>0</v>
      </c>
      <c r="F14" s="32"/>
      <c r="G14" s="33">
        <f>H14+AC14+AT14</f>
        <v>152.62</v>
      </c>
      <c r="H14" s="20">
        <f>SUMIF(I$12:AB$12,"总值",I14:AB14)</f>
        <v>152.62</v>
      </c>
      <c r="I14" s="1811">
        <v>152.62</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t="str">
        <f t="shared" si="6"/>
        <v>京（2017）西不动产权第0026867号</v>
      </c>
      <c r="AW14" s="11" t="str">
        <f t="shared" si="6"/>
        <v>不动产权证书</v>
      </c>
      <c r="AX14" s="11" t="str">
        <f t="shared" si="6"/>
        <v>17层19C6</v>
      </c>
      <c r="AY14" s="1533">
        <f>ROUND($AY$6*AZ14/$AZ$5,2)</f>
        <v>0</v>
      </c>
      <c r="AZ14" s="16">
        <f>BA14+BL14</f>
        <v>152.62</v>
      </c>
      <c r="BA14" s="16">
        <f>SUM(BB14:BK14)</f>
        <v>152.62</v>
      </c>
      <c r="BB14" s="16">
        <f>IF($D14="是",I14-J14,0)</f>
        <v>152.62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51">
      <c r="A15" s="1182" t="s">
        <v>3088</v>
      </c>
      <c r="B15" s="1182" t="s">
        <v>3084</v>
      </c>
      <c r="C15" s="1755" t="s">
        <v>3089</v>
      </c>
      <c r="D15" s="1810" t="s">
        <v>3073</v>
      </c>
      <c r="E15" s="16">
        <f>IF($C$3="是",ROUND($A$3*G15/$B$3,2),ROUND($A$3*(G15-AT15)/$B$3,2))</f>
        <v>0</v>
      </c>
      <c r="F15" s="32"/>
      <c r="G15" s="33">
        <f>H15+AC15+AT15</f>
        <v>180.72</v>
      </c>
      <c r="H15" s="20">
        <f>SUMIF(I$12:AB$12,"总值",I15:AB15)</f>
        <v>180.72</v>
      </c>
      <c r="I15" s="1811">
        <v>180.72</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t="str">
        <f t="shared" si="6"/>
        <v>京（2017）西不动产权第0026868号</v>
      </c>
      <c r="AW15" s="11" t="str">
        <f t="shared" si="6"/>
        <v>不动产权证书</v>
      </c>
      <c r="AX15" s="11" t="str">
        <f t="shared" si="6"/>
        <v>17层19C7</v>
      </c>
      <c r="AY15" s="1533">
        <f>ROUND($AY$6*AZ15/$AZ$5,2)</f>
        <v>0</v>
      </c>
      <c r="AZ15" s="16">
        <f>BA15+BL15</f>
        <v>180.72</v>
      </c>
      <c r="BA15" s="16">
        <f>SUM(BB15:BK15)</f>
        <v>180.72</v>
      </c>
      <c r="BB15" s="16">
        <f>IF($D15="是",I15-J15,0)</f>
        <v>180.72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51">
      <c r="A16" s="1182" t="s">
        <v>3090</v>
      </c>
      <c r="B16" s="1182" t="s">
        <v>3084</v>
      </c>
      <c r="C16" s="1755" t="s">
        <v>3091</v>
      </c>
      <c r="D16" s="1810" t="s">
        <v>3073</v>
      </c>
      <c r="E16" s="16">
        <f>IF($C$3="是",ROUND($A$3*G16/$B$3,2),ROUND($A$3*(G16-AT16)/$B$3,2))</f>
        <v>0</v>
      </c>
      <c r="F16" s="32"/>
      <c r="G16" s="33">
        <f>H16+AC16+AT16</f>
        <v>121.95</v>
      </c>
      <c r="H16" s="20">
        <f>SUMIF(I$12:AB$12,"总值",I16:AB16)</f>
        <v>121.95</v>
      </c>
      <c r="I16" s="1811">
        <v>121.95</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t="str">
        <f t="shared" si="6"/>
        <v>京（2017）西不动产权第0026869号</v>
      </c>
      <c r="AW16" s="11" t="str">
        <f t="shared" si="6"/>
        <v>不动产权证书</v>
      </c>
      <c r="AX16" s="11" t="str">
        <f t="shared" si="6"/>
        <v>17层19C8</v>
      </c>
      <c r="AY16" s="1533">
        <f>ROUND($AY$6*AZ16/$AZ$5,2)</f>
        <v>0</v>
      </c>
      <c r="AZ16" s="16">
        <f>BA16+BL16</f>
        <v>121.95</v>
      </c>
      <c r="BA16" s="16">
        <f>SUM(BB16:BK16)</f>
        <v>121.95</v>
      </c>
      <c r="BB16" s="16">
        <f>IF($D16="是",I16-J16,0)</f>
        <v>121.95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51">
      <c r="A17" s="1182" t="s">
        <v>3092</v>
      </c>
      <c r="B17" s="1182" t="s">
        <v>3084</v>
      </c>
      <c r="C17" s="1755" t="s">
        <v>3093</v>
      </c>
      <c r="D17" s="1810" t="s">
        <v>3073</v>
      </c>
      <c r="E17" s="16">
        <f>IF($C$3="是",ROUND($A$3*G17/$B$3,2),ROUND($A$3*(G17-AT17)/$B$3,2))</f>
        <v>0</v>
      </c>
      <c r="F17" s="32"/>
      <c r="G17" s="33">
        <f>H17+AC17+AT17</f>
        <v>124.27</v>
      </c>
      <c r="H17" s="20">
        <f>SUMIF(I$12:AB$12,"总值",I17:AB17)</f>
        <v>124.27</v>
      </c>
      <c r="I17" s="1811">
        <v>124.27</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t="str">
        <f t="shared" si="6"/>
        <v>京（2017）西不动产权第0026870号</v>
      </c>
      <c r="AW17" s="11" t="str">
        <f t="shared" si="6"/>
        <v>不动产权证书</v>
      </c>
      <c r="AX17" s="11" t="str">
        <f t="shared" si="6"/>
        <v>17层19C9</v>
      </c>
      <c r="AY17" s="1533">
        <f>ROUND($AY$6*AZ17/$AZ$5,2)</f>
        <v>0</v>
      </c>
      <c r="AZ17" s="16">
        <f>BA17+BL17</f>
        <v>124.27</v>
      </c>
      <c r="BA17" s="16">
        <f>SUM(BB17:BK17)</f>
        <v>124.27</v>
      </c>
      <c r="BB17" s="16">
        <f>IF($D17="是",I17-J17,0)</f>
        <v>124.27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1182" t="s">
        <v>3094</v>
      </c>
      <c r="B18" s="3086" t="s">
        <v>3084</v>
      </c>
      <c r="C18" s="3086" t="s">
        <v>3095</v>
      </c>
      <c r="D18" s="1815" t="s">
        <v>3073</v>
      </c>
      <c r="E18" s="35">
        <f t="shared" ref="E18:E112" si="7">IF($C$3="是",ROUND($A$3*G18/$B$3,2),ROUND($A$3*(G18-AT18)/$B$3,2))</f>
        <v>0</v>
      </c>
      <c r="F18" s="36"/>
      <c r="G18" s="37">
        <f t="shared" ref="G18:G109" si="8">H18+AC18+AT18</f>
        <v>105.34</v>
      </c>
      <c r="H18" s="38">
        <f t="shared" ref="H18:H109" si="9">SUMIF(I$12:AB$12,"总值",I18:AB18)</f>
        <v>105.34</v>
      </c>
      <c r="I18" s="39">
        <v>105.34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t="str">
        <f t="shared" ref="AV18:AV112" si="11">A18</f>
        <v>京（2017）西不动产权第0026871号</v>
      </c>
      <c r="AW18" s="1527" t="str">
        <f t="shared" ref="AW18:AW112" si="12">B18</f>
        <v>不动产权证书</v>
      </c>
      <c r="AX18" s="1527" t="str">
        <f t="shared" ref="AX18:AX112" si="13">C18</f>
        <v>17层19C10</v>
      </c>
      <c r="AY18" s="42">
        <f t="shared" ref="AY18:AY109" si="14">ROUND($AY$6*AZ18/$AZ$5,2)</f>
        <v>0</v>
      </c>
      <c r="AZ18" s="35">
        <f t="shared" ref="AZ18:AZ109" si="15">BA18+BL18</f>
        <v>105.34</v>
      </c>
      <c r="BA18" s="35">
        <f t="shared" ref="BA18:BA109" si="16">SUM(BB18:BK18)</f>
        <v>105.34</v>
      </c>
      <c r="BB18" s="35">
        <f t="shared" ref="BB18:BB109" si="17">IF($D18="是",I18-J18,0)</f>
        <v>105.34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1182" t="s">
        <v>3096</v>
      </c>
      <c r="B19" s="3086" t="s">
        <v>3084</v>
      </c>
      <c r="C19" s="3086" t="s">
        <v>3097</v>
      </c>
      <c r="D19" s="1815" t="s">
        <v>3073</v>
      </c>
      <c r="E19" s="35">
        <f t="shared" si="7"/>
        <v>0</v>
      </c>
      <c r="F19" s="36"/>
      <c r="G19" s="37">
        <f t="shared" si="8"/>
        <v>103.53</v>
      </c>
      <c r="H19" s="38">
        <f t="shared" si="9"/>
        <v>103.53</v>
      </c>
      <c r="I19" s="39">
        <v>103.53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t="str">
        <f t="shared" si="11"/>
        <v>京（2017）西不动产权第0026872号</v>
      </c>
      <c r="AW19" s="1527" t="str">
        <f t="shared" si="12"/>
        <v>不动产权证书</v>
      </c>
      <c r="AX19" s="1527" t="str">
        <f t="shared" si="13"/>
        <v>17层19C11</v>
      </c>
      <c r="AY19" s="42">
        <f t="shared" si="14"/>
        <v>0</v>
      </c>
      <c r="AZ19" s="35">
        <f t="shared" si="15"/>
        <v>103.53</v>
      </c>
      <c r="BA19" s="35">
        <f t="shared" si="16"/>
        <v>103.53</v>
      </c>
      <c r="BB19" s="35">
        <f t="shared" si="17"/>
        <v>103.53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71.25">
      <c r="A20" s="1182" t="s">
        <v>3098</v>
      </c>
      <c r="B20" s="3086" t="s">
        <v>3084</v>
      </c>
      <c r="C20" s="3086" t="s">
        <v>3099</v>
      </c>
      <c r="D20" s="1815" t="s">
        <v>3073</v>
      </c>
      <c r="E20" s="35">
        <f t="shared" si="7"/>
        <v>0</v>
      </c>
      <c r="F20" s="36"/>
      <c r="G20" s="37">
        <f t="shared" si="8"/>
        <v>165.95</v>
      </c>
      <c r="H20" s="38">
        <f t="shared" si="9"/>
        <v>165.95</v>
      </c>
      <c r="I20" s="39">
        <v>165.95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t="str">
        <f t="shared" si="11"/>
        <v>京（2017）西不动产权第0026873号</v>
      </c>
      <c r="AW20" s="1527" t="str">
        <f t="shared" si="12"/>
        <v>不动产权证书</v>
      </c>
      <c r="AX20" s="1527" t="str">
        <f t="shared" si="13"/>
        <v>17层19C12</v>
      </c>
      <c r="AY20" s="42">
        <f t="shared" si="14"/>
        <v>0</v>
      </c>
      <c r="AZ20" s="35">
        <f t="shared" si="15"/>
        <v>165.95</v>
      </c>
      <c r="BA20" s="35">
        <f t="shared" si="16"/>
        <v>165.95</v>
      </c>
      <c r="BB20" s="35">
        <f t="shared" si="17"/>
        <v>165.95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1182" t="s">
        <v>3100</v>
      </c>
      <c r="B21" s="3086" t="s">
        <v>3084</v>
      </c>
      <c r="C21" s="3086" t="s">
        <v>3101</v>
      </c>
      <c r="D21" s="1815" t="s">
        <v>3073</v>
      </c>
      <c r="E21" s="35">
        <f t="shared" si="7"/>
        <v>0</v>
      </c>
      <c r="F21" s="36"/>
      <c r="G21" s="37">
        <f t="shared" si="8"/>
        <v>83.86</v>
      </c>
      <c r="H21" s="38">
        <f t="shared" si="9"/>
        <v>83.86</v>
      </c>
      <c r="I21" s="39">
        <v>83.86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t="str">
        <f t="shared" si="11"/>
        <v>京（2017）西不动产权第0026874号</v>
      </c>
      <c r="AW21" s="1527" t="str">
        <f t="shared" si="12"/>
        <v>不动产权证书</v>
      </c>
      <c r="AX21" s="1527" t="str">
        <f t="shared" si="13"/>
        <v>17层19C13</v>
      </c>
      <c r="AY21" s="42">
        <f t="shared" si="14"/>
        <v>0</v>
      </c>
      <c r="AZ21" s="35">
        <f t="shared" si="15"/>
        <v>83.86</v>
      </c>
      <c r="BA21" s="35">
        <f t="shared" si="16"/>
        <v>83.86</v>
      </c>
      <c r="BB21" s="35">
        <f t="shared" si="17"/>
        <v>83.86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1182"/>
      <c r="B22" s="3086"/>
      <c r="C22" s="3086"/>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182"/>
      <c r="B23" s="3086"/>
      <c r="C23" s="3086"/>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182"/>
      <c r="B24" s="3086"/>
      <c r="C24" s="3086"/>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1182"/>
      <c r="B25" s="3086"/>
      <c r="C25" s="3086"/>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182"/>
      <c r="B26" s="3086"/>
      <c r="C26" s="3086"/>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1182"/>
      <c r="B27" s="3086"/>
      <c r="C27" s="3086"/>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182"/>
      <c r="B28" s="3086"/>
      <c r="C28" s="3086"/>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1182"/>
      <c r="B29" s="3086"/>
      <c r="C29" s="3086"/>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6" t="s">
        <v>0</v>
      </c>
      <c r="B1" s="3176" t="s">
        <v>4</v>
      </c>
      <c r="C1" s="3176" t="s">
        <v>5</v>
      </c>
      <c r="D1" s="3177" t="s">
        <v>53</v>
      </c>
      <c r="E1" s="3177" t="s">
        <v>54</v>
      </c>
      <c r="F1" s="3177"/>
      <c r="G1" s="3177"/>
      <c r="H1" s="3177"/>
      <c r="I1" s="3177"/>
      <c r="J1" s="3177"/>
      <c r="K1" s="3177"/>
      <c r="L1" s="3177"/>
      <c r="M1" s="3177"/>
    </row>
    <row r="2" spans="1:13" ht="27" customHeight="1">
      <c r="A2" s="3176"/>
      <c r="B2" s="3176"/>
      <c r="C2" s="3176"/>
      <c r="D2" s="3177"/>
      <c r="E2" s="3177" t="s">
        <v>37</v>
      </c>
      <c r="F2" s="3177" t="s">
        <v>38</v>
      </c>
      <c r="G2" s="3177"/>
      <c r="H2" s="3177"/>
      <c r="I2" s="3177"/>
      <c r="J2" s="3177" t="s">
        <v>39</v>
      </c>
      <c r="K2" s="3177"/>
      <c r="L2" s="3177"/>
      <c r="M2" s="3177"/>
    </row>
    <row r="3" spans="1:13" ht="28.5">
      <c r="A3" s="3176"/>
      <c r="B3" s="3176"/>
      <c r="C3" s="3176"/>
      <c r="D3" s="3177"/>
      <c r="E3" s="31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7" t="s">
        <v>55</v>
      </c>
      <c r="B9" s="3177"/>
      <c r="C9" s="31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3"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87" t="s">
        <v>1817</v>
      </c>
      <c r="B2" s="3187"/>
      <c r="C2" s="3187"/>
      <c r="D2" s="904" t="s">
        <v>1793</v>
      </c>
      <c r="E2" s="1824" t="s">
        <v>1794</v>
      </c>
      <c r="F2" s="2883"/>
      <c r="G2" s="2874"/>
      <c r="H2" s="2875"/>
      <c r="I2" s="2548" t="s">
        <v>1818</v>
      </c>
      <c r="J2" s="2883"/>
      <c r="K2" s="2883"/>
      <c r="L2" s="2883"/>
      <c r="M2" s="2883"/>
      <c r="N2" s="2885"/>
      <c r="O2" s="2883"/>
      <c r="P2" s="2883"/>
    </row>
    <row r="3" spans="1:16" ht="15.75" thickBot="1">
      <c r="A3" s="3188" t="s">
        <v>1791</v>
      </c>
      <c r="B3" s="3188"/>
      <c r="C3" s="3188"/>
      <c r="D3" s="46">
        <f>'数据-基础表'!AY6</f>
        <v>0</v>
      </c>
      <c r="E3" s="46">
        <f>'数据-基础表'!AZ5</f>
        <v>1141.77</v>
      </c>
      <c r="F3" s="2883"/>
      <c r="G3" s="1307"/>
      <c r="H3" s="1157" t="s">
        <v>1792</v>
      </c>
      <c r="I3" s="964" t="e">
        <f>ROUND('数据-基础表'!B3/'数据-基础表'!A3,2)</f>
        <v>#DIV/0!</v>
      </c>
      <c r="J3" s="2883"/>
      <c r="K3" s="2883"/>
      <c r="L3" s="2883"/>
      <c r="M3" s="2883"/>
      <c r="N3" s="2885"/>
      <c r="O3" s="2883"/>
      <c r="P3" s="2883"/>
    </row>
    <row r="4" spans="1:16" ht="15">
      <c r="A4" s="3189"/>
      <c r="B4" s="3190"/>
      <c r="C4" s="3191"/>
      <c r="D4" s="1826" t="s">
        <v>1793</v>
      </c>
      <c r="E4" s="1827" t="s">
        <v>1794</v>
      </c>
      <c r="F4" s="2883"/>
      <c r="G4" s="2876" t="s">
        <v>1819</v>
      </c>
      <c r="H4" s="1157" t="s">
        <v>1799</v>
      </c>
      <c r="I4" s="964" t="e">
        <f>ROUND(SUMIF('数据-基础表'!I9:AS9,"地上",'数据-基础表'!I5:AS5)/'数据-基础表'!A3,2)</f>
        <v>#DIV/0!</v>
      </c>
      <c r="J4" s="2883"/>
      <c r="K4" s="2883"/>
      <c r="L4" s="2883"/>
      <c r="M4" s="2883"/>
      <c r="N4" s="2885"/>
      <c r="O4" s="2883"/>
      <c r="P4" s="2883"/>
    </row>
    <row r="5" spans="1:16">
      <c r="A5" s="47" t="s">
        <v>1795</v>
      </c>
      <c r="B5" s="3192" t="s">
        <v>1796</v>
      </c>
      <c r="C5" s="3192"/>
      <c r="D5" s="48">
        <f>ROUND($D$3*E5/$E$3,2)</f>
        <v>0</v>
      </c>
      <c r="E5" s="49">
        <f>SUMIF('数据-基础表'!$11:$11,"住宅",'数据-基础表'!$5:$5)</f>
        <v>0</v>
      </c>
      <c r="F5" s="2883"/>
      <c r="G5" s="1307"/>
      <c r="H5" s="1157" t="s">
        <v>1792</v>
      </c>
      <c r="I5" s="964" t="e">
        <f>ROUND(E31/D31,2)</f>
        <v>#DIV/0!</v>
      </c>
      <c r="J5" s="2883"/>
      <c r="K5" s="2883"/>
      <c r="L5" s="2883"/>
      <c r="M5" s="2883"/>
      <c r="N5" s="2883"/>
      <c r="O5" s="2883"/>
      <c r="P5" s="2883"/>
    </row>
    <row r="6" spans="1:16" ht="15" thickBot="1">
      <c r="A6" s="1829"/>
      <c r="B6" s="3192" t="s">
        <v>1797</v>
      </c>
      <c r="C6" s="3192"/>
      <c r="D6" s="48">
        <f>ROUND($D$3*E6/$E$3,2)</f>
        <v>0</v>
      </c>
      <c r="E6" s="49">
        <f>E3-E5</f>
        <v>1141.77</v>
      </c>
      <c r="F6" s="2883"/>
      <c r="G6" s="2877" t="s">
        <v>1798</v>
      </c>
      <c r="H6" s="1308" t="s">
        <v>1799</v>
      </c>
      <c r="I6" s="2878" t="e">
        <f>ROUND(F31/D31,2)</f>
        <v>#DIV/0!</v>
      </c>
      <c r="J6" s="2883"/>
      <c r="K6" s="2883"/>
      <c r="L6" s="2883"/>
      <c r="M6" s="2883"/>
      <c r="N6" s="2883"/>
      <c r="O6" s="2883"/>
      <c r="P6" s="2883"/>
    </row>
    <row r="7" spans="1:16" ht="15.75" thickBot="1">
      <c r="A7" s="3184"/>
      <c r="B7" s="3185"/>
      <c r="C7" s="3186"/>
      <c r="D7" s="1826" t="s">
        <v>1793</v>
      </c>
      <c r="E7" s="1830" t="s">
        <v>1800</v>
      </c>
      <c r="F7" s="2883"/>
      <c r="G7" s="2879" t="s">
        <v>1801</v>
      </c>
      <c r="H7" s="2880"/>
      <c r="I7" s="2881"/>
      <c r="J7" s="2883"/>
      <c r="K7" s="2883"/>
      <c r="L7" s="2883"/>
      <c r="M7" s="2883"/>
      <c r="N7" s="2883"/>
      <c r="O7" s="2883"/>
      <c r="P7" s="2883"/>
    </row>
    <row r="8" spans="1:16">
      <c r="A8" s="47" t="s">
        <v>1802</v>
      </c>
      <c r="B8" s="50" t="s">
        <v>1803</v>
      </c>
      <c r="C8" s="48" t="s">
        <v>1804</v>
      </c>
      <c r="D8" s="48">
        <f t="shared" ref="D8:D15" si="0">ROUND($D$3*E8/$E$3,2)</f>
        <v>0</v>
      </c>
      <c r="E8" s="51">
        <f>SUMIF('数据-基础表'!BB10:BK10,"地上",'数据-基础表'!BB5:BK5)</f>
        <v>1141.77</v>
      </c>
      <c r="F8" s="2883"/>
      <c r="G8" s="2884"/>
      <c r="H8" s="2884"/>
      <c r="I8" s="2883"/>
      <c r="J8" s="2883"/>
      <c r="K8" s="2883"/>
      <c r="L8" s="2883"/>
      <c r="M8" s="2883"/>
      <c r="N8" s="2883"/>
      <c r="O8" s="2883"/>
      <c r="P8" s="2883"/>
    </row>
    <row r="9" spans="1:16">
      <c r="A9" s="1831"/>
      <c r="B9" s="1832"/>
      <c r="C9" s="48" t="s">
        <v>1805</v>
      </c>
      <c r="D9" s="48">
        <f t="shared" si="0"/>
        <v>0</v>
      </c>
      <c r="E9" s="52">
        <v>0</v>
      </c>
      <c r="F9" s="2883"/>
      <c r="G9" s="2884"/>
      <c r="H9" s="2884"/>
      <c r="I9" s="2883"/>
      <c r="J9" s="2883"/>
      <c r="K9" s="2883"/>
      <c r="L9" s="2883"/>
      <c r="M9" s="2883"/>
      <c r="N9" s="2883"/>
      <c r="O9" s="2883"/>
      <c r="P9" s="2883"/>
    </row>
    <row r="10" spans="1:16">
      <c r="A10" s="1831"/>
      <c r="B10" s="1832"/>
      <c r="C10" s="48" t="s">
        <v>1814</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31"/>
      <c r="B11" s="1832"/>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1"/>
      <c r="B12" s="1832"/>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1"/>
      <c r="B13" s="1832"/>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31"/>
      <c r="B14" s="1832"/>
      <c r="C14" s="48" t="s">
        <v>1820</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1"/>
      <c r="B15" s="1832"/>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9"/>
      <c r="B16" s="1832"/>
      <c r="C16" s="50" t="s">
        <v>1809</v>
      </c>
      <c r="D16" s="50">
        <f>SUM(D8:D15)</f>
        <v>0</v>
      </c>
      <c r="E16" s="53">
        <f>SUM(E8:E15)</f>
        <v>1141.77</v>
      </c>
      <c r="F16" s="2883"/>
      <c r="G16" s="2884"/>
      <c r="H16" s="1833" t="s">
        <v>1821</v>
      </c>
      <c r="I16" s="1834"/>
      <c r="J16" s="1301"/>
      <c r="K16" s="3181" t="s">
        <v>1821</v>
      </c>
      <c r="L16" s="3182"/>
      <c r="M16" s="3182"/>
      <c r="N16" s="3182"/>
      <c r="O16" s="3182"/>
      <c r="P16" s="3183"/>
    </row>
    <row r="17" spans="1:19" ht="15">
      <c r="A17" s="1835" t="s">
        <v>1822</v>
      </c>
      <c r="B17" s="1836" t="s">
        <v>1823</v>
      </c>
      <c r="C17" s="1837" t="s">
        <v>1824</v>
      </c>
      <c r="D17" s="1838" t="s">
        <v>1812</v>
      </c>
      <c r="E17" s="1839" t="s">
        <v>1813</v>
      </c>
      <c r="F17" s="1840"/>
      <c r="G17" s="1841"/>
      <c r="H17" s="1842" t="s">
        <v>1825</v>
      </c>
      <c r="I17" s="1843" t="s">
        <v>1810</v>
      </c>
      <c r="J17" s="1301"/>
      <c r="K17" s="3178" t="s">
        <v>1826</v>
      </c>
      <c r="L17" s="3179"/>
      <c r="M17" s="3180"/>
      <c r="N17" s="3178" t="s">
        <v>1827</v>
      </c>
      <c r="O17" s="3179"/>
      <c r="P17" s="3180"/>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1853" t="s">
        <v>3085</v>
      </c>
      <c r="D19" s="48">
        <f>ROUND($D$3*E19/$E$3,2)</f>
        <v>0</v>
      </c>
      <c r="E19" s="56">
        <f t="shared" ref="E19:E26" si="1">SUM(F19:G19)</f>
        <v>103.53</v>
      </c>
      <c r="F19" s="3023">
        <f>'数据-基础表'!I13</f>
        <v>103.53</v>
      </c>
      <c r="G19" s="3024"/>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103.53</v>
      </c>
    </row>
    <row r="20" spans="1:19">
      <c r="A20" s="1856"/>
      <c r="B20" s="50" t="s">
        <v>1839</v>
      </c>
      <c r="C20" s="3087" t="s">
        <v>3104</v>
      </c>
      <c r="D20" s="48">
        <f t="shared" ref="D20:D26" si="6">ROUND($D$3*E20/$E$3,2)</f>
        <v>0</v>
      </c>
      <c r="E20" s="56">
        <f t="shared" si="1"/>
        <v>1038.24</v>
      </c>
      <c r="F20" s="3023">
        <f>SUM('数据-基础表'!I14:I21)</f>
        <v>1038.24</v>
      </c>
      <c r="G20" s="3024"/>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1038.24</v>
      </c>
    </row>
    <row r="21" spans="1:19">
      <c r="A21" s="1856"/>
      <c r="B21" s="50" t="s">
        <v>1839</v>
      </c>
      <c r="C21" s="1853"/>
      <c r="D21" s="48">
        <f t="shared" si="6"/>
        <v>0</v>
      </c>
      <c r="E21" s="56">
        <f t="shared" si="1"/>
        <v>0</v>
      </c>
      <c r="F21" s="3023"/>
      <c r="G21" s="3024"/>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5"/>
      <c r="G22" s="3026"/>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5"/>
      <c r="G23" s="3026"/>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5"/>
      <c r="G24" s="3026"/>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5"/>
      <c r="G25" s="3026"/>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5"/>
      <c r="G26" s="3026"/>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1141.77</v>
      </c>
      <c r="F27" s="1302">
        <f>IF(SUM(F19:F26)=E8,SUM(F19:F26),"地上面积有误")</f>
        <v>1141.77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1141.77</v>
      </c>
    </row>
    <row r="28" spans="1:19">
      <c r="A28" s="1856"/>
      <c r="B28" s="50" t="s">
        <v>1841</v>
      </c>
      <c r="C28" s="1169" t="s">
        <v>1842</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6"/>
      <c r="B29" s="50" t="s">
        <v>1841</v>
      </c>
      <c r="C29" s="1860" t="s">
        <v>1843</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6"/>
      <c r="B30" s="50"/>
      <c r="C30" s="1861" t="s">
        <v>1840</v>
      </c>
      <c r="D30" s="1302">
        <f>SUM(D28:D29)</f>
        <v>0</v>
      </c>
      <c r="E30" s="1302">
        <f>SUM(E28:E29)</f>
        <v>0</v>
      </c>
      <c r="F30" s="1302">
        <f>SUM(F28:F29)</f>
        <v>0</v>
      </c>
      <c r="G30" s="1304">
        <f>SUM(G28:G29)</f>
        <v>0</v>
      </c>
      <c r="H30" s="2883"/>
      <c r="I30" s="2883"/>
      <c r="J30" s="2883"/>
      <c r="K30" s="2883"/>
      <c r="L30" s="2883"/>
      <c r="M30" s="2883"/>
      <c r="N30" s="2883"/>
      <c r="O30" s="2883"/>
      <c r="P30" s="2883"/>
    </row>
    <row r="31" spans="1:19" ht="15.75" thickBot="1">
      <c r="A31" s="1862"/>
      <c r="B31" s="1863"/>
      <c r="C31" s="944" t="s">
        <v>1844</v>
      </c>
      <c r="D31" s="685">
        <f>D27+D30</f>
        <v>0</v>
      </c>
      <c r="E31" s="685">
        <f>E27+E30</f>
        <v>1141.77</v>
      </c>
      <c r="F31" s="686">
        <f>F27+F30</f>
        <v>1141.77</v>
      </c>
      <c r="G31" s="687">
        <f>G27+G30</f>
        <v>0</v>
      </c>
      <c r="H31" s="2883"/>
      <c r="I31" s="2883"/>
      <c r="J31" s="2883"/>
      <c r="K31" s="2883"/>
      <c r="L31" s="2883"/>
      <c r="M31" s="2883"/>
      <c r="N31" s="2883"/>
      <c r="O31" s="2883"/>
      <c r="P31" s="2883"/>
    </row>
    <row r="32" spans="1:19">
      <c r="A32" s="1828"/>
      <c r="B32" s="1828" t="s">
        <v>1845</v>
      </c>
      <c r="C32" s="1828"/>
      <c r="D32" s="1828"/>
      <c r="E32" s="1184">
        <f>SUMIF(C19:C26,"*住宅*",E19:E26)</f>
        <v>0</v>
      </c>
      <c r="F32" s="1828"/>
      <c r="G32" s="1828"/>
      <c r="H32" s="2883"/>
      <c r="I32" s="2883"/>
      <c r="J32" s="2883"/>
      <c r="K32" s="2883"/>
      <c r="L32" s="2883"/>
      <c r="M32" s="2883"/>
      <c r="N32" s="2883"/>
      <c r="O32" s="2883"/>
      <c r="P32" s="2883"/>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7"/>
      <c r="AO1" s="2897"/>
      <c r="AP1" s="2897"/>
      <c r="AQ1" s="2897"/>
      <c r="AR1" s="2897"/>
    </row>
    <row r="2" spans="1:67" s="1744" customFormat="1" ht="15.75" thickBot="1">
      <c r="A2" s="1869" t="s">
        <v>1847</v>
      </c>
      <c r="B2" s="1176">
        <f>项目基本情况!D3</f>
        <v>44370</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9"/>
      <c r="AO2" s="2899"/>
      <c r="AP2" s="2899"/>
      <c r="AQ2" s="2899"/>
      <c r="AR2" s="2899"/>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9"/>
      <c r="AO3" s="2899"/>
      <c r="AP3" s="2899"/>
      <c r="AQ3" s="2899"/>
      <c r="AR3" s="2899"/>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2"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899"/>
      <c r="AO4" s="2899"/>
      <c r="AP4" s="2899"/>
      <c r="AQ4" s="2899"/>
      <c r="AR4" s="2899"/>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3105</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17层19C5</v>
      </c>
      <c r="B6" s="1899" t="str">
        <f>IF(A6=0,"","经营性")</f>
        <v>经营性</v>
      </c>
      <c r="C6" s="1900" t="s">
        <v>27</v>
      </c>
      <c r="D6" s="967">
        <f>SUMIF(项目基本情况!D$12:I$12,C6,项目基本情况!D$14:I$14)</f>
        <v>50</v>
      </c>
      <c r="E6" s="966">
        <f>IF(B6="","",SUMIF(项目基本情况!D$12:I$12,C6,项目基本情况!D$13:I$13))</f>
        <v>56484</v>
      </c>
      <c r="F6" s="68">
        <f>SUMIF(项目基本情况!D$12:I$12,C6,项目基本情况!D$15:I$15)</f>
        <v>33.18</v>
      </c>
      <c r="G6" s="69">
        <f>IF(ISERROR(ROUND(POWER(1+H6,D6-F6)*(POWER(1+H6,F6)-1)/(POWER(1+H6,D6)-1),3)),0,ROUND(POWER(1+H6,D6-F6)*(POWER(1+H6,F6)-1)/(POWER(1+H6,D6)-1),3))</f>
        <v>0.86299999999999999</v>
      </c>
      <c r="H6" s="3088">
        <v>4.4999999999999998E-2</v>
      </c>
      <c r="I6" s="3088">
        <v>5.5E-2</v>
      </c>
      <c r="J6" s="3089">
        <v>8.5000000000000006E-2</v>
      </c>
      <c r="K6" s="1161">
        <f>SUMIF('数据-汇总表'!C$19:C$33,A6,'数据-汇总表'!E$19:E$33)</f>
        <v>103.53</v>
      </c>
      <c r="L6" s="3101">
        <v>4500</v>
      </c>
      <c r="M6" s="71">
        <f t="shared" ref="M6:M14" si="0">ROUND(K6*L6/10000,0)</f>
        <v>47</v>
      </c>
      <c r="N6" s="3100">
        <f>(ROUND((1-0%)-(2021-2005)/60,2)+85%)/2</f>
        <v>0.79</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3090">
        <f>'比较法-租金办公'!C50</f>
        <v>7.3</v>
      </c>
      <c r="V6" s="3091">
        <v>0.03</v>
      </c>
      <c r="W6" s="3092">
        <v>0.1</v>
      </c>
      <c r="X6" s="1171"/>
      <c r="Y6" s="76">
        <f>N6</f>
        <v>0.79</v>
      </c>
      <c r="Z6" s="77"/>
      <c r="AA6" s="70"/>
      <c r="AB6" s="70"/>
      <c r="AC6" s="1171"/>
      <c r="AD6" s="78"/>
      <c r="AE6" s="1172">
        <f ca="1">IF(AN6="",0,SUMIF(INDIRECT("'"&amp;AN6&amp;"'"&amp;"!E:E"),$AE$5,INDIRECT("'"&amp;AN6&amp;"'"&amp;"!F:F")))</f>
        <v>33.18</v>
      </c>
      <c r="AF6" s="1532"/>
      <c r="AG6" s="143">
        <f>IF(AF6="",0,AE6-AF6)</f>
        <v>0</v>
      </c>
      <c r="AH6" s="79"/>
      <c r="AI6" s="81">
        <v>365</v>
      </c>
      <c r="AJ6" s="82"/>
      <c r="AK6" s="3093">
        <v>0.02</v>
      </c>
      <c r="AL6" s="3094">
        <v>2E-3</v>
      </c>
      <c r="AM6" s="3095">
        <v>0.02</v>
      </c>
      <c r="AN6" s="1901" t="s">
        <v>3106</v>
      </c>
      <c r="AO6" s="55">
        <f ca="1">SUMIF(INDIRECT("'"&amp;AN6&amp;"'"&amp;"!A:A"),"总价",INDIRECT("'"&amp;AN6&amp;"'"&amp;"!B:B"))</f>
        <v>410</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其他办公</v>
      </c>
      <c r="B7" s="1899" t="str">
        <f t="shared" ref="B7:B13" si="1">IF(A7=0,"","经营性")</f>
        <v>经营性</v>
      </c>
      <c r="C7" s="1900" t="s">
        <v>27</v>
      </c>
      <c r="D7" s="967">
        <f>SUMIF(项目基本情况!D$12:I$12,C7,项目基本情况!D$14:I$14)</f>
        <v>50</v>
      </c>
      <c r="E7" s="966">
        <f>IF(B7="","",SUMIF(项目基本情况!D$12:I$12,C7,项目基本情况!D$13:I$13))</f>
        <v>56484</v>
      </c>
      <c r="F7" s="68">
        <f>SUMIF(项目基本情况!D$12:I$12,C7,项目基本情况!D$15:I$15)</f>
        <v>33.18</v>
      </c>
      <c r="G7" s="69">
        <f t="shared" ref="G7:G11" si="2">IF(ISERROR(ROUND(POWER(1+H7,D7-F7)*(POWER(1+H7,F7)-1)/(POWER(1+H7,D7)-1),3)),0,ROUND(POWER(1+H7,D7-F7)*(POWER(1+H7,F7)-1)/(POWER(1+H7,D7)-1),3))</f>
        <v>0.86299999999999999</v>
      </c>
      <c r="H7" s="3088">
        <v>4.4999999999999998E-2</v>
      </c>
      <c r="I7" s="3088">
        <v>5.5E-2</v>
      </c>
      <c r="J7" s="3089">
        <v>8.5000000000000006E-2</v>
      </c>
      <c r="K7" s="1161">
        <f>SUMIF('数据-汇总表'!C$19:C$33,A7,'数据-汇总表'!E$19:E$33)</f>
        <v>1038.24</v>
      </c>
      <c r="L7" s="3101">
        <v>4500</v>
      </c>
      <c r="M7" s="71">
        <f t="shared" si="0"/>
        <v>467</v>
      </c>
      <c r="N7" s="3100">
        <f>N6</f>
        <v>0.79</v>
      </c>
      <c r="O7" s="71" t="str">
        <f t="shared" ref="O7:O14" si="3">IF($N$5="成新度","——",ROUND(M7*N7,0))</f>
        <v>——</v>
      </c>
      <c r="P7" s="72" t="str">
        <f t="shared" ref="P7:P14" si="4">IF($N$5="成新度","——",M7-O7)</f>
        <v>——</v>
      </c>
      <c r="Q7" s="743">
        <v>0.2</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hidden="1">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hidden="1">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hidden="1">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hidden="1">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hidden="1">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hidden="1">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7"/>
      <c r="AO14" s="2899"/>
      <c r="AP14" s="2899"/>
      <c r="AQ14" s="2899"/>
      <c r="AR14" s="2899"/>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7"/>
      <c r="AO15" s="2899"/>
      <c r="AP15" s="2899"/>
      <c r="AQ15" s="2899"/>
      <c r="AR15" s="2899"/>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0.86299999999999999</v>
      </c>
      <c r="H16" s="95">
        <f>ROUND(SUMPRODUCT(H6:H13,K6:K13)/SUMPRODUCT((H6:H13&gt;0)*(K6:K13)),3)</f>
        <v>4.4999999999999998E-2</v>
      </c>
      <c r="I16" s="96"/>
      <c r="J16" s="96"/>
      <c r="K16" s="97">
        <f>SUM(K6:K15)</f>
        <v>1141.77</v>
      </c>
      <c r="L16" s="98">
        <f>ROUND(M16*10000/SUM(K6:K14),0)</f>
        <v>4502</v>
      </c>
      <c r="M16" s="98">
        <f>SUM(M6:M14)</f>
        <v>514</v>
      </c>
      <c r="N16" s="99">
        <f>ROUND(SUMPRODUCT(M6:M14,N6:N14)/M16,3)</f>
        <v>0.79</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8" t="s">
        <v>1897</v>
      </c>
      <c r="B19" s="108">
        <v>0</v>
      </c>
      <c r="C19" s="3027" t="s">
        <v>3048</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9" t="s">
        <v>1898</v>
      </c>
      <c r="B20" s="109">
        <v>2</v>
      </c>
      <c r="C20" s="3028" t="s">
        <v>3046</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0" t="s">
        <v>1899</v>
      </c>
      <c r="B21" s="109">
        <v>2</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9" t="s">
        <v>1900</v>
      </c>
      <c r="B22" s="110">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0" t="s">
        <v>1901</v>
      </c>
      <c r="B23" s="110">
        <f>B19+B21</f>
        <v>2</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1" t="s">
        <v>1902</v>
      </c>
      <c r="B24" s="111">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2"/>
      <c r="B25" s="1873"/>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9" t="s">
        <v>1903</v>
      </c>
      <c r="B26" s="1912"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4" customFormat="1" ht="27.75">
      <c r="A27" s="1913" t="s">
        <v>1906</v>
      </c>
      <c r="B27" s="112">
        <v>200</v>
      </c>
      <c r="C27" s="3029" t="s">
        <v>3050</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c r="C29" s="3030" t="s">
        <v>3037</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0.05</v>
      </c>
      <c r="C33" s="3031" t="s">
        <v>3038</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1" t="s">
        <v>3039</v>
      </c>
      <c r="D34" s="2910" t="s">
        <v>3047</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1" t="s">
        <v>3040</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1" t="s">
        <v>3041</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7" t="s">
        <v>1916</v>
      </c>
      <c r="B37" s="120">
        <v>2.5000000000000001E-2</v>
      </c>
      <c r="C37" s="3031" t="s">
        <v>3042</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5" t="s">
        <v>1917</v>
      </c>
      <c r="B38" s="118">
        <v>2.5000000000000001E-2</v>
      </c>
      <c r="C38" s="3031" t="s">
        <v>3042</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8"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3043" t="s">
        <v>3058</v>
      </c>
      <c r="B40" s="1210">
        <f ca="1">IF(A40="利息：取LPR",存贷款利率!G1,存贷款利率!G1+C40)</f>
        <v>3.85E-2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3" t="s">
        <v>1919</v>
      </c>
      <c r="B41" s="121">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9" t="s">
        <v>1920</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9" t="s">
        <v>1921</v>
      </c>
      <c r="B43" s="123">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0" t="s">
        <v>1922</v>
      </c>
      <c r="B44" s="124">
        <v>7.0000000000000007E-2</v>
      </c>
      <c r="C44" s="3031" t="s">
        <v>3051</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0" t="s">
        <v>1923</v>
      </c>
      <c r="B45" s="122">
        <v>0.03</v>
      </c>
      <c r="C45" s="3030" t="s">
        <v>3043</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0" t="s">
        <v>1924</v>
      </c>
      <c r="B46" s="122">
        <v>0.02</v>
      </c>
      <c r="C46" s="3030" t="s">
        <v>3044</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1" t="s">
        <v>1925</v>
      </c>
      <c r="B47" s="125">
        <v>0</v>
      </c>
      <c r="C47" s="3033" t="s">
        <v>3052</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2" t="s">
        <v>1926</v>
      </c>
      <c r="B48" s="126">
        <v>0.03</v>
      </c>
      <c r="C48" s="3030" t="s">
        <v>3043</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8" t="s">
        <v>1927</v>
      </c>
      <c r="B49" s="122">
        <v>5.0000000000000001E-4</v>
      </c>
      <c r="C49" s="3030" t="s">
        <v>3045</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3" t="s">
        <v>1928</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6" t="s">
        <v>1929</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3" t="s">
        <v>1930</v>
      </c>
      <c r="B52" s="129">
        <f>SUMIF(A54:A63,B53,B54:B63)</f>
        <v>24</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5" t="s">
        <v>1931</v>
      </c>
      <c r="B53" s="1924" t="s">
        <v>269</v>
      </c>
      <c r="C53" s="2885" t="s">
        <v>1932</v>
      </c>
      <c r="D53" s="3032" t="s">
        <v>3049</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5" t="s">
        <v>1933</v>
      </c>
      <c r="B54" s="80"/>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5" t="s">
        <v>1934</v>
      </c>
      <c r="B55" s="80">
        <v>24</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5" t="s">
        <v>1935</v>
      </c>
      <c r="B56" s="80"/>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5" t="s">
        <v>1936</v>
      </c>
      <c r="B57" s="80"/>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5" t="s">
        <v>1937</v>
      </c>
      <c r="B58" s="80"/>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5" t="s">
        <v>1938</v>
      </c>
      <c r="B59" s="80"/>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5"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5"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5"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6" t="s">
        <v>1942</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3" customWidth="1"/>
    <col min="4" max="4" width="2.625" style="2733" customWidth="1"/>
    <col min="5" max="5" width="5.875" style="2733" customWidth="1"/>
    <col min="6" max="6" width="27" style="1757"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7"/>
    <col min="30" max="16384" width="9" style="1872"/>
  </cols>
  <sheetData>
    <row r="1" spans="1:29" s="2680" customFormat="1" ht="18.75" thickBot="1">
      <c r="A1" s="3193" t="s">
        <v>3029</v>
      </c>
      <c r="B1" s="3194"/>
      <c r="C1" s="3194"/>
      <c r="D1" s="3194"/>
      <c r="E1" s="3194"/>
      <c r="F1" s="3194"/>
      <c r="G1" s="3194"/>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3024</v>
      </c>
      <c r="D2" s="2684"/>
      <c r="E2" s="2681"/>
      <c r="F2" s="2685"/>
      <c r="G2" s="2683" t="s">
        <v>3025</v>
      </c>
      <c r="H2" s="907"/>
      <c r="I2" s="907"/>
      <c r="J2" s="907"/>
      <c r="K2" s="907"/>
      <c r="L2" s="907"/>
      <c r="M2" s="907"/>
      <c r="N2" s="907"/>
      <c r="O2" s="907"/>
      <c r="P2" s="907"/>
      <c r="Q2" s="907"/>
      <c r="R2" s="907"/>
    </row>
    <row r="3" spans="1:29" ht="48">
      <c r="A3" s="2664" t="s">
        <v>3026</v>
      </c>
      <c r="B3" s="2686" t="s">
        <v>2995</v>
      </c>
      <c r="C3" s="2687" t="s">
        <v>3027</v>
      </c>
      <c r="D3" s="2688"/>
      <c r="E3" s="2665" t="s">
        <v>3026</v>
      </c>
      <c r="F3" s="2689" t="s">
        <v>2996</v>
      </c>
      <c r="G3" s="2690" t="s">
        <v>3028</v>
      </c>
      <c r="H3" s="907"/>
      <c r="I3" s="907"/>
      <c r="J3" s="907"/>
      <c r="K3" s="907"/>
      <c r="L3" s="907"/>
      <c r="M3" s="907"/>
      <c r="N3" s="907"/>
      <c r="O3" s="907"/>
      <c r="P3" s="907"/>
      <c r="Q3" s="907"/>
      <c r="R3" s="907"/>
    </row>
    <row r="4" spans="1:29" ht="36.75">
      <c r="A4" s="2665"/>
      <c r="B4" s="329" t="s">
        <v>2997</v>
      </c>
      <c r="C4" s="2691" t="s">
        <v>2998</v>
      </c>
      <c r="D4" s="2688"/>
      <c r="E4" s="2692"/>
      <c r="F4" s="1557" t="s">
        <v>2999</v>
      </c>
      <c r="G4" s="2693" t="s">
        <v>3000</v>
      </c>
      <c r="H4" s="907"/>
      <c r="I4" s="907"/>
      <c r="J4" s="907"/>
      <c r="K4" s="907"/>
      <c r="L4" s="907"/>
      <c r="M4" s="907"/>
      <c r="N4" s="907"/>
      <c r="O4" s="907"/>
      <c r="P4" s="907"/>
      <c r="Q4" s="907"/>
      <c r="R4" s="907"/>
    </row>
    <row r="5" spans="1:29" ht="36.75">
      <c r="A5" s="2665"/>
      <c r="B5" s="329" t="s">
        <v>3001</v>
      </c>
      <c r="C5" s="2691" t="s">
        <v>3002</v>
      </c>
      <c r="D5" s="2688"/>
      <c r="E5" s="2692"/>
      <c r="F5" s="329" t="s">
        <v>3003</v>
      </c>
      <c r="G5" s="2693" t="s">
        <v>3004</v>
      </c>
      <c r="H5" s="907"/>
      <c r="I5" s="907"/>
      <c r="J5" s="907"/>
      <c r="K5" s="907"/>
      <c r="L5" s="907"/>
      <c r="M5" s="907"/>
      <c r="N5" s="907"/>
      <c r="O5" s="907"/>
      <c r="P5" s="907"/>
      <c r="Q5" s="907"/>
      <c r="R5" s="907"/>
    </row>
    <row r="6" spans="1:29" ht="36">
      <c r="A6" s="2665"/>
      <c r="B6" s="329" t="s">
        <v>3005</v>
      </c>
      <c r="C6" s="2693" t="s">
        <v>3000</v>
      </c>
      <c r="D6" s="2688"/>
      <c r="E6" s="2692"/>
      <c r="F6" s="329" t="s">
        <v>3006</v>
      </c>
      <c r="G6" s="2693" t="s">
        <v>3007</v>
      </c>
      <c r="H6" s="907"/>
      <c r="I6" s="907"/>
      <c r="J6" s="907"/>
      <c r="K6" s="907"/>
      <c r="L6" s="907"/>
      <c r="M6" s="907"/>
      <c r="N6" s="907"/>
      <c r="O6" s="907"/>
      <c r="P6" s="907"/>
      <c r="Q6" s="907"/>
      <c r="R6" s="907"/>
    </row>
    <row r="7" spans="1:29" ht="24.75" thickBot="1">
      <c r="A7" s="2665"/>
      <c r="B7" s="329" t="s">
        <v>3003</v>
      </c>
      <c r="C7" s="2693" t="s">
        <v>3004</v>
      </c>
      <c r="D7" s="2694"/>
      <c r="E7" s="2695"/>
      <c r="F7" s="2696" t="s">
        <v>3008</v>
      </c>
      <c r="G7" s="2697" t="s">
        <v>3009</v>
      </c>
      <c r="H7" s="907"/>
      <c r="I7" s="907"/>
      <c r="J7" s="907"/>
      <c r="K7" s="907"/>
      <c r="L7" s="907"/>
      <c r="M7" s="907"/>
      <c r="N7" s="907"/>
      <c r="O7" s="907"/>
      <c r="P7" s="907"/>
      <c r="Q7" s="907"/>
      <c r="R7" s="907"/>
    </row>
    <row r="8" spans="1:29">
      <c r="A8" s="2665"/>
      <c r="B8" s="329" t="s">
        <v>3006</v>
      </c>
      <c r="C8" s="2693" t="s">
        <v>3007</v>
      </c>
      <c r="D8" s="2694"/>
      <c r="E8" s="2694"/>
      <c r="F8" s="2698"/>
      <c r="G8" s="2698"/>
      <c r="H8" s="907"/>
      <c r="I8" s="907"/>
      <c r="J8" s="907"/>
      <c r="K8" s="907"/>
      <c r="L8" s="907"/>
      <c r="M8" s="907"/>
      <c r="N8" s="907"/>
      <c r="O8" s="907"/>
      <c r="P8" s="907"/>
      <c r="Q8" s="907"/>
      <c r="R8" s="907"/>
    </row>
    <row r="9" spans="1:29" ht="24">
      <c r="A9" s="2665"/>
      <c r="B9" s="329" t="s">
        <v>3010</v>
      </c>
      <c r="C9" s="2691" t="s">
        <v>3011</v>
      </c>
      <c r="D9" s="2688"/>
      <c r="E9" s="2694"/>
      <c r="F9" s="2698"/>
      <c r="G9" s="2698"/>
      <c r="H9" s="907"/>
      <c r="I9" s="907"/>
      <c r="J9" s="907"/>
      <c r="K9" s="907"/>
      <c r="L9" s="907"/>
      <c r="M9" s="907"/>
      <c r="N9" s="907"/>
      <c r="O9" s="907"/>
      <c r="P9" s="907"/>
      <c r="Q9" s="907"/>
      <c r="R9" s="907"/>
    </row>
    <row r="10" spans="1:29" s="2704" customFormat="1" ht="15" thickBot="1">
      <c r="A10" s="2666"/>
      <c r="B10" s="2699" t="s">
        <v>3012</v>
      </c>
      <c r="C10" s="2700"/>
      <c r="D10" s="2688"/>
      <c r="E10" s="2688"/>
      <c r="F10" s="2698"/>
      <c r="G10" s="2698"/>
      <c r="H10" s="2701"/>
      <c r="I10" s="2702"/>
      <c r="J10" s="2703"/>
      <c r="K10" s="2701"/>
      <c r="L10" s="2702"/>
      <c r="M10" s="2703"/>
      <c r="N10" s="2701"/>
      <c r="O10" s="2702"/>
      <c r="P10" s="2703"/>
      <c r="Q10" s="2701"/>
      <c r="R10" s="2702"/>
      <c r="S10" s="907"/>
      <c r="T10" s="907"/>
      <c r="U10" s="907"/>
      <c r="V10" s="907"/>
      <c r="W10" s="907"/>
      <c r="X10" s="907"/>
      <c r="Y10" s="907"/>
      <c r="Z10" s="907"/>
      <c r="AA10" s="907"/>
      <c r="AB10" s="907"/>
      <c r="AC10" s="907"/>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7"/>
      <c r="T11" s="907"/>
      <c r="U11" s="907"/>
      <c r="V11" s="907"/>
      <c r="W11" s="907"/>
      <c r="X11" s="907"/>
      <c r="Y11" s="907"/>
      <c r="Z11" s="907"/>
      <c r="AA11" s="907"/>
      <c r="AB11" s="907"/>
      <c r="AC11" s="907"/>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3030</v>
      </c>
      <c r="B13" s="2707"/>
      <c r="C13" s="2707"/>
      <c r="D13" s="2705"/>
      <c r="E13" s="2707"/>
      <c r="F13" s="2707"/>
      <c r="G13" s="2707"/>
    </row>
    <row r="14" spans="1:29" ht="15" thickBot="1">
      <c r="A14" s="2717"/>
      <c r="B14" s="2717"/>
      <c r="C14" s="2718" t="s">
        <v>3013</v>
      </c>
      <c r="D14" s="2688"/>
      <c r="E14" s="2719"/>
      <c r="F14" s="2719"/>
      <c r="G14" s="2683" t="s">
        <v>3014</v>
      </c>
    </row>
    <row r="15" spans="1:29" ht="51">
      <c r="A15" s="2667" t="s">
        <v>3015</v>
      </c>
      <c r="B15" s="2720" t="s">
        <v>2995</v>
      </c>
      <c r="C15" s="2721" t="str">
        <f>C3</f>
        <v>估价对象周边居住用地比例、居住小区规模和社区发展完善程度，综合评价居住社区成熟度一般</v>
      </c>
      <c r="D15" s="2688"/>
      <c r="E15" s="2668" t="s">
        <v>3016</v>
      </c>
      <c r="F15" s="2720" t="s">
        <v>3017</v>
      </c>
      <c r="G15" s="2722" t="str">
        <f>G3</f>
        <v>估价对象位于XX开发区，园区建设成熟度XX，产业集聚程度XX</v>
      </c>
    </row>
    <row r="16" spans="1:29" ht="38.25">
      <c r="A16" s="2669"/>
      <c r="B16" s="2723" t="s">
        <v>2997</v>
      </c>
      <c r="C16" s="2724" t="str">
        <f>C4</f>
        <v>估价对象位于XX商圈，周边商业氛围成熟，人流量大，商业繁华度好</v>
      </c>
      <c r="D16" s="2688"/>
      <c r="E16" s="2670"/>
      <c r="F16" s="2725" t="s">
        <v>2999</v>
      </c>
      <c r="G16" s="2726" t="str">
        <f>G4</f>
        <v>估价对象周边道路状况、公共交通通达情况、停车便捷程度，综合评价交通便捷度较好</v>
      </c>
    </row>
    <row r="17" spans="1:18" ht="38.25">
      <c r="A17" s="2669"/>
      <c r="B17" s="2723" t="s">
        <v>3001</v>
      </c>
      <c r="C17" s="2724" t="str">
        <f>C5</f>
        <v>估价对象位于XX商圈，周边办公楼项目较多，入驻率高，办公集聚程度较好</v>
      </c>
      <c r="D17" s="2694"/>
      <c r="E17" s="2670"/>
      <c r="F17" s="2725" t="s">
        <v>3018</v>
      </c>
      <c r="G17" s="2727"/>
    </row>
    <row r="18" spans="1:18" ht="38.25">
      <c r="A18" s="2669"/>
      <c r="B18" s="2725" t="s">
        <v>3005</v>
      </c>
      <c r="C18" s="2726" t="str">
        <f>C6</f>
        <v>估价对象周边道路状况、公共交通通达情况、停车便捷程度，综合评价交通便捷度较好</v>
      </c>
      <c r="D18" s="2694"/>
      <c r="E18" s="2670"/>
      <c r="F18" s="2725" t="s">
        <v>3008</v>
      </c>
      <c r="G18" s="2726" t="str">
        <f>G7</f>
        <v>该园区内是否有污染型企业，绿化情况，卫生条件，整体环境状况判断</v>
      </c>
    </row>
    <row r="19" spans="1:18" ht="25.5">
      <c r="A19" s="2669"/>
      <c r="B19" s="2725" t="s">
        <v>3019</v>
      </c>
      <c r="C19" s="2727"/>
      <c r="D19" s="2688"/>
      <c r="E19" s="2670"/>
      <c r="F19" s="329" t="s">
        <v>3003</v>
      </c>
      <c r="G19" s="2726" t="str">
        <f>G5</f>
        <v>估价对象所在区域公共配套设施齐备情况</v>
      </c>
    </row>
    <row r="20" spans="1:18" ht="25.5">
      <c r="A20" s="2669"/>
      <c r="B20" s="2725" t="s">
        <v>3020</v>
      </c>
      <c r="C20" s="2724" t="str">
        <f>C9</f>
        <v>区域自然环境：；人文环境；综合评价环境状况一般</v>
      </c>
      <c r="D20" s="2694"/>
      <c r="E20" s="2670"/>
      <c r="F20" s="329" t="s">
        <v>3006</v>
      </c>
      <c r="G20" s="2726" t="str">
        <f>G6</f>
        <v>估价对象所在区域基础设施水平</v>
      </c>
    </row>
    <row r="21" spans="1:18" ht="25.5">
      <c r="A21" s="2669"/>
      <c r="B21" s="329" t="s">
        <v>3003</v>
      </c>
      <c r="C21" s="2726" t="str">
        <f>C7</f>
        <v>估价对象所在区域公共配套设施齐备情况</v>
      </c>
      <c r="D21" s="2688"/>
      <c r="E21" s="2670"/>
      <c r="F21" s="2725" t="s">
        <v>3021</v>
      </c>
      <c r="G21" s="2728"/>
    </row>
    <row r="22" spans="1:18" ht="13.5" customHeight="1">
      <c r="A22" s="2669"/>
      <c r="B22" s="329" t="s">
        <v>3006</v>
      </c>
      <c r="C22" s="2726" t="str">
        <f>C8</f>
        <v>估价对象所在区域基础设施水平</v>
      </c>
      <c r="D22" s="2688"/>
      <c r="E22" s="2670"/>
      <c r="F22" s="2725" t="s">
        <v>3012</v>
      </c>
      <c r="G22" s="2727"/>
    </row>
    <row r="23" spans="1:18" s="907" customFormat="1" ht="15" thickBot="1">
      <c r="A23" s="2669"/>
      <c r="B23" s="2725" t="s">
        <v>3021</v>
      </c>
      <c r="C23" s="2728"/>
      <c r="D23" s="1927"/>
      <c r="E23" s="2671"/>
      <c r="F23" s="2729" t="s">
        <v>3022</v>
      </c>
      <c r="G23" s="2730"/>
      <c r="H23" s="2714"/>
      <c r="I23" s="2715"/>
      <c r="J23" s="2714"/>
      <c r="K23" s="2714"/>
      <c r="L23" s="2715"/>
      <c r="M23" s="2714"/>
      <c r="N23" s="2714"/>
      <c r="O23" s="2715"/>
      <c r="P23" s="2714"/>
      <c r="Q23" s="2714"/>
      <c r="R23" s="2716"/>
    </row>
    <row r="24" spans="1:18" s="907" customFormat="1" ht="15" thickBot="1">
      <c r="A24" s="2672"/>
      <c r="B24" s="2729" t="s">
        <v>3023</v>
      </c>
      <c r="C24" s="2731">
        <f>C10</f>
        <v>0</v>
      </c>
      <c r="D24" s="1927"/>
      <c r="E24" s="2662"/>
      <c r="F24" s="2662"/>
      <c r="G24" s="2732"/>
      <c r="H24" s="2714"/>
      <c r="I24" s="2715"/>
      <c r="J24" s="2714"/>
      <c r="K24" s="2714"/>
      <c r="L24" s="2715"/>
      <c r="M24" s="2714"/>
      <c r="N24" s="2714"/>
      <c r="O24" s="2715"/>
      <c r="P24" s="2714"/>
      <c r="Q24" s="2714"/>
      <c r="R24" s="2716"/>
    </row>
    <row r="25" spans="1:18" s="907" customFormat="1">
      <c r="B25" s="2714"/>
      <c r="C25" s="2714"/>
      <c r="D25" s="2714"/>
      <c r="H25" s="2714"/>
      <c r="I25" s="2715"/>
      <c r="J25" s="2714"/>
      <c r="K25" s="2714"/>
      <c r="L25" s="2715"/>
      <c r="M25" s="2714"/>
      <c r="N25" s="2714"/>
      <c r="O25" s="2715"/>
      <c r="P25" s="2714"/>
      <c r="Q25" s="2714"/>
      <c r="R25" s="2716"/>
    </row>
    <row r="26" spans="1:18" s="907" customFormat="1">
      <c r="B26" s="2714"/>
      <c r="C26" s="2714"/>
      <c r="D26" s="2714"/>
      <c r="H26" s="2714"/>
      <c r="I26" s="2715"/>
      <c r="J26" s="2714"/>
      <c r="K26" s="2714"/>
      <c r="L26" s="2715"/>
      <c r="M26" s="2714"/>
      <c r="N26" s="2714"/>
      <c r="O26" s="2715"/>
      <c r="P26" s="2714"/>
      <c r="Q26" s="2714"/>
      <c r="R26" s="2716"/>
    </row>
    <row r="27" spans="1:18" s="907" customFormat="1">
      <c r="B27" s="2714"/>
      <c r="C27" s="2714"/>
      <c r="D27" s="2714"/>
      <c r="H27" s="2714"/>
      <c r="I27" s="2715"/>
      <c r="J27" s="2714"/>
      <c r="K27" s="2714"/>
      <c r="L27" s="2715"/>
      <c r="M27" s="2714"/>
      <c r="N27" s="2714"/>
      <c r="O27" s="2715"/>
      <c r="P27" s="2714"/>
      <c r="Q27" s="2714"/>
      <c r="R27" s="2716"/>
    </row>
    <row r="28" spans="1:18" s="907" customFormat="1">
      <c r="B28" s="2714"/>
      <c r="C28" s="2714"/>
      <c r="D28" s="2714"/>
      <c r="H28" s="2714"/>
      <c r="I28" s="2715"/>
      <c r="J28" s="2714"/>
      <c r="K28" s="2714"/>
      <c r="L28" s="2715"/>
      <c r="M28" s="2714"/>
      <c r="N28" s="2714"/>
      <c r="O28" s="2715"/>
      <c r="P28" s="2714"/>
      <c r="Q28" s="2714"/>
      <c r="R28" s="2716"/>
    </row>
    <row r="29" spans="1:18" s="907" customFormat="1">
      <c r="B29" s="2714"/>
      <c r="C29" s="2714"/>
      <c r="D29" s="2714"/>
      <c r="H29" s="2714"/>
      <c r="I29" s="2715"/>
      <c r="J29" s="2714"/>
      <c r="K29" s="2714"/>
      <c r="L29" s="2715"/>
      <c r="M29" s="2714"/>
      <c r="N29" s="2714"/>
      <c r="O29" s="2715"/>
      <c r="P29" s="2714"/>
      <c r="Q29" s="2714"/>
      <c r="R29" s="2716"/>
    </row>
    <row r="30" spans="1:18" s="907" customFormat="1">
      <c r="B30" s="2714"/>
      <c r="C30" s="2714"/>
      <c r="D30" s="2714"/>
      <c r="H30" s="2714"/>
      <c r="I30" s="2715"/>
      <c r="J30" s="2714"/>
      <c r="K30" s="2714"/>
      <c r="L30" s="2715"/>
      <c r="M30" s="2714"/>
      <c r="N30" s="2714"/>
      <c r="O30" s="2715"/>
      <c r="P30" s="2714"/>
      <c r="Q30" s="2714"/>
      <c r="R30" s="2716"/>
    </row>
    <row r="31" spans="1:18" s="907" customFormat="1">
      <c r="B31" s="2714"/>
      <c r="C31" s="2714"/>
      <c r="D31" s="2714"/>
      <c r="H31" s="2714"/>
      <c r="I31" s="2715"/>
      <c r="J31" s="2714"/>
      <c r="K31" s="2714"/>
      <c r="L31" s="2715"/>
      <c r="M31" s="2714"/>
      <c r="N31" s="2714"/>
      <c r="O31" s="2715"/>
      <c r="P31" s="2714"/>
      <c r="Q31" s="2714"/>
      <c r="R31" s="2716"/>
    </row>
    <row r="32" spans="1:18" s="907" customFormat="1">
      <c r="B32" s="2714"/>
      <c r="C32" s="2714"/>
      <c r="D32" s="2714"/>
      <c r="H32" s="2714"/>
      <c r="I32" s="2715"/>
      <c r="J32" s="2714"/>
      <c r="K32" s="2714"/>
      <c r="L32" s="2715"/>
      <c r="M32" s="2714"/>
      <c r="N32" s="2714"/>
      <c r="O32" s="2715"/>
      <c r="P32" s="2714"/>
      <c r="Q32" s="2714"/>
      <c r="R32" s="2716"/>
    </row>
    <row r="33" spans="2:18" s="907" customFormat="1">
      <c r="B33" s="2714"/>
      <c r="C33" s="2714"/>
      <c r="D33" s="2714"/>
      <c r="H33" s="2714"/>
      <c r="I33" s="2715"/>
      <c r="J33" s="2714"/>
      <c r="K33" s="2714"/>
      <c r="L33" s="2715"/>
      <c r="M33" s="2714"/>
      <c r="N33" s="2714"/>
      <c r="O33" s="2715"/>
      <c r="P33" s="2714"/>
      <c r="Q33" s="2714"/>
      <c r="R33" s="2716"/>
    </row>
    <row r="34" spans="2:18" s="907" customFormat="1">
      <c r="B34" s="2714"/>
      <c r="C34" s="2714"/>
      <c r="D34" s="2714"/>
      <c r="H34" s="2714"/>
      <c r="I34" s="2715"/>
      <c r="J34" s="2714"/>
      <c r="K34" s="2714"/>
      <c r="L34" s="2715"/>
      <c r="M34" s="2714"/>
      <c r="N34" s="2714"/>
      <c r="O34" s="2715"/>
      <c r="P34" s="2714"/>
      <c r="Q34" s="2714"/>
      <c r="R34" s="2716"/>
    </row>
    <row r="35" spans="2:18" s="907" customFormat="1">
      <c r="B35" s="2714"/>
      <c r="C35" s="2714"/>
      <c r="D35" s="2714"/>
      <c r="H35" s="2714"/>
      <c r="I35" s="2715"/>
      <c r="J35" s="2714"/>
      <c r="K35" s="2714"/>
      <c r="L35" s="2715"/>
      <c r="M35" s="2714"/>
      <c r="N35" s="2714"/>
      <c r="O35" s="2715"/>
      <c r="P35" s="2714"/>
      <c r="Q35" s="2714"/>
      <c r="R35" s="2716"/>
    </row>
    <row r="36" spans="2:18" s="907" customFormat="1">
      <c r="B36" s="2714"/>
      <c r="C36" s="2714"/>
      <c r="D36" s="2714"/>
      <c r="H36" s="2714"/>
      <c r="I36" s="2715"/>
      <c r="J36" s="2714"/>
      <c r="K36" s="2714"/>
      <c r="L36" s="2715"/>
      <c r="M36" s="2714"/>
      <c r="N36" s="2714"/>
      <c r="O36" s="2715"/>
      <c r="P36" s="2714"/>
      <c r="Q36" s="2714"/>
      <c r="R36" s="2716"/>
    </row>
    <row r="37" spans="2:18" s="907" customFormat="1">
      <c r="B37" s="2714"/>
      <c r="C37" s="2714"/>
      <c r="D37" s="2714"/>
      <c r="H37" s="2714"/>
      <c r="I37" s="2715"/>
      <c r="J37" s="2714"/>
      <c r="K37" s="2714"/>
      <c r="L37" s="2715"/>
      <c r="M37" s="2714"/>
      <c r="N37" s="2714"/>
      <c r="O37" s="2715"/>
      <c r="P37" s="2714"/>
      <c r="Q37" s="2714"/>
      <c r="R37" s="2716"/>
    </row>
    <row r="38" spans="2:18" s="907" customFormat="1">
      <c r="B38" s="2714"/>
      <c r="C38" s="2714"/>
      <c r="D38" s="2714"/>
      <c r="E38" s="2714"/>
      <c r="F38" s="2714"/>
      <c r="G38" s="2715"/>
      <c r="H38" s="2714"/>
      <c r="I38" s="2715"/>
      <c r="J38" s="2714"/>
      <c r="K38" s="2714"/>
      <c r="L38" s="2715"/>
      <c r="M38" s="2714"/>
      <c r="N38" s="2714"/>
      <c r="O38" s="2715"/>
      <c r="P38" s="2714"/>
      <c r="Q38" s="2714"/>
      <c r="R38" s="2716"/>
    </row>
    <row r="39" spans="2:18" s="907" customFormat="1">
      <c r="B39" s="2714"/>
      <c r="C39" s="2714"/>
      <c r="D39" s="2714"/>
      <c r="E39" s="2714"/>
      <c r="F39" s="2714"/>
      <c r="G39" s="2715"/>
      <c r="H39" s="2714"/>
      <c r="I39" s="2715"/>
      <c r="J39" s="2714"/>
      <c r="K39" s="2714"/>
      <c r="L39" s="2715"/>
      <c r="M39" s="2714"/>
      <c r="N39" s="2714"/>
      <c r="O39" s="2715"/>
      <c r="P39" s="2714"/>
      <c r="Q39" s="2714"/>
      <c r="R39" s="2716"/>
    </row>
    <row r="40" spans="2:18" s="907" customFormat="1">
      <c r="B40" s="2714"/>
      <c r="C40" s="2714"/>
      <c r="D40" s="2714"/>
      <c r="E40" s="2714"/>
      <c r="F40" s="2714"/>
      <c r="G40" s="2715"/>
      <c r="H40" s="2714"/>
      <c r="I40" s="2715"/>
      <c r="J40" s="2714"/>
      <c r="K40" s="2714"/>
      <c r="L40" s="2715"/>
      <c r="M40" s="2714"/>
      <c r="N40" s="2714"/>
      <c r="O40" s="2715"/>
      <c r="P40" s="2714"/>
      <c r="Q40" s="2714"/>
      <c r="R40" s="2716"/>
    </row>
    <row r="41" spans="2:18" s="907" customFormat="1">
      <c r="B41" s="2714"/>
      <c r="C41" s="2714"/>
      <c r="D41" s="2714"/>
      <c r="E41" s="2714"/>
      <c r="F41" s="2714"/>
      <c r="G41" s="2715"/>
      <c r="H41" s="2714"/>
      <c r="I41" s="2715"/>
      <c r="J41" s="2714"/>
      <c r="K41" s="2714"/>
      <c r="L41" s="2715"/>
      <c r="M41" s="2714"/>
      <c r="N41" s="2714"/>
      <c r="O41" s="2715"/>
      <c r="P41" s="2714"/>
      <c r="Q41" s="2714"/>
      <c r="R41" s="2716"/>
    </row>
    <row r="42" spans="2:18" s="907" customFormat="1">
      <c r="B42" s="2714"/>
      <c r="C42" s="2714"/>
      <c r="D42" s="2714"/>
      <c r="E42" s="2714"/>
      <c r="F42" s="2714"/>
      <c r="G42" s="2715"/>
      <c r="H42" s="2714"/>
      <c r="I42" s="2715"/>
      <c r="J42" s="2714"/>
      <c r="K42" s="2714"/>
      <c r="L42" s="2715"/>
      <c r="M42" s="2714"/>
      <c r="N42" s="2714"/>
      <c r="O42" s="2715"/>
      <c r="P42" s="2714"/>
      <c r="Q42" s="2714"/>
      <c r="R42" s="2716"/>
    </row>
    <row r="43" spans="2:18" s="907" customFormat="1">
      <c r="B43" s="2714"/>
      <c r="C43" s="2714"/>
      <c r="D43" s="2714"/>
      <c r="E43" s="2714"/>
      <c r="F43" s="2714"/>
      <c r="G43" s="2715"/>
      <c r="H43" s="2714"/>
      <c r="I43" s="2715"/>
      <c r="J43" s="2714"/>
      <c r="K43" s="2714"/>
      <c r="L43" s="2715"/>
      <c r="M43" s="2714"/>
      <c r="N43" s="2714"/>
      <c r="O43" s="2715"/>
      <c r="P43" s="2714"/>
      <c r="Q43" s="2714"/>
      <c r="R43" s="2716"/>
    </row>
    <row r="44" spans="2:18" s="907" customFormat="1">
      <c r="B44" s="2714"/>
      <c r="C44" s="2714"/>
      <c r="D44" s="2714"/>
      <c r="E44" s="2714"/>
      <c r="F44" s="2714"/>
      <c r="G44" s="2715"/>
      <c r="H44" s="2714"/>
      <c r="I44" s="2715"/>
      <c r="J44" s="2714"/>
      <c r="K44" s="2714"/>
      <c r="L44" s="2715"/>
      <c r="M44" s="2714"/>
      <c r="N44" s="2714"/>
      <c r="O44" s="2715"/>
      <c r="P44" s="2714"/>
      <c r="Q44" s="2714"/>
      <c r="R44" s="2716"/>
    </row>
    <row r="45" spans="2:18" s="907" customFormat="1">
      <c r="B45" s="2714"/>
      <c r="C45" s="2714"/>
      <c r="D45" s="2714"/>
      <c r="E45" s="2714"/>
      <c r="F45" s="2714"/>
      <c r="G45" s="2715"/>
      <c r="H45" s="2714"/>
      <c r="I45" s="2715"/>
      <c r="J45" s="2714"/>
      <c r="K45" s="2714"/>
      <c r="L45" s="2715"/>
      <c r="M45" s="2714"/>
      <c r="N45" s="2714"/>
      <c r="O45" s="2715"/>
      <c r="P45" s="2714"/>
      <c r="Q45" s="2714"/>
      <c r="R45" s="2716"/>
    </row>
    <row r="46" spans="2:18" s="907" customFormat="1">
      <c r="B46" s="2714"/>
      <c r="C46" s="2714"/>
      <c r="D46" s="2714"/>
      <c r="E46" s="2714"/>
      <c r="F46" s="2714"/>
      <c r="G46" s="2715"/>
      <c r="H46" s="2714"/>
      <c r="I46" s="2715"/>
      <c r="J46" s="2714"/>
      <c r="K46" s="2714"/>
      <c r="L46" s="2715"/>
      <c r="M46" s="2714"/>
      <c r="N46" s="2714"/>
      <c r="O46" s="2715"/>
      <c r="P46" s="2714"/>
      <c r="Q46" s="2714"/>
      <c r="R46" s="2716"/>
    </row>
    <row r="47" spans="2:18" s="907" customFormat="1">
      <c r="B47" s="2714"/>
      <c r="C47" s="2714"/>
      <c r="D47" s="2714"/>
      <c r="E47" s="2714"/>
      <c r="F47" s="2714"/>
      <c r="G47" s="2715"/>
      <c r="H47" s="2714"/>
      <c r="I47" s="2715"/>
      <c r="J47" s="2714"/>
      <c r="K47" s="2714"/>
      <c r="L47" s="2715"/>
      <c r="M47" s="2714"/>
      <c r="N47" s="2714"/>
      <c r="O47" s="2715"/>
      <c r="P47" s="2714"/>
      <c r="Q47" s="2714"/>
      <c r="R47" s="2716"/>
    </row>
    <row r="48" spans="2:18" s="907" customFormat="1">
      <c r="B48" s="2714"/>
      <c r="C48" s="2714"/>
      <c r="D48" s="2714"/>
      <c r="E48" s="2714"/>
      <c r="F48" s="2714"/>
      <c r="G48" s="2715"/>
      <c r="H48" s="2714"/>
      <c r="I48" s="2715"/>
      <c r="J48" s="2714"/>
      <c r="K48" s="2714"/>
      <c r="L48" s="2715"/>
      <c r="M48" s="2714"/>
      <c r="N48" s="2714"/>
      <c r="O48" s="2715"/>
      <c r="P48" s="2714"/>
      <c r="Q48" s="2714"/>
      <c r="R48" s="2716"/>
    </row>
    <row r="49" spans="2:18" s="907" customFormat="1">
      <c r="B49" s="2714"/>
      <c r="C49" s="2714"/>
      <c r="D49" s="2714"/>
      <c r="E49" s="2714"/>
      <c r="F49" s="2714"/>
      <c r="G49" s="2715"/>
      <c r="H49" s="2714"/>
      <c r="I49" s="2715"/>
      <c r="J49" s="2714"/>
      <c r="K49" s="2714"/>
      <c r="L49" s="2715"/>
      <c r="M49" s="2714"/>
      <c r="N49" s="2714"/>
      <c r="O49" s="2715"/>
      <c r="P49" s="2714"/>
      <c r="Q49" s="2714"/>
      <c r="R49" s="2716"/>
    </row>
    <row r="50" spans="2:18" s="907" customFormat="1">
      <c r="B50" s="2714"/>
      <c r="C50" s="2714"/>
      <c r="D50" s="2714"/>
      <c r="E50" s="2714"/>
      <c r="F50" s="2714"/>
      <c r="G50" s="2715"/>
      <c r="H50" s="2714"/>
      <c r="I50" s="2715"/>
      <c r="J50" s="2714"/>
      <c r="K50" s="2714"/>
      <c r="L50" s="2715"/>
      <c r="M50" s="2714"/>
      <c r="N50" s="2714"/>
      <c r="O50" s="2715"/>
      <c r="P50" s="2714"/>
      <c r="Q50" s="2714"/>
      <c r="R50" s="2716"/>
    </row>
    <row r="51" spans="2:18" s="907" customFormat="1">
      <c r="B51" s="2714"/>
      <c r="C51" s="2714"/>
      <c r="D51" s="2714"/>
      <c r="E51" s="2714"/>
      <c r="F51" s="2714"/>
      <c r="G51" s="2715"/>
      <c r="H51" s="2714"/>
      <c r="I51" s="2715"/>
      <c r="J51" s="2714"/>
      <c r="K51" s="2714"/>
      <c r="L51" s="2715"/>
      <c r="M51" s="2714"/>
      <c r="N51" s="2714"/>
      <c r="O51" s="2715"/>
      <c r="P51" s="2714"/>
      <c r="Q51" s="2714"/>
      <c r="R51" s="2716"/>
    </row>
    <row r="52" spans="2:18" s="907" customFormat="1">
      <c r="B52" s="2714"/>
      <c r="C52" s="2714"/>
      <c r="D52" s="2714"/>
      <c r="E52" s="2714"/>
      <c r="F52" s="2714"/>
      <c r="G52" s="2715"/>
      <c r="H52" s="2714"/>
      <c r="I52" s="2715"/>
      <c r="J52" s="2714"/>
      <c r="K52" s="2714"/>
      <c r="L52" s="2715"/>
      <c r="M52" s="2714"/>
      <c r="N52" s="2714"/>
      <c r="O52" s="2715"/>
      <c r="P52" s="2714"/>
      <c r="Q52" s="2714"/>
      <c r="R52" s="2716"/>
    </row>
    <row r="53" spans="2:18" s="907" customFormat="1">
      <c r="B53" s="2714"/>
      <c r="C53" s="2714"/>
      <c r="D53" s="2714"/>
      <c r="E53" s="2714"/>
      <c r="F53" s="2714"/>
      <c r="G53" s="2715"/>
      <c r="H53" s="2714"/>
      <c r="I53" s="2715"/>
      <c r="J53" s="2714"/>
      <c r="K53" s="2714"/>
      <c r="L53" s="2715"/>
      <c r="M53" s="2714"/>
      <c r="N53" s="2714"/>
      <c r="O53" s="2715"/>
      <c r="P53" s="2714"/>
      <c r="Q53" s="2714"/>
      <c r="R53" s="2716"/>
    </row>
    <row r="54" spans="2:18" s="907" customFormat="1">
      <c r="B54" s="2714"/>
      <c r="C54" s="2714"/>
      <c r="D54" s="2714"/>
      <c r="E54" s="2714"/>
      <c r="F54" s="2714"/>
      <c r="G54" s="2715"/>
      <c r="H54" s="2714"/>
      <c r="I54" s="2715"/>
      <c r="J54" s="2714"/>
      <c r="K54" s="2714"/>
      <c r="L54" s="2715"/>
      <c r="M54" s="2714"/>
      <c r="N54" s="2714"/>
      <c r="O54" s="2715"/>
      <c r="P54" s="2714"/>
      <c r="Q54" s="2714"/>
      <c r="R54" s="2716"/>
    </row>
    <row r="55" spans="2:18" s="907" customFormat="1">
      <c r="B55" s="2714"/>
      <c r="C55" s="2714"/>
      <c r="D55" s="2714"/>
      <c r="E55" s="2714"/>
      <c r="F55" s="2714"/>
      <c r="G55" s="2715"/>
      <c r="H55" s="2714"/>
      <c r="I55" s="2715"/>
      <c r="J55" s="2714"/>
      <c r="K55" s="2714"/>
      <c r="L55" s="2715"/>
      <c r="M55" s="2714"/>
      <c r="N55" s="2714"/>
      <c r="O55" s="2715"/>
      <c r="P55" s="2714"/>
      <c r="Q55" s="2714"/>
      <c r="R55" s="2716"/>
    </row>
    <row r="56" spans="2:18" s="907" customFormat="1">
      <c r="B56" s="2714"/>
      <c r="C56" s="2714"/>
      <c r="D56" s="2714"/>
      <c r="E56" s="2714"/>
      <c r="F56" s="2714"/>
      <c r="G56" s="2715"/>
      <c r="H56" s="2714"/>
      <c r="I56" s="2715"/>
      <c r="J56" s="2714"/>
      <c r="K56" s="2714"/>
      <c r="L56" s="2715"/>
      <c r="M56" s="2714"/>
      <c r="N56" s="2714"/>
      <c r="O56" s="2715"/>
      <c r="P56" s="2714"/>
      <c r="Q56" s="2714"/>
      <c r="R56" s="2716"/>
    </row>
    <row r="57" spans="2:18" s="907" customFormat="1">
      <c r="B57" s="2714"/>
      <c r="C57" s="2714"/>
      <c r="D57" s="2714"/>
      <c r="E57" s="2714"/>
      <c r="F57" s="2714"/>
      <c r="G57" s="2715"/>
      <c r="H57" s="2714"/>
      <c r="I57" s="2715"/>
      <c r="J57" s="2714"/>
      <c r="K57" s="2714"/>
      <c r="L57" s="2715"/>
      <c r="M57" s="2714"/>
      <c r="N57" s="2714"/>
      <c r="O57" s="2715"/>
      <c r="P57" s="2714"/>
      <c r="Q57" s="2714"/>
      <c r="R57" s="2716"/>
    </row>
    <row r="58" spans="2:18" s="907" customFormat="1">
      <c r="B58" s="2714"/>
      <c r="C58" s="2714"/>
      <c r="D58" s="2714"/>
      <c r="E58" s="2714"/>
      <c r="F58" s="2714"/>
      <c r="G58" s="2715"/>
      <c r="H58" s="2714"/>
      <c r="I58" s="2715"/>
      <c r="J58" s="2714"/>
      <c r="K58" s="2714"/>
      <c r="L58" s="2715"/>
      <c r="M58" s="2714"/>
      <c r="N58" s="2714"/>
      <c r="O58" s="2715"/>
      <c r="P58" s="2714"/>
      <c r="Q58" s="2714"/>
      <c r="R58" s="2716"/>
    </row>
    <row r="59" spans="2:18" s="907" customFormat="1">
      <c r="B59" s="2714"/>
      <c r="C59" s="2714"/>
      <c r="D59" s="2714"/>
      <c r="E59" s="2714"/>
      <c r="F59" s="2714"/>
      <c r="G59" s="2715"/>
      <c r="H59" s="2714"/>
      <c r="I59" s="2715"/>
      <c r="J59" s="2714"/>
      <c r="K59" s="2714"/>
      <c r="L59" s="2715"/>
      <c r="M59" s="2714"/>
      <c r="N59" s="2714"/>
      <c r="O59" s="2715"/>
      <c r="P59" s="2714"/>
      <c r="Q59" s="2714"/>
      <c r="R59" s="2716"/>
    </row>
    <row r="60" spans="2:18" s="907" customFormat="1">
      <c r="B60" s="2714"/>
      <c r="C60" s="2714"/>
      <c r="D60" s="2714"/>
      <c r="E60" s="2714"/>
      <c r="F60" s="2714"/>
      <c r="G60" s="2715"/>
      <c r="H60" s="2714"/>
      <c r="I60" s="2715"/>
      <c r="J60" s="2714"/>
      <c r="K60" s="2714"/>
      <c r="L60" s="2715"/>
      <c r="M60" s="2714"/>
      <c r="N60" s="2714"/>
      <c r="O60" s="2715"/>
      <c r="P60" s="2714"/>
      <c r="Q60" s="2714"/>
      <c r="R60" s="2716"/>
    </row>
    <row r="61" spans="2:18" s="907" customFormat="1">
      <c r="B61" s="2714"/>
      <c r="C61" s="2714"/>
      <c r="D61" s="2714"/>
      <c r="E61" s="2714"/>
      <c r="F61" s="2714"/>
      <c r="G61" s="2715"/>
      <c r="H61" s="2714"/>
      <c r="I61" s="2715"/>
      <c r="J61" s="2714"/>
      <c r="K61" s="2714"/>
      <c r="L61" s="2715"/>
      <c r="M61" s="2714"/>
      <c r="N61" s="2714"/>
      <c r="O61" s="2715"/>
      <c r="P61" s="2714"/>
      <c r="Q61" s="2714"/>
      <c r="R61" s="2716"/>
    </row>
    <row r="62" spans="2:18" s="907" customFormat="1">
      <c r="B62" s="2714"/>
      <c r="C62" s="2714"/>
      <c r="D62" s="2714"/>
      <c r="E62" s="2714"/>
      <c r="F62" s="2714"/>
      <c r="G62" s="2715"/>
      <c r="H62" s="2714"/>
      <c r="I62" s="2715"/>
      <c r="J62" s="2714"/>
      <c r="K62" s="2714"/>
      <c r="L62" s="2715"/>
      <c r="M62" s="2714"/>
      <c r="N62" s="2714"/>
      <c r="O62" s="2715"/>
      <c r="P62" s="2714"/>
      <c r="Q62" s="2714"/>
      <c r="R62" s="2716"/>
    </row>
    <row r="63" spans="2:18" s="907" customFormat="1">
      <c r="B63" s="2714"/>
      <c r="C63" s="2714"/>
      <c r="D63" s="2714"/>
      <c r="E63" s="2714"/>
      <c r="F63" s="2714"/>
      <c r="G63" s="2715"/>
      <c r="H63" s="2714"/>
      <c r="I63" s="2715"/>
      <c r="J63" s="2714"/>
      <c r="K63" s="2714"/>
      <c r="L63" s="2715"/>
      <c r="M63" s="2714"/>
      <c r="N63" s="2714"/>
      <c r="O63" s="2715"/>
      <c r="P63" s="2714"/>
      <c r="Q63" s="2714"/>
      <c r="R63" s="2716"/>
    </row>
    <row r="64" spans="2:18" s="907" customFormat="1">
      <c r="B64" s="2714"/>
      <c r="C64" s="2714"/>
      <c r="D64" s="2714"/>
      <c r="E64" s="2714"/>
      <c r="F64" s="2714"/>
      <c r="G64" s="2715"/>
      <c r="H64" s="2714"/>
      <c r="I64" s="2715"/>
      <c r="J64" s="2714"/>
      <c r="K64" s="2714"/>
      <c r="L64" s="2715"/>
      <c r="M64" s="2714"/>
      <c r="N64" s="2714"/>
      <c r="O64" s="2715"/>
      <c r="P64" s="2714"/>
      <c r="Q64" s="2714"/>
      <c r="R64" s="2716"/>
    </row>
    <row r="65" spans="2:18" s="907" customFormat="1">
      <c r="B65" s="2714"/>
      <c r="C65" s="2714"/>
      <c r="D65" s="2714"/>
      <c r="E65" s="2714"/>
      <c r="F65" s="2714"/>
      <c r="G65" s="2715"/>
      <c r="H65" s="2714"/>
      <c r="I65" s="2715"/>
      <c r="J65" s="2714"/>
      <c r="K65" s="2714"/>
      <c r="L65" s="2715"/>
      <c r="M65" s="2714"/>
      <c r="N65" s="2714"/>
      <c r="O65" s="2715"/>
      <c r="P65" s="2714"/>
      <c r="Q65" s="2714"/>
      <c r="R65" s="2716"/>
    </row>
    <row r="66" spans="2:18" s="907" customFormat="1">
      <c r="B66" s="2714"/>
      <c r="C66" s="2714"/>
      <c r="D66" s="2714"/>
      <c r="E66" s="2714"/>
      <c r="F66" s="2714"/>
      <c r="G66" s="2715"/>
      <c r="H66" s="2714"/>
      <c r="I66" s="2715"/>
      <c r="J66" s="2714"/>
      <c r="K66" s="2714"/>
      <c r="L66" s="2715"/>
      <c r="M66" s="2714"/>
      <c r="N66" s="2714"/>
      <c r="O66" s="2715"/>
      <c r="P66" s="2714"/>
      <c r="Q66" s="2714"/>
      <c r="R66" s="2716"/>
    </row>
    <row r="67" spans="2:18" s="907" customFormat="1">
      <c r="B67" s="2714"/>
      <c r="C67" s="2714"/>
      <c r="D67" s="2714"/>
      <c r="E67" s="2714"/>
      <c r="F67" s="2714"/>
      <c r="G67" s="2715"/>
      <c r="H67" s="2714"/>
      <c r="I67" s="2715"/>
      <c r="J67" s="2714"/>
      <c r="K67" s="2714"/>
      <c r="L67" s="2715"/>
      <c r="M67" s="2714"/>
      <c r="N67" s="2714"/>
      <c r="O67" s="2715"/>
      <c r="P67" s="2714"/>
      <c r="Q67" s="2714"/>
      <c r="R67" s="2716"/>
    </row>
    <row r="68" spans="2:18" s="907" customFormat="1">
      <c r="B68" s="2714"/>
      <c r="C68" s="2714"/>
      <c r="D68" s="2714"/>
      <c r="E68" s="2714"/>
      <c r="F68" s="2714"/>
      <c r="G68" s="2715"/>
      <c r="H68" s="2714"/>
      <c r="I68" s="2715"/>
      <c r="J68" s="2714"/>
      <c r="K68" s="2714"/>
      <c r="L68" s="2715"/>
      <c r="M68" s="2714"/>
      <c r="N68" s="2714"/>
      <c r="O68" s="2715"/>
      <c r="P68" s="2714"/>
      <c r="Q68" s="2714"/>
      <c r="R68" s="2716"/>
    </row>
    <row r="69" spans="2:18" s="907" customFormat="1">
      <c r="B69" s="2714"/>
      <c r="C69" s="2714"/>
      <c r="D69" s="2714"/>
      <c r="E69" s="2714"/>
      <c r="F69" s="2714"/>
      <c r="G69" s="2715"/>
      <c r="H69" s="2714"/>
      <c r="I69" s="2715"/>
      <c r="J69" s="2714"/>
      <c r="K69" s="2714"/>
      <c r="L69" s="2715"/>
      <c r="M69" s="2714"/>
      <c r="N69" s="2714"/>
      <c r="O69" s="2715"/>
      <c r="P69" s="2714"/>
      <c r="Q69" s="2714"/>
      <c r="R69" s="2716"/>
    </row>
    <row r="70" spans="2:18" s="907" customFormat="1">
      <c r="B70" s="2714"/>
      <c r="C70" s="2714"/>
      <c r="D70" s="2714"/>
      <c r="E70" s="2714"/>
      <c r="F70" s="2714"/>
      <c r="G70" s="2715"/>
      <c r="H70" s="2714"/>
      <c r="I70" s="2715"/>
      <c r="J70" s="2714"/>
      <c r="K70" s="2714"/>
      <c r="L70" s="2715"/>
      <c r="M70" s="2714"/>
      <c r="N70" s="2714"/>
      <c r="O70" s="2715"/>
      <c r="P70" s="2714"/>
      <c r="Q70" s="2714"/>
      <c r="R70" s="2716"/>
    </row>
    <row r="71" spans="2:18" s="907" customFormat="1">
      <c r="B71" s="2714"/>
      <c r="C71" s="2714"/>
      <c r="D71" s="2714"/>
      <c r="E71" s="2714"/>
      <c r="F71" s="2714"/>
      <c r="G71" s="2715"/>
      <c r="H71" s="2714"/>
      <c r="I71" s="2715"/>
      <c r="J71" s="2714"/>
      <c r="K71" s="2714"/>
      <c r="L71" s="2715"/>
      <c r="M71" s="2714"/>
      <c r="N71" s="2714"/>
      <c r="O71" s="2715"/>
      <c r="P71" s="2714"/>
      <c r="Q71" s="2714"/>
      <c r="R71" s="2716"/>
    </row>
    <row r="72" spans="2:18" s="907" customFormat="1">
      <c r="B72" s="2714"/>
      <c r="C72" s="2714"/>
      <c r="D72" s="2714"/>
      <c r="E72" s="2714"/>
      <c r="F72" s="2714"/>
      <c r="G72" s="2715"/>
      <c r="H72" s="2714"/>
      <c r="I72" s="2715"/>
      <c r="J72" s="2714"/>
      <c r="K72" s="2714"/>
      <c r="L72" s="2715"/>
      <c r="M72" s="2714"/>
      <c r="N72" s="2714"/>
      <c r="O72" s="2715"/>
      <c r="P72" s="2714"/>
      <c r="Q72" s="2714"/>
      <c r="R72" s="2716"/>
    </row>
    <row r="73" spans="2:18" s="907" customFormat="1">
      <c r="B73" s="2714"/>
      <c r="C73" s="2714"/>
      <c r="D73" s="2714"/>
      <c r="E73" s="2714"/>
      <c r="F73" s="2714"/>
      <c r="G73" s="2715"/>
      <c r="H73" s="2714"/>
      <c r="I73" s="2715"/>
      <c r="J73" s="2714"/>
      <c r="K73" s="2714"/>
      <c r="L73" s="2715"/>
      <c r="M73" s="2714"/>
      <c r="N73" s="2714"/>
      <c r="O73" s="2715"/>
      <c r="P73" s="2714"/>
      <c r="Q73" s="2714"/>
      <c r="R73" s="2716"/>
    </row>
    <row r="74" spans="2:18" s="907" customFormat="1">
      <c r="B74" s="2714"/>
      <c r="C74" s="2714"/>
      <c r="D74" s="2714"/>
      <c r="E74" s="2714"/>
      <c r="F74" s="2714"/>
      <c r="G74" s="2715"/>
      <c r="H74" s="2714"/>
      <c r="I74" s="2715"/>
      <c r="J74" s="2714"/>
      <c r="K74" s="2714"/>
      <c r="L74" s="2715"/>
      <c r="M74" s="2714"/>
      <c r="N74" s="2714"/>
      <c r="O74" s="2715"/>
      <c r="P74" s="2714"/>
      <c r="Q74" s="2714"/>
      <c r="R74" s="2716"/>
    </row>
    <row r="75" spans="2:18" s="907" customFormat="1">
      <c r="B75" s="2714"/>
      <c r="C75" s="2714"/>
      <c r="D75" s="2714"/>
      <c r="E75" s="2714"/>
      <c r="F75" s="2714"/>
      <c r="G75" s="2715"/>
      <c r="H75" s="2714"/>
      <c r="I75" s="2715"/>
      <c r="J75" s="2714"/>
      <c r="K75" s="2714"/>
      <c r="L75" s="2715"/>
      <c r="M75" s="2714"/>
      <c r="N75" s="2714"/>
      <c r="O75" s="2715"/>
      <c r="P75" s="2714"/>
      <c r="Q75" s="2714"/>
      <c r="R75" s="2716"/>
    </row>
    <row r="76" spans="2:18" s="907" customFormat="1">
      <c r="B76" s="2714"/>
      <c r="C76" s="2714"/>
      <c r="D76" s="2714"/>
      <c r="E76" s="2714"/>
      <c r="F76" s="2714"/>
      <c r="G76" s="2715"/>
      <c r="H76" s="2714"/>
      <c r="I76" s="2715"/>
      <c r="J76" s="2714"/>
      <c r="K76" s="2714"/>
      <c r="L76" s="2715"/>
      <c r="M76" s="2714"/>
      <c r="N76" s="2714"/>
      <c r="O76" s="2715"/>
      <c r="P76" s="2714"/>
      <c r="Q76" s="2714"/>
      <c r="R76" s="2716"/>
    </row>
    <row r="77" spans="2:18" s="907" customFormat="1">
      <c r="B77" s="2714"/>
      <c r="C77" s="2714"/>
      <c r="D77" s="2714"/>
      <c r="E77" s="2714"/>
      <c r="F77" s="2714"/>
      <c r="G77" s="2715"/>
      <c r="H77" s="2714"/>
      <c r="I77" s="2715"/>
      <c r="J77" s="2714"/>
      <c r="K77" s="2714"/>
      <c r="L77" s="2715"/>
      <c r="M77" s="2714"/>
      <c r="N77" s="2714"/>
      <c r="O77" s="2715"/>
      <c r="P77" s="2714"/>
      <c r="Q77" s="2714"/>
      <c r="R77" s="2716"/>
    </row>
    <row r="78" spans="2:18" s="907" customFormat="1">
      <c r="B78" s="2714"/>
      <c r="C78" s="2714"/>
      <c r="D78" s="2714"/>
      <c r="E78" s="2714"/>
      <c r="F78" s="2714"/>
      <c r="G78" s="2715"/>
      <c r="H78" s="2714"/>
      <c r="I78" s="2715"/>
      <c r="J78" s="2714"/>
      <c r="K78" s="2714"/>
      <c r="L78" s="2715"/>
      <c r="M78" s="2714"/>
      <c r="N78" s="2714"/>
      <c r="O78" s="2715"/>
      <c r="P78" s="2714"/>
      <c r="Q78" s="2714"/>
      <c r="R78" s="2716"/>
    </row>
    <row r="79" spans="2:18" s="907" customFormat="1">
      <c r="B79" s="2714"/>
      <c r="C79" s="2714"/>
      <c r="D79" s="2714"/>
      <c r="E79" s="2714"/>
      <c r="F79" s="2714"/>
      <c r="G79" s="2715"/>
      <c r="H79" s="2714"/>
      <c r="I79" s="2715"/>
      <c r="J79" s="2714"/>
      <c r="K79" s="2714"/>
      <c r="L79" s="2715"/>
      <c r="M79" s="2714"/>
      <c r="N79" s="2714"/>
      <c r="O79" s="2715"/>
      <c r="P79" s="2714"/>
      <c r="Q79" s="2714"/>
      <c r="R79" s="2716"/>
    </row>
    <row r="80" spans="2:18" s="907" customFormat="1">
      <c r="B80" s="2714"/>
      <c r="C80" s="2714"/>
      <c r="D80" s="2714"/>
      <c r="E80" s="2714"/>
      <c r="F80" s="2714"/>
      <c r="G80" s="2715"/>
      <c r="H80" s="2714"/>
      <c r="I80" s="2715"/>
      <c r="J80" s="2714"/>
      <c r="K80" s="2714"/>
      <c r="L80" s="2715"/>
      <c r="M80" s="2714"/>
      <c r="N80" s="2714"/>
      <c r="O80" s="2715"/>
      <c r="P80" s="2714"/>
      <c r="Q80" s="2714"/>
      <c r="R80" s="2716"/>
    </row>
    <row r="81" spans="2:18" s="907" customFormat="1">
      <c r="B81" s="2714"/>
      <c r="C81" s="2714"/>
      <c r="D81" s="2714"/>
      <c r="E81" s="2714"/>
      <c r="F81" s="2714"/>
      <c r="G81" s="2715"/>
      <c r="H81" s="2714"/>
      <c r="I81" s="2715"/>
      <c r="J81" s="2714"/>
      <c r="K81" s="2714"/>
      <c r="L81" s="2715"/>
      <c r="M81" s="2714"/>
      <c r="N81" s="2714"/>
      <c r="O81" s="2715"/>
      <c r="P81" s="2714"/>
      <c r="Q81" s="2714"/>
      <c r="R81" s="2716"/>
    </row>
    <row r="82" spans="2:18" s="907" customFormat="1">
      <c r="B82" s="2714"/>
      <c r="C82" s="2714"/>
      <c r="D82" s="2714"/>
      <c r="E82" s="2714"/>
      <c r="F82" s="2714"/>
      <c r="G82" s="2715"/>
      <c r="H82" s="2714"/>
      <c r="I82" s="2715"/>
      <c r="J82" s="2714"/>
      <c r="K82" s="2714"/>
      <c r="L82" s="2715"/>
      <c r="M82" s="2714"/>
      <c r="N82" s="2714"/>
      <c r="O82" s="2715"/>
      <c r="P82" s="2714"/>
      <c r="Q82" s="2714"/>
      <c r="R82" s="2716"/>
    </row>
    <row r="83" spans="2:18" s="907" customFormat="1">
      <c r="B83" s="2714"/>
      <c r="C83" s="2714"/>
      <c r="D83" s="2714"/>
      <c r="E83" s="2714"/>
      <c r="F83" s="2714"/>
      <c r="G83" s="2715"/>
      <c r="H83" s="2714"/>
      <c r="I83" s="2715"/>
      <c r="J83" s="2714"/>
      <c r="K83" s="2714"/>
      <c r="L83" s="2715"/>
      <c r="M83" s="2714"/>
      <c r="N83" s="2714"/>
      <c r="O83" s="2715"/>
      <c r="P83" s="2714"/>
      <c r="Q83" s="2714"/>
      <c r="R83" s="2716"/>
    </row>
    <row r="84" spans="2:18" s="907" customFormat="1">
      <c r="B84" s="2714"/>
      <c r="C84" s="2714"/>
      <c r="D84" s="2714"/>
      <c r="E84" s="2714"/>
      <c r="F84" s="2714"/>
      <c r="G84" s="2715"/>
      <c r="H84" s="2714"/>
      <c r="I84" s="2715"/>
      <c r="J84" s="2714"/>
      <c r="K84" s="2714"/>
      <c r="L84" s="2715"/>
      <c r="M84" s="2714"/>
      <c r="N84" s="2714"/>
      <c r="O84" s="2715"/>
      <c r="P84" s="2714"/>
      <c r="Q84" s="2714"/>
      <c r="R84" s="2716"/>
    </row>
    <row r="85" spans="2:18" s="907" customFormat="1">
      <c r="B85" s="2714"/>
      <c r="C85" s="2714"/>
      <c r="D85" s="2714"/>
      <c r="E85" s="2714"/>
      <c r="F85" s="2714"/>
      <c r="G85" s="2715"/>
      <c r="H85" s="2714"/>
      <c r="I85" s="2715"/>
      <c r="J85" s="2714"/>
      <c r="K85" s="2714"/>
      <c r="L85" s="2715"/>
      <c r="M85" s="2714"/>
      <c r="N85" s="2714"/>
      <c r="O85" s="2715"/>
      <c r="P85" s="2714"/>
      <c r="Q85" s="2714"/>
      <c r="R85" s="2716"/>
    </row>
    <row r="86" spans="2:18" s="907" customFormat="1">
      <c r="B86" s="2714"/>
      <c r="C86" s="2714"/>
      <c r="D86" s="2714"/>
      <c r="E86" s="2714"/>
      <c r="F86" s="2714"/>
      <c r="G86" s="2715"/>
      <c r="H86" s="2714"/>
      <c r="I86" s="2715"/>
      <c r="J86" s="2714"/>
      <c r="K86" s="2714"/>
      <c r="L86" s="2715"/>
      <c r="M86" s="2714"/>
      <c r="N86" s="2714"/>
      <c r="O86" s="2715"/>
      <c r="P86" s="2714"/>
      <c r="Q86" s="2714"/>
      <c r="R86" s="2716"/>
    </row>
    <row r="87" spans="2:18" s="907" customFormat="1">
      <c r="B87" s="2714"/>
      <c r="C87" s="2714"/>
      <c r="D87" s="2714"/>
      <c r="E87" s="2714"/>
      <c r="F87" s="2714"/>
      <c r="G87" s="2715"/>
      <c r="H87" s="2714"/>
      <c r="I87" s="2715"/>
      <c r="J87" s="2714"/>
      <c r="K87" s="2714"/>
      <c r="L87" s="2715"/>
      <c r="M87" s="2714"/>
      <c r="N87" s="2714"/>
      <c r="O87" s="2715"/>
      <c r="P87" s="2714"/>
      <c r="Q87" s="2714"/>
      <c r="R87" s="2716"/>
    </row>
    <row r="88" spans="2:18" s="907" customFormat="1">
      <c r="B88" s="2714"/>
      <c r="C88" s="2714"/>
      <c r="D88" s="2714"/>
      <c r="E88" s="2714"/>
      <c r="F88" s="2714"/>
      <c r="G88" s="2715"/>
      <c r="H88" s="2714"/>
      <c r="I88" s="2715"/>
      <c r="J88" s="2714"/>
      <c r="K88" s="2714"/>
      <c r="L88" s="2715"/>
      <c r="M88" s="2714"/>
      <c r="N88" s="2714"/>
      <c r="O88" s="2715"/>
      <c r="P88" s="2714"/>
      <c r="Q88" s="2714"/>
      <c r="R88" s="2716"/>
    </row>
    <row r="89" spans="2:18" s="907" customFormat="1">
      <c r="B89" s="2714"/>
      <c r="C89" s="2714"/>
      <c r="D89" s="2714"/>
      <c r="E89" s="2714"/>
      <c r="F89" s="2714"/>
      <c r="G89" s="2715"/>
      <c r="H89" s="2714"/>
      <c r="I89" s="2715"/>
      <c r="J89" s="2714"/>
      <c r="K89" s="2714"/>
      <c r="L89" s="2715"/>
      <c r="M89" s="2714"/>
      <c r="N89" s="2714"/>
      <c r="O89" s="2715"/>
      <c r="P89" s="2714"/>
      <c r="Q89" s="2714"/>
      <c r="R89" s="2716"/>
    </row>
    <row r="90" spans="2:18" s="907" customFormat="1">
      <c r="B90" s="2714"/>
      <c r="C90" s="2714"/>
      <c r="D90" s="2714"/>
      <c r="E90" s="2714"/>
      <c r="F90" s="2714"/>
      <c r="G90" s="2715"/>
      <c r="H90" s="2714"/>
      <c r="I90" s="2715"/>
      <c r="J90" s="2714"/>
      <c r="K90" s="2714"/>
      <c r="L90" s="2715"/>
      <c r="M90" s="2714"/>
      <c r="N90" s="2714"/>
      <c r="O90" s="2715"/>
      <c r="P90" s="2714"/>
      <c r="Q90" s="2714"/>
      <c r="R90" s="2716"/>
    </row>
    <row r="91" spans="2:18" s="907" customFormat="1">
      <c r="B91" s="2714"/>
      <c r="C91" s="2714"/>
      <c r="D91" s="2714"/>
      <c r="E91" s="2714"/>
      <c r="F91" s="2714"/>
      <c r="G91" s="2715"/>
      <c r="H91" s="2714"/>
      <c r="I91" s="2715"/>
      <c r="J91" s="2714"/>
      <c r="K91" s="2714"/>
      <c r="L91" s="2715"/>
      <c r="M91" s="2714"/>
      <c r="N91" s="2714"/>
      <c r="O91" s="2715"/>
      <c r="P91" s="2714"/>
      <c r="Q91" s="2714"/>
      <c r="R91" s="2716"/>
    </row>
    <row r="92" spans="2:18" s="907" customFormat="1">
      <c r="B92" s="2714"/>
      <c r="C92" s="2714"/>
      <c r="D92" s="2714"/>
      <c r="E92" s="2714"/>
      <c r="F92" s="2714"/>
      <c r="G92" s="2715"/>
      <c r="H92" s="2714"/>
      <c r="I92" s="2715"/>
      <c r="J92" s="2714"/>
      <c r="K92" s="2714"/>
      <c r="L92" s="2715"/>
      <c r="M92" s="2714"/>
      <c r="N92" s="2714"/>
      <c r="O92" s="2715"/>
      <c r="P92" s="2714"/>
      <c r="Q92" s="2714"/>
      <c r="R92" s="2716"/>
    </row>
    <row r="93" spans="2:18" s="907" customFormat="1">
      <c r="B93" s="2714"/>
      <c r="C93" s="2714"/>
      <c r="D93" s="2714"/>
      <c r="E93" s="2714"/>
      <c r="F93" s="2714"/>
      <c r="G93" s="2715"/>
      <c r="H93" s="2714"/>
      <c r="I93" s="2715"/>
      <c r="J93" s="2714"/>
      <c r="K93" s="2714"/>
      <c r="L93" s="2715"/>
      <c r="M93" s="2714"/>
      <c r="N93" s="2714"/>
      <c r="O93" s="2715"/>
      <c r="P93" s="2714"/>
      <c r="Q93" s="2714"/>
      <c r="R93" s="2716"/>
    </row>
    <row r="94" spans="2:18" s="907" customFormat="1">
      <c r="B94" s="2714"/>
      <c r="C94" s="2714"/>
      <c r="D94" s="2714"/>
      <c r="E94" s="2714"/>
      <c r="F94" s="2714"/>
      <c r="G94" s="2715"/>
      <c r="H94" s="2714"/>
      <c r="I94" s="2715"/>
      <c r="J94" s="2714"/>
      <c r="K94" s="2714"/>
      <c r="L94" s="2715"/>
      <c r="M94" s="2714"/>
      <c r="N94" s="2714"/>
      <c r="O94" s="2715"/>
      <c r="P94" s="2714"/>
      <c r="Q94" s="2714"/>
      <c r="R94" s="2716"/>
    </row>
    <row r="95" spans="2:18" s="907" customFormat="1">
      <c r="B95" s="2714"/>
      <c r="C95" s="2714"/>
      <c r="D95" s="2714"/>
      <c r="E95" s="2714"/>
      <c r="F95" s="2714"/>
      <c r="G95" s="2715"/>
      <c r="H95" s="2714"/>
      <c r="I95" s="2715"/>
      <c r="J95" s="2714"/>
      <c r="K95" s="2714"/>
      <c r="L95" s="2715"/>
      <c r="M95" s="2714"/>
      <c r="N95" s="2714"/>
      <c r="O95" s="2715"/>
      <c r="P95" s="2714"/>
      <c r="Q95" s="2714"/>
      <c r="R95" s="2716"/>
    </row>
    <row r="96" spans="2:18" s="907" customFormat="1">
      <c r="B96" s="2714"/>
      <c r="C96" s="2714"/>
      <c r="D96" s="2714"/>
      <c r="E96" s="2714"/>
      <c r="F96" s="2714"/>
      <c r="G96" s="2715"/>
      <c r="H96" s="2714"/>
      <c r="I96" s="2715"/>
      <c r="J96" s="2714"/>
      <c r="K96" s="2714"/>
      <c r="L96" s="2715"/>
      <c r="M96" s="2714"/>
      <c r="N96" s="2714"/>
      <c r="O96" s="2715"/>
      <c r="P96" s="2714"/>
      <c r="Q96" s="2714"/>
      <c r="R96" s="2716"/>
    </row>
    <row r="97" spans="2:18" s="907" customFormat="1">
      <c r="B97" s="2714"/>
      <c r="C97" s="2714"/>
      <c r="D97" s="2714"/>
      <c r="E97" s="2714"/>
      <c r="F97" s="2714"/>
      <c r="G97" s="2715"/>
      <c r="H97" s="2714"/>
      <c r="I97" s="2715"/>
      <c r="J97" s="2714"/>
      <c r="K97" s="2714"/>
      <c r="L97" s="2715"/>
      <c r="M97" s="2714"/>
      <c r="N97" s="2714"/>
      <c r="O97" s="2715"/>
      <c r="P97" s="2714"/>
      <c r="Q97" s="2714"/>
      <c r="R97" s="2716"/>
    </row>
    <row r="98" spans="2:18" s="907" customFormat="1">
      <c r="B98" s="2714"/>
      <c r="C98" s="2714"/>
      <c r="D98" s="2714"/>
      <c r="E98" s="2714"/>
      <c r="F98" s="2714"/>
      <c r="G98" s="2715"/>
      <c r="H98" s="2714"/>
      <c r="I98" s="2715"/>
      <c r="J98" s="2714"/>
      <c r="K98" s="2714"/>
      <c r="L98" s="2715"/>
      <c r="M98" s="2714"/>
      <c r="N98" s="2714"/>
      <c r="O98" s="2715"/>
      <c r="P98" s="2714"/>
      <c r="Q98" s="2714"/>
      <c r="R98" s="2716"/>
    </row>
    <row r="99" spans="2:18" s="907" customFormat="1">
      <c r="B99" s="2714"/>
      <c r="C99" s="2714"/>
      <c r="D99" s="2714"/>
      <c r="E99" s="2714"/>
      <c r="F99" s="2714"/>
      <c r="G99" s="2715"/>
      <c r="H99" s="2714"/>
      <c r="I99" s="2715"/>
      <c r="J99" s="2714"/>
      <c r="K99" s="2714"/>
      <c r="L99" s="2715"/>
      <c r="M99" s="2714"/>
      <c r="N99" s="2714"/>
      <c r="O99" s="2715"/>
      <c r="P99" s="2714"/>
      <c r="Q99" s="2714"/>
      <c r="R99" s="2716"/>
    </row>
    <row r="100" spans="2:18" s="907" customFormat="1">
      <c r="B100" s="2714"/>
      <c r="C100" s="2714"/>
      <c r="D100" s="2714"/>
      <c r="E100" s="2714"/>
      <c r="F100" s="2714"/>
      <c r="G100" s="2715"/>
      <c r="H100" s="2714"/>
      <c r="I100" s="2715"/>
      <c r="J100" s="2714"/>
      <c r="K100" s="2714"/>
      <c r="L100" s="2715"/>
      <c r="M100" s="2714"/>
      <c r="N100" s="2714"/>
      <c r="O100" s="2715"/>
      <c r="P100" s="2714"/>
      <c r="Q100" s="2714"/>
      <c r="R100" s="2716"/>
    </row>
    <row r="101" spans="2:18" s="907" customFormat="1">
      <c r="B101" s="2714"/>
      <c r="C101" s="2714"/>
      <c r="D101" s="2714"/>
      <c r="E101" s="2714"/>
      <c r="F101" s="2714"/>
      <c r="G101" s="2715"/>
      <c r="H101" s="2714"/>
      <c r="I101" s="2715"/>
      <c r="J101" s="2714"/>
      <c r="K101" s="2714"/>
      <c r="L101" s="2715"/>
      <c r="M101" s="2714"/>
      <c r="N101" s="2714"/>
      <c r="O101" s="2715"/>
      <c r="P101" s="2714"/>
      <c r="Q101" s="2714"/>
      <c r="R101" s="2716"/>
    </row>
    <row r="102" spans="2:18" s="907" customFormat="1">
      <c r="B102" s="2714"/>
      <c r="C102" s="2714"/>
      <c r="D102" s="2714"/>
      <c r="E102" s="2714"/>
      <c r="F102" s="2714"/>
      <c r="G102" s="2715"/>
      <c r="H102" s="2714"/>
      <c r="I102" s="2715"/>
      <c r="J102" s="2714"/>
      <c r="K102" s="2714"/>
      <c r="L102" s="2715"/>
      <c r="M102" s="2714"/>
      <c r="N102" s="2714"/>
      <c r="O102" s="2715"/>
      <c r="P102" s="2714"/>
      <c r="Q102" s="2714"/>
      <c r="R102" s="2716"/>
    </row>
    <row r="103" spans="2:18" s="907" customFormat="1">
      <c r="B103" s="2714"/>
      <c r="C103" s="2714"/>
      <c r="D103" s="2714"/>
      <c r="E103" s="2714"/>
      <c r="F103" s="2714"/>
      <c r="G103" s="2715"/>
      <c r="H103" s="2714"/>
      <c r="I103" s="2715"/>
      <c r="J103" s="2714"/>
      <c r="K103" s="2714"/>
      <c r="L103" s="2715"/>
      <c r="M103" s="2714"/>
      <c r="N103" s="2714"/>
      <c r="O103" s="2715"/>
      <c r="P103" s="2714"/>
      <c r="Q103" s="2714"/>
      <c r="R103" s="2716"/>
    </row>
    <row r="104" spans="2:18" s="907" customFormat="1">
      <c r="B104" s="2714"/>
      <c r="C104" s="2714"/>
      <c r="D104" s="2714"/>
      <c r="E104" s="2714"/>
      <c r="F104" s="2714"/>
      <c r="G104" s="2715"/>
      <c r="H104" s="2714"/>
      <c r="I104" s="2715"/>
      <c r="J104" s="2714"/>
      <c r="K104" s="2714"/>
      <c r="L104" s="2715"/>
      <c r="M104" s="2714"/>
      <c r="N104" s="2714"/>
      <c r="O104" s="2715"/>
      <c r="P104" s="2714"/>
      <c r="Q104" s="2714"/>
      <c r="R104" s="2716"/>
    </row>
    <row r="105" spans="2:18" s="907" customFormat="1">
      <c r="B105" s="2714"/>
      <c r="C105" s="2714"/>
      <c r="D105" s="2714"/>
      <c r="E105" s="2714"/>
      <c r="F105" s="2714"/>
      <c r="G105" s="2715"/>
      <c r="H105" s="2714"/>
      <c r="I105" s="2715"/>
      <c r="J105" s="2714"/>
      <c r="K105" s="2714"/>
      <c r="L105" s="2715"/>
      <c r="M105" s="2714"/>
      <c r="N105" s="2714"/>
      <c r="O105" s="2715"/>
      <c r="P105" s="2714"/>
      <c r="Q105" s="2714"/>
      <c r="R105" s="2716"/>
    </row>
    <row r="106" spans="2:18" s="907" customFormat="1">
      <c r="B106" s="2714"/>
      <c r="C106" s="2714"/>
      <c r="D106" s="2714"/>
      <c r="E106" s="2714"/>
      <c r="F106" s="2714"/>
      <c r="G106" s="2715"/>
      <c r="H106" s="2714"/>
      <c r="I106" s="2715"/>
      <c r="J106" s="2714"/>
      <c r="K106" s="2714"/>
      <c r="L106" s="2715"/>
      <c r="M106" s="2714"/>
      <c r="N106" s="2714"/>
      <c r="O106" s="2715"/>
      <c r="P106" s="2714"/>
      <c r="Q106" s="2714"/>
      <c r="R106" s="2716"/>
    </row>
    <row r="107" spans="2:18" s="907" customFormat="1">
      <c r="B107" s="2714"/>
      <c r="C107" s="2714"/>
      <c r="D107" s="2714"/>
      <c r="E107" s="2714"/>
      <c r="F107" s="2714"/>
      <c r="G107" s="2715"/>
      <c r="H107" s="2714"/>
      <c r="I107" s="2715"/>
      <c r="J107" s="2714"/>
      <c r="K107" s="2714"/>
      <c r="L107" s="2715"/>
      <c r="M107" s="2714"/>
      <c r="N107" s="2714"/>
      <c r="O107" s="2715"/>
      <c r="P107" s="2714"/>
      <c r="Q107" s="2714"/>
      <c r="R107" s="2716"/>
    </row>
    <row r="108" spans="2:18" s="907" customFormat="1">
      <c r="B108" s="2714"/>
      <c r="C108" s="2714"/>
      <c r="D108" s="2714"/>
      <c r="E108" s="2714"/>
      <c r="F108" s="2714"/>
      <c r="G108" s="2715"/>
      <c r="H108" s="2714"/>
      <c r="I108" s="2715"/>
      <c r="J108" s="2714"/>
      <c r="K108" s="2714"/>
      <c r="L108" s="2715"/>
      <c r="M108" s="2714"/>
      <c r="N108" s="2714"/>
      <c r="O108" s="2715"/>
      <c r="P108" s="2714"/>
      <c r="Q108" s="2714"/>
      <c r="R108" s="2716"/>
    </row>
    <row r="109" spans="2:18" s="907" customFormat="1">
      <c r="B109" s="2714"/>
      <c r="C109" s="2714"/>
      <c r="D109" s="2714"/>
      <c r="E109" s="2714"/>
      <c r="F109" s="2714"/>
      <c r="G109" s="2715"/>
      <c r="H109" s="2714"/>
      <c r="I109" s="2715"/>
      <c r="J109" s="2714"/>
      <c r="K109" s="2714"/>
      <c r="L109" s="2715"/>
      <c r="M109" s="2714"/>
      <c r="N109" s="2714"/>
      <c r="O109" s="2715"/>
      <c r="P109" s="2714"/>
      <c r="Q109" s="2714"/>
      <c r="R109" s="2716"/>
    </row>
    <row r="110" spans="2:18" s="907" customFormat="1">
      <c r="B110" s="2714"/>
      <c r="C110" s="2714"/>
      <c r="D110" s="2714"/>
      <c r="E110" s="2714"/>
      <c r="F110" s="2714"/>
      <c r="G110" s="2715"/>
      <c r="H110" s="2714"/>
      <c r="I110" s="2715"/>
      <c r="J110" s="2714"/>
      <c r="K110" s="2714"/>
      <c r="L110" s="2715"/>
      <c r="M110" s="2714"/>
      <c r="N110" s="2714"/>
      <c r="O110" s="2715"/>
      <c r="P110" s="2714"/>
      <c r="Q110" s="2714"/>
      <c r="R110" s="2716"/>
    </row>
    <row r="111" spans="2:18" s="907" customFormat="1">
      <c r="B111" s="2714"/>
      <c r="C111" s="2714"/>
      <c r="D111" s="2714"/>
      <c r="E111" s="2714"/>
      <c r="F111" s="2714"/>
      <c r="G111" s="2715"/>
      <c r="H111" s="2714"/>
      <c r="I111" s="2715"/>
      <c r="J111" s="2714"/>
      <c r="K111" s="2714"/>
      <c r="L111" s="2715"/>
      <c r="M111" s="2714"/>
      <c r="N111" s="2714"/>
      <c r="O111" s="2715"/>
      <c r="P111" s="2714"/>
      <c r="Q111" s="2714"/>
      <c r="R111" s="2716"/>
    </row>
    <row r="112" spans="2:18" s="907" customFormat="1">
      <c r="B112" s="2714"/>
      <c r="C112" s="2714"/>
      <c r="D112" s="2714"/>
      <c r="E112" s="2714"/>
      <c r="F112" s="2714"/>
      <c r="G112" s="2715"/>
      <c r="H112" s="2714"/>
      <c r="I112" s="2715"/>
      <c r="J112" s="2714"/>
      <c r="K112" s="2714"/>
      <c r="L112" s="2715"/>
      <c r="M112" s="2714"/>
      <c r="N112" s="2714"/>
      <c r="O112" s="2715"/>
      <c r="P112" s="2714"/>
      <c r="Q112" s="2714"/>
      <c r="R112" s="2716"/>
    </row>
    <row r="113" spans="2:18" s="907" customFormat="1">
      <c r="B113" s="2714"/>
      <c r="C113" s="2714"/>
      <c r="D113" s="2714"/>
      <c r="E113" s="2714"/>
      <c r="F113" s="2714"/>
      <c r="G113" s="2715"/>
      <c r="H113" s="2714"/>
      <c r="I113" s="2715"/>
      <c r="J113" s="2714"/>
      <c r="K113" s="2714"/>
      <c r="L113" s="2715"/>
      <c r="M113" s="2714"/>
      <c r="N113" s="2714"/>
      <c r="O113" s="2715"/>
      <c r="P113" s="2714"/>
      <c r="Q113" s="2714"/>
      <c r="R113" s="2716"/>
    </row>
    <row r="114" spans="2:18" s="907" customFormat="1">
      <c r="B114" s="2714"/>
      <c r="C114" s="2714"/>
      <c r="D114" s="2714"/>
      <c r="E114" s="2714"/>
      <c r="F114" s="2714"/>
      <c r="G114" s="2715"/>
      <c r="H114" s="2714"/>
      <c r="I114" s="2715"/>
      <c r="J114" s="2714"/>
      <c r="K114" s="2714"/>
      <c r="L114" s="2715"/>
      <c r="M114" s="2714"/>
      <c r="N114" s="2714"/>
      <c r="O114" s="2715"/>
      <c r="P114" s="2714"/>
      <c r="Q114" s="2714"/>
      <c r="R114" s="2716"/>
    </row>
    <row r="115" spans="2:18" s="907" customFormat="1">
      <c r="B115" s="2714"/>
      <c r="C115" s="2714"/>
      <c r="D115" s="2714"/>
      <c r="E115" s="2714"/>
      <c r="F115" s="2714"/>
      <c r="G115" s="2715"/>
      <c r="H115" s="2714"/>
      <c r="I115" s="2715"/>
      <c r="J115" s="2714"/>
      <c r="K115" s="2714"/>
      <c r="L115" s="2715"/>
      <c r="M115" s="2714"/>
      <c r="N115" s="2714"/>
      <c r="O115" s="2715"/>
      <c r="P115" s="2714"/>
      <c r="Q115" s="2714"/>
      <c r="R115" s="2716"/>
    </row>
    <row r="116" spans="2:18" s="907" customFormat="1">
      <c r="B116" s="2714"/>
      <c r="C116" s="2714"/>
      <c r="D116" s="2714"/>
      <c r="E116" s="2714"/>
      <c r="F116" s="2714"/>
      <c r="G116" s="2715"/>
      <c r="H116" s="2714"/>
      <c r="I116" s="2715"/>
      <c r="J116" s="2714"/>
      <c r="K116" s="2714"/>
      <c r="L116" s="2715"/>
      <c r="M116" s="2714"/>
      <c r="N116" s="2714"/>
      <c r="O116" s="2715"/>
      <c r="P116" s="2714"/>
      <c r="Q116" s="2714"/>
      <c r="R116" s="2716"/>
    </row>
    <row r="117" spans="2:18" s="907" customFormat="1">
      <c r="B117" s="2714"/>
      <c r="C117" s="2714"/>
      <c r="D117" s="2714"/>
      <c r="E117" s="2714"/>
      <c r="F117" s="2714"/>
      <c r="G117" s="2715"/>
      <c r="H117" s="2714"/>
      <c r="I117" s="2715"/>
      <c r="J117" s="2714"/>
      <c r="K117" s="2714"/>
      <c r="L117" s="2715"/>
      <c r="M117" s="2714"/>
      <c r="N117" s="2714"/>
      <c r="O117" s="2715"/>
      <c r="P117" s="2714"/>
      <c r="Q117" s="2714"/>
      <c r="R117" s="2716"/>
    </row>
    <row r="118" spans="2:18" s="907" customFormat="1">
      <c r="B118" s="2714"/>
      <c r="C118" s="2714"/>
      <c r="D118" s="2714"/>
      <c r="E118" s="2714"/>
      <c r="F118" s="2714"/>
      <c r="G118" s="2715"/>
      <c r="H118" s="2714"/>
      <c r="I118" s="2715"/>
      <c r="J118" s="2714"/>
      <c r="K118" s="2714"/>
      <c r="L118" s="2715"/>
      <c r="M118" s="2714"/>
      <c r="N118" s="2714"/>
      <c r="O118" s="2715"/>
      <c r="P118" s="2714"/>
      <c r="Q118" s="2714"/>
      <c r="R118" s="2716"/>
    </row>
    <row r="119" spans="2:18" s="907" customFormat="1">
      <c r="B119" s="2714"/>
      <c r="C119" s="2714"/>
      <c r="D119" s="2714"/>
      <c r="E119" s="2714"/>
      <c r="F119" s="2714"/>
      <c r="G119" s="2715"/>
      <c r="H119" s="2714"/>
      <c r="I119" s="2715"/>
      <c r="J119" s="2714"/>
      <c r="K119" s="2714"/>
      <c r="L119" s="2715"/>
      <c r="M119" s="2714"/>
      <c r="N119" s="2714"/>
      <c r="O119" s="2715"/>
      <c r="P119" s="2714"/>
      <c r="Q119" s="2714"/>
      <c r="R119" s="2716"/>
    </row>
    <row r="120" spans="2:18" s="907" customFormat="1">
      <c r="B120" s="2714"/>
      <c r="C120" s="2714"/>
      <c r="D120" s="2714"/>
      <c r="E120" s="2714"/>
      <c r="F120" s="2714"/>
      <c r="G120" s="2715"/>
      <c r="H120" s="2714"/>
      <c r="I120" s="2715"/>
      <c r="J120" s="2714"/>
      <c r="K120" s="2714"/>
      <c r="L120" s="2715"/>
      <c r="M120" s="2714"/>
      <c r="N120" s="2714"/>
      <c r="O120" s="2715"/>
      <c r="P120" s="2714"/>
      <c r="Q120" s="2714"/>
      <c r="R120" s="2716"/>
    </row>
    <row r="121" spans="2:18" s="907" customFormat="1">
      <c r="B121" s="2714"/>
      <c r="C121" s="2714"/>
      <c r="D121" s="2714"/>
      <c r="E121" s="2714"/>
      <c r="F121" s="2714"/>
      <c r="G121" s="2715"/>
      <c r="H121" s="2714"/>
      <c r="I121" s="2715"/>
      <c r="J121" s="2714"/>
      <c r="K121" s="2714"/>
      <c r="L121" s="2715"/>
      <c r="M121" s="2714"/>
      <c r="N121" s="2714"/>
      <c r="O121" s="2715"/>
      <c r="P121" s="2714"/>
      <c r="Q121" s="2714"/>
      <c r="R121" s="2716"/>
    </row>
    <row r="122" spans="2:18" s="907" customFormat="1">
      <c r="B122" s="2714"/>
      <c r="C122" s="2714"/>
      <c r="D122" s="2714"/>
      <c r="E122" s="2714"/>
      <c r="F122" s="2714"/>
      <c r="G122" s="2715"/>
      <c r="H122" s="2714"/>
      <c r="I122" s="2715"/>
      <c r="J122" s="2714"/>
      <c r="K122" s="2714"/>
      <c r="L122" s="2715"/>
      <c r="M122" s="2714"/>
      <c r="N122" s="2714"/>
      <c r="O122" s="2715"/>
      <c r="P122" s="2714"/>
      <c r="Q122" s="2714"/>
      <c r="R122" s="2716"/>
    </row>
    <row r="123" spans="2:18" s="907" customFormat="1">
      <c r="B123" s="2714"/>
      <c r="C123" s="2714"/>
      <c r="D123" s="2714"/>
      <c r="E123" s="2714"/>
      <c r="F123" s="2714"/>
      <c r="G123" s="2715"/>
      <c r="H123" s="2714"/>
      <c r="I123" s="2715"/>
      <c r="J123" s="2714"/>
      <c r="K123" s="2714"/>
      <c r="L123" s="2715"/>
      <c r="M123" s="2714"/>
      <c r="N123" s="2714"/>
      <c r="O123" s="2715"/>
      <c r="P123" s="2714"/>
      <c r="Q123" s="2714"/>
      <c r="R123" s="2716"/>
    </row>
    <row r="124" spans="2:18" s="907" customFormat="1">
      <c r="B124" s="2714"/>
      <c r="C124" s="2714"/>
      <c r="D124" s="2714"/>
      <c r="E124" s="2714"/>
      <c r="F124" s="2714"/>
      <c r="G124" s="2715"/>
      <c r="H124" s="2714"/>
      <c r="I124" s="2715"/>
      <c r="J124" s="2714"/>
      <c r="K124" s="2714"/>
      <c r="L124" s="2715"/>
      <c r="M124" s="2714"/>
      <c r="N124" s="2714"/>
      <c r="O124" s="2715"/>
      <c r="P124" s="2714"/>
      <c r="Q124" s="2714"/>
      <c r="R124" s="2716"/>
    </row>
    <row r="125" spans="2:18" s="907" customFormat="1">
      <c r="B125" s="2714"/>
      <c r="C125" s="2714"/>
      <c r="D125" s="2714"/>
      <c r="E125" s="2714"/>
      <c r="F125" s="2714"/>
      <c r="G125" s="2715"/>
      <c r="H125" s="2714"/>
      <c r="I125" s="2715"/>
      <c r="J125" s="2714"/>
      <c r="K125" s="2714"/>
      <c r="L125" s="2715"/>
      <c r="M125" s="2714"/>
      <c r="N125" s="2714"/>
      <c r="O125" s="2715"/>
      <c r="P125" s="2714"/>
      <c r="Q125" s="2714"/>
      <c r="R125" s="2716"/>
    </row>
    <row r="126" spans="2:18" s="907" customFormat="1">
      <c r="B126" s="2714"/>
      <c r="C126" s="2714"/>
      <c r="D126" s="2714"/>
      <c r="E126" s="2714"/>
      <c r="F126" s="2714"/>
      <c r="G126" s="2715"/>
      <c r="H126" s="2714"/>
      <c r="I126" s="2715"/>
      <c r="J126" s="2714"/>
      <c r="K126" s="2714"/>
      <c r="L126" s="2715"/>
      <c r="M126" s="2714"/>
      <c r="N126" s="2714"/>
      <c r="O126" s="2715"/>
      <c r="P126" s="2714"/>
      <c r="Q126" s="2714"/>
      <c r="R126" s="2716"/>
    </row>
    <row r="127" spans="2:18" s="907" customFormat="1">
      <c r="B127" s="2714"/>
      <c r="C127" s="2714"/>
      <c r="D127" s="2714"/>
      <c r="E127" s="2714"/>
      <c r="F127" s="2714"/>
      <c r="G127" s="2715"/>
      <c r="H127" s="2714"/>
      <c r="I127" s="2715"/>
      <c r="J127" s="2714"/>
      <c r="K127" s="2714"/>
      <c r="L127" s="2715"/>
      <c r="M127" s="2714"/>
      <c r="N127" s="2714"/>
      <c r="O127" s="2715"/>
      <c r="P127" s="2714"/>
      <c r="Q127" s="2714"/>
      <c r="R127" s="2716"/>
    </row>
    <row r="128" spans="2:18" s="907" customFormat="1">
      <c r="B128" s="2714"/>
      <c r="C128" s="2714"/>
      <c r="D128" s="2714"/>
      <c r="E128" s="2714"/>
      <c r="F128" s="2714"/>
      <c r="G128" s="2715"/>
      <c r="H128" s="2714"/>
      <c r="I128" s="2715"/>
      <c r="J128" s="2714"/>
      <c r="K128" s="2714"/>
      <c r="L128" s="2715"/>
      <c r="M128" s="2714"/>
      <c r="N128" s="2714"/>
      <c r="O128" s="2715"/>
      <c r="P128" s="2714"/>
      <c r="Q128" s="2714"/>
      <c r="R128" s="2716"/>
    </row>
    <row r="129" spans="2:18" s="907" customFormat="1">
      <c r="B129" s="2714"/>
      <c r="C129" s="2714"/>
      <c r="D129" s="2714"/>
      <c r="E129" s="2714"/>
      <c r="F129" s="2714"/>
      <c r="G129" s="2715"/>
      <c r="H129" s="2714"/>
      <c r="I129" s="2715"/>
      <c r="J129" s="2714"/>
      <c r="K129" s="2714"/>
      <c r="L129" s="2715"/>
      <c r="M129" s="2714"/>
      <c r="N129" s="2714"/>
      <c r="O129" s="2715"/>
      <c r="P129" s="2714"/>
      <c r="Q129" s="2714"/>
      <c r="R129" s="2716"/>
    </row>
    <row r="130" spans="2:18" s="907" customFormat="1">
      <c r="B130" s="2714"/>
      <c r="C130" s="2714"/>
      <c r="D130" s="2714"/>
      <c r="E130" s="2714"/>
      <c r="F130" s="2714"/>
      <c r="G130" s="2715"/>
      <c r="H130" s="2714"/>
      <c r="I130" s="2715"/>
      <c r="J130" s="2714"/>
      <c r="K130" s="2714"/>
      <c r="L130" s="2715"/>
      <c r="M130" s="2714"/>
      <c r="N130" s="2714"/>
      <c r="O130" s="2715"/>
      <c r="P130" s="2714"/>
      <c r="Q130" s="2714"/>
      <c r="R130" s="2716"/>
    </row>
    <row r="131" spans="2:18" s="907" customFormat="1">
      <c r="B131" s="2714"/>
      <c r="C131" s="2714"/>
      <c r="D131" s="2714"/>
      <c r="E131" s="2714"/>
      <c r="F131" s="2714"/>
      <c r="G131" s="2715"/>
      <c r="H131" s="2714"/>
      <c r="I131" s="2715"/>
      <c r="J131" s="2714"/>
      <c r="K131" s="2714"/>
      <c r="L131" s="2715"/>
      <c r="M131" s="2714"/>
      <c r="N131" s="2714"/>
      <c r="O131" s="2715"/>
      <c r="P131" s="2714"/>
      <c r="Q131" s="2714"/>
      <c r="R131" s="2716"/>
    </row>
    <row r="132" spans="2:18" s="907" customFormat="1">
      <c r="B132" s="2714"/>
      <c r="C132" s="2714"/>
      <c r="D132" s="2714"/>
      <c r="E132" s="2714"/>
      <c r="F132" s="2714"/>
      <c r="G132" s="2715"/>
      <c r="H132" s="2714"/>
      <c r="I132" s="2715"/>
      <c r="J132" s="2714"/>
      <c r="K132" s="2714"/>
      <c r="L132" s="2715"/>
      <c r="M132" s="2714"/>
      <c r="N132" s="2714"/>
      <c r="O132" s="2715"/>
      <c r="P132" s="2714"/>
      <c r="Q132" s="2714"/>
      <c r="R132" s="2716"/>
    </row>
    <row r="133" spans="2:18" s="907" customFormat="1">
      <c r="B133" s="2714"/>
      <c r="C133" s="2714"/>
      <c r="D133" s="2714"/>
      <c r="E133" s="2714"/>
      <c r="F133" s="2714"/>
      <c r="G133" s="2715"/>
      <c r="H133" s="2714"/>
      <c r="I133" s="2715"/>
      <c r="J133" s="2714"/>
      <c r="K133" s="2714"/>
      <c r="L133" s="2715"/>
      <c r="M133" s="2714"/>
      <c r="N133" s="2714"/>
      <c r="O133" s="2715"/>
      <c r="P133" s="2714"/>
      <c r="Q133" s="2714"/>
      <c r="R133" s="2716"/>
    </row>
    <row r="134" spans="2:18" s="907" customFormat="1">
      <c r="B134" s="2714"/>
      <c r="C134" s="2714"/>
      <c r="D134" s="2714"/>
      <c r="E134" s="2714"/>
      <c r="F134" s="2714"/>
      <c r="G134" s="2715"/>
      <c r="H134" s="2714"/>
      <c r="I134" s="2715"/>
      <c r="J134" s="2714"/>
      <c r="K134" s="2714"/>
      <c r="L134" s="2715"/>
      <c r="M134" s="2714"/>
      <c r="N134" s="2714"/>
      <c r="O134" s="2715"/>
      <c r="P134" s="2714"/>
      <c r="Q134" s="2714"/>
      <c r="R134" s="2716"/>
    </row>
    <row r="135" spans="2:18" s="907" customFormat="1">
      <c r="B135" s="2714"/>
      <c r="C135" s="2714"/>
      <c r="D135" s="2714"/>
      <c r="E135" s="2714"/>
      <c r="F135" s="2714"/>
      <c r="G135" s="2715"/>
      <c r="H135" s="2714"/>
      <c r="I135" s="2715"/>
      <c r="J135" s="2714"/>
      <c r="K135" s="2714"/>
      <c r="L135" s="2715"/>
      <c r="M135" s="2714"/>
      <c r="N135" s="2714"/>
      <c r="O135" s="2715"/>
      <c r="P135" s="2714"/>
      <c r="Q135" s="2714"/>
      <c r="R135" s="2716"/>
    </row>
    <row r="136" spans="2:18" s="907" customFormat="1">
      <c r="B136" s="2714"/>
      <c r="C136" s="2714"/>
      <c r="D136" s="2714"/>
      <c r="E136" s="2714"/>
      <c r="F136" s="2714"/>
      <c r="G136" s="2715"/>
      <c r="H136" s="2714"/>
      <c r="I136" s="2715"/>
      <c r="J136" s="2714"/>
      <c r="K136" s="2714"/>
      <c r="L136" s="2715"/>
      <c r="M136" s="2714"/>
      <c r="N136" s="2714"/>
      <c r="O136" s="2715"/>
      <c r="P136" s="2714"/>
      <c r="Q136" s="2714"/>
      <c r="R136" s="2716"/>
    </row>
    <row r="137" spans="2:18" s="907" customFormat="1">
      <c r="B137" s="2714"/>
      <c r="C137" s="2714"/>
      <c r="D137" s="2714"/>
      <c r="E137" s="2714"/>
      <c r="F137" s="2714"/>
      <c r="G137" s="2715"/>
      <c r="H137" s="2714"/>
      <c r="I137" s="2715"/>
      <c r="J137" s="2714"/>
      <c r="K137" s="2714"/>
      <c r="L137" s="2715"/>
      <c r="M137" s="2714"/>
      <c r="N137" s="2714"/>
      <c r="O137" s="2715"/>
      <c r="P137" s="2714"/>
      <c r="Q137" s="2714"/>
      <c r="R137" s="2716"/>
    </row>
    <row r="138" spans="2:18" s="907" customFormat="1">
      <c r="B138" s="2714"/>
      <c r="C138" s="2714"/>
      <c r="D138" s="2714"/>
      <c r="E138" s="2714"/>
      <c r="F138" s="2714"/>
      <c r="G138" s="2715"/>
      <c r="H138" s="2714"/>
      <c r="I138" s="2715"/>
      <c r="J138" s="2714"/>
      <c r="K138" s="2714"/>
      <c r="L138" s="2715"/>
      <c r="M138" s="2714"/>
      <c r="N138" s="2714"/>
      <c r="O138" s="2715"/>
      <c r="P138" s="2714"/>
      <c r="Q138" s="2714"/>
      <c r="R138" s="2716"/>
    </row>
    <row r="139" spans="2:18" s="907" customFormat="1">
      <c r="B139" s="2714"/>
      <c r="C139" s="2714"/>
      <c r="D139" s="2714"/>
      <c r="E139" s="2714"/>
      <c r="F139" s="2714"/>
      <c r="G139" s="2715"/>
      <c r="H139" s="2714"/>
      <c r="I139" s="2715"/>
      <c r="J139" s="2714"/>
      <c r="K139" s="2714"/>
      <c r="L139" s="2715"/>
      <c r="M139" s="2714"/>
      <c r="N139" s="2714"/>
      <c r="O139" s="2715"/>
      <c r="P139" s="2714"/>
      <c r="Q139" s="2714"/>
      <c r="R139" s="2716"/>
    </row>
    <row r="140" spans="2:18" s="907" customFormat="1">
      <c r="B140" s="2714"/>
      <c r="C140" s="2714"/>
      <c r="D140" s="2714"/>
      <c r="E140" s="2714"/>
      <c r="F140" s="2714"/>
      <c r="G140" s="2715"/>
      <c r="H140" s="2714"/>
      <c r="I140" s="2715"/>
      <c r="J140" s="2714"/>
      <c r="K140" s="2714"/>
      <c r="L140" s="2715"/>
      <c r="M140" s="2714"/>
      <c r="N140" s="2714"/>
      <c r="O140" s="2715"/>
      <c r="P140" s="2714"/>
      <c r="Q140" s="2714"/>
      <c r="R140" s="2716"/>
    </row>
    <row r="141" spans="2:18" s="907" customFormat="1">
      <c r="B141" s="2714"/>
      <c r="C141" s="2714"/>
      <c r="D141" s="2714"/>
      <c r="E141" s="2714"/>
      <c r="F141" s="2714"/>
      <c r="G141" s="2715"/>
      <c r="H141" s="2714"/>
      <c r="I141" s="2715"/>
      <c r="J141" s="2714"/>
      <c r="K141" s="2714"/>
      <c r="L141" s="2715"/>
      <c r="M141" s="2714"/>
      <c r="N141" s="2714"/>
      <c r="O141" s="2715"/>
      <c r="P141" s="2714"/>
      <c r="Q141" s="2714"/>
      <c r="R141" s="2716"/>
    </row>
    <row r="142" spans="2:18" s="907" customFormat="1">
      <c r="B142" s="2714"/>
      <c r="C142" s="2714"/>
      <c r="D142" s="2714"/>
      <c r="E142" s="2714"/>
      <c r="F142" s="2714"/>
      <c r="G142" s="2715"/>
      <c r="H142" s="2714"/>
      <c r="I142" s="2715"/>
      <c r="J142" s="2714"/>
      <c r="K142" s="2714"/>
      <c r="L142" s="2715"/>
      <c r="M142" s="2714"/>
      <c r="N142" s="2714"/>
      <c r="O142" s="2715"/>
      <c r="P142" s="2714"/>
      <c r="Q142" s="2714"/>
      <c r="R142" s="2716"/>
    </row>
    <row r="143" spans="2:18" s="907" customFormat="1">
      <c r="B143" s="2714"/>
      <c r="C143" s="2714"/>
      <c r="D143" s="2714"/>
      <c r="E143" s="2714"/>
      <c r="F143" s="2714"/>
      <c r="G143" s="2715"/>
      <c r="H143" s="2714"/>
      <c r="I143" s="2715"/>
      <c r="J143" s="2714"/>
      <c r="K143" s="2714"/>
      <c r="L143" s="2715"/>
      <c r="M143" s="2714"/>
      <c r="N143" s="2714"/>
      <c r="O143" s="2715"/>
      <c r="P143" s="2714"/>
      <c r="Q143" s="2714"/>
      <c r="R143" s="2716"/>
    </row>
    <row r="144" spans="2:18" s="907" customFormat="1">
      <c r="B144" s="2714"/>
      <c r="C144" s="2714"/>
      <c r="D144" s="2714"/>
      <c r="E144" s="2714"/>
      <c r="F144" s="2714"/>
      <c r="G144" s="2715"/>
      <c r="H144" s="2714"/>
      <c r="I144" s="2715"/>
      <c r="J144" s="2714"/>
      <c r="K144" s="2714"/>
      <c r="L144" s="2715"/>
      <c r="M144" s="2714"/>
      <c r="N144" s="2714"/>
      <c r="O144" s="2715"/>
      <c r="P144" s="2714"/>
      <c r="Q144" s="2714"/>
      <c r="R144" s="2716"/>
    </row>
    <row r="145" spans="2:18" s="907" customFormat="1">
      <c r="B145" s="2714"/>
      <c r="C145" s="2714"/>
      <c r="D145" s="2714"/>
      <c r="E145" s="2714"/>
      <c r="F145" s="2714"/>
      <c r="G145" s="2715"/>
      <c r="H145" s="2714"/>
      <c r="I145" s="2715"/>
      <c r="J145" s="2714"/>
      <c r="K145" s="2714"/>
      <c r="L145" s="2715"/>
      <c r="M145" s="2714"/>
      <c r="N145" s="2714"/>
      <c r="O145" s="2715"/>
      <c r="P145" s="2714"/>
      <c r="Q145" s="2714"/>
      <c r="R145" s="2716"/>
    </row>
    <row r="146" spans="2:18" s="907" customFormat="1">
      <c r="B146" s="2714"/>
      <c r="C146" s="2714"/>
      <c r="D146" s="2714"/>
      <c r="E146" s="2714"/>
      <c r="F146" s="2714"/>
      <c r="G146" s="2715"/>
      <c r="H146" s="2714"/>
      <c r="I146" s="2715"/>
      <c r="J146" s="2714"/>
      <c r="K146" s="2714"/>
      <c r="L146" s="2715"/>
      <c r="M146" s="2714"/>
      <c r="N146" s="2714"/>
      <c r="O146" s="2715"/>
      <c r="P146" s="2714"/>
      <c r="Q146" s="2714"/>
      <c r="R146" s="2716"/>
    </row>
    <row r="147" spans="2:18" s="907" customFormat="1">
      <c r="B147" s="2714"/>
      <c r="C147" s="2714"/>
      <c r="D147" s="2714"/>
      <c r="E147" s="2714"/>
      <c r="F147" s="2714"/>
      <c r="G147" s="2715"/>
      <c r="H147" s="2714"/>
      <c r="I147" s="2715"/>
      <c r="J147" s="2714"/>
      <c r="K147" s="2714"/>
      <c r="L147" s="2715"/>
      <c r="M147" s="2714"/>
      <c r="N147" s="2714"/>
      <c r="O147" s="2715"/>
      <c r="P147" s="2714"/>
      <c r="Q147" s="2714"/>
      <c r="R147" s="2716"/>
    </row>
    <row r="148" spans="2:18" s="907" customFormat="1">
      <c r="B148" s="2714"/>
      <c r="C148" s="2714"/>
      <c r="D148" s="2714"/>
      <c r="E148" s="2714"/>
      <c r="F148" s="2714"/>
      <c r="G148" s="2715"/>
      <c r="H148" s="2714"/>
      <c r="I148" s="2715"/>
      <c r="J148" s="2714"/>
      <c r="K148" s="2714"/>
      <c r="L148" s="2715"/>
      <c r="M148" s="2714"/>
      <c r="N148" s="2714"/>
      <c r="O148" s="2715"/>
      <c r="P148" s="2714"/>
      <c r="Q148" s="2714"/>
      <c r="R148" s="2716"/>
    </row>
    <row r="149" spans="2:18" s="907" customFormat="1">
      <c r="B149" s="2714"/>
      <c r="C149" s="2714"/>
      <c r="D149" s="2714"/>
      <c r="E149" s="2714"/>
      <c r="F149" s="2714"/>
      <c r="G149" s="2715"/>
      <c r="H149" s="2714"/>
      <c r="I149" s="2715"/>
      <c r="J149" s="2714"/>
      <c r="K149" s="2714"/>
      <c r="L149" s="2715"/>
      <c r="M149" s="2714"/>
      <c r="N149" s="2714"/>
      <c r="O149" s="2715"/>
      <c r="P149" s="2714"/>
      <c r="Q149" s="2714"/>
      <c r="R149" s="2716"/>
    </row>
    <row r="150" spans="2:18" s="907" customFormat="1">
      <c r="B150" s="2714"/>
      <c r="C150" s="2714"/>
      <c r="D150" s="2714"/>
      <c r="E150" s="2714"/>
      <c r="F150" s="2714"/>
      <c r="G150" s="2715"/>
      <c r="H150" s="2714"/>
      <c r="I150" s="2715"/>
      <c r="J150" s="2714"/>
      <c r="K150" s="2714"/>
      <c r="L150" s="2715"/>
      <c r="M150" s="2714"/>
      <c r="N150" s="2714"/>
      <c r="O150" s="2715"/>
      <c r="P150" s="2714"/>
      <c r="Q150" s="2714"/>
      <c r="R150" s="2716"/>
    </row>
    <row r="151" spans="2:18" s="907" customFormat="1">
      <c r="B151" s="2714"/>
      <c r="C151" s="2714"/>
      <c r="D151" s="2714"/>
      <c r="E151" s="2714"/>
      <c r="F151" s="2714"/>
      <c r="G151" s="2715"/>
      <c r="H151" s="2714"/>
      <c r="I151" s="2715"/>
      <c r="J151" s="2714"/>
      <c r="K151" s="2714"/>
      <c r="L151" s="2715"/>
      <c r="M151" s="2714"/>
      <c r="N151" s="2714"/>
      <c r="O151" s="2715"/>
      <c r="P151" s="2714"/>
      <c r="Q151" s="2714"/>
      <c r="R151" s="2716"/>
    </row>
    <row r="152" spans="2:18" s="907" customFormat="1">
      <c r="B152" s="2714"/>
      <c r="C152" s="2714"/>
      <c r="D152" s="2714"/>
      <c r="E152" s="2714"/>
      <c r="F152" s="2714"/>
      <c r="G152" s="2715"/>
      <c r="H152" s="2714"/>
      <c r="I152" s="2715"/>
      <c r="J152" s="2714"/>
      <c r="K152" s="2714"/>
      <c r="L152" s="2715"/>
      <c r="M152" s="2714"/>
      <c r="N152" s="2714"/>
      <c r="O152" s="2715"/>
      <c r="P152" s="2714"/>
      <c r="Q152" s="2714"/>
      <c r="R152" s="2716"/>
    </row>
    <row r="153" spans="2:18" s="907" customFormat="1">
      <c r="B153" s="2714"/>
      <c r="C153" s="2714"/>
      <c r="D153" s="2714"/>
      <c r="E153" s="2714"/>
      <c r="F153" s="2714"/>
      <c r="G153" s="2715"/>
      <c r="H153" s="2714"/>
      <c r="I153" s="2715"/>
      <c r="J153" s="2714"/>
      <c r="K153" s="2714"/>
      <c r="L153" s="2715"/>
      <c r="M153" s="2714"/>
      <c r="N153" s="2714"/>
      <c r="O153" s="2715"/>
      <c r="P153" s="2714"/>
      <c r="Q153" s="2714"/>
      <c r="R153" s="2716"/>
    </row>
    <row r="154" spans="2:18" s="907" customFormat="1">
      <c r="B154" s="2714"/>
      <c r="C154" s="2714"/>
      <c r="D154" s="2714"/>
      <c r="E154" s="2714"/>
      <c r="F154" s="2714"/>
      <c r="G154" s="2715"/>
      <c r="H154" s="2714"/>
      <c r="I154" s="2715"/>
      <c r="J154" s="2714"/>
      <c r="K154" s="2714"/>
      <c r="L154" s="2715"/>
      <c r="M154" s="2714"/>
      <c r="N154" s="2714"/>
      <c r="O154" s="2715"/>
      <c r="P154" s="2714"/>
      <c r="Q154" s="2714"/>
      <c r="R154" s="2716"/>
    </row>
    <row r="155" spans="2:18" s="907" customFormat="1">
      <c r="B155" s="2714"/>
      <c r="C155" s="2714"/>
      <c r="D155" s="2714"/>
      <c r="E155" s="2714"/>
      <c r="F155" s="2714"/>
      <c r="G155" s="2715"/>
      <c r="H155" s="2714"/>
      <c r="I155" s="2715"/>
      <c r="J155" s="2714"/>
      <c r="K155" s="2714"/>
      <c r="L155" s="2715"/>
      <c r="M155" s="2714"/>
      <c r="N155" s="2714"/>
      <c r="O155" s="2715"/>
      <c r="P155" s="2714"/>
      <c r="Q155" s="2714"/>
      <c r="R155" s="2716"/>
    </row>
    <row r="156" spans="2:18" s="907" customFormat="1">
      <c r="B156" s="2714"/>
      <c r="C156" s="2714"/>
      <c r="D156" s="2714"/>
      <c r="E156" s="2714"/>
      <c r="F156" s="2714"/>
      <c r="G156" s="2715"/>
      <c r="H156" s="2714"/>
      <c r="I156" s="2715"/>
      <c r="J156" s="2714"/>
      <c r="K156" s="2714"/>
      <c r="L156" s="2715"/>
      <c r="M156" s="2714"/>
      <c r="N156" s="2714"/>
      <c r="O156" s="2715"/>
      <c r="P156" s="2714"/>
      <c r="Q156" s="2714"/>
      <c r="R156" s="2716"/>
    </row>
    <row r="157" spans="2:18" s="907" customFormat="1">
      <c r="B157" s="2714"/>
      <c r="C157" s="2714"/>
      <c r="D157" s="2714"/>
      <c r="E157" s="2714"/>
      <c r="F157" s="2714"/>
      <c r="G157" s="2715"/>
      <c r="H157" s="2714"/>
      <c r="I157" s="2715"/>
      <c r="J157" s="2714"/>
      <c r="K157" s="2714"/>
      <c r="L157" s="2715"/>
      <c r="M157" s="2714"/>
      <c r="N157" s="2714"/>
      <c r="O157" s="2715"/>
      <c r="P157" s="2714"/>
      <c r="Q157" s="2714"/>
      <c r="R157" s="2716"/>
    </row>
    <row r="158" spans="2:18" s="907" customFormat="1">
      <c r="B158" s="2714"/>
      <c r="C158" s="2714"/>
      <c r="D158" s="2714"/>
      <c r="E158" s="2714"/>
      <c r="F158" s="2714"/>
      <c r="G158" s="2715"/>
      <c r="H158" s="2714"/>
      <c r="I158" s="2715"/>
      <c r="J158" s="2714"/>
      <c r="K158" s="2714"/>
      <c r="L158" s="2715"/>
      <c r="M158" s="2714"/>
      <c r="N158" s="2714"/>
      <c r="O158" s="2715"/>
      <c r="P158" s="2714"/>
      <c r="Q158" s="2714"/>
      <c r="R158" s="2716"/>
    </row>
    <row r="159" spans="2:18" s="907" customFormat="1">
      <c r="B159" s="2714"/>
      <c r="C159" s="2714"/>
      <c r="D159" s="2714"/>
      <c r="E159" s="2714"/>
      <c r="F159" s="2714"/>
      <c r="G159" s="2715"/>
      <c r="H159" s="2714"/>
      <c r="I159" s="2715"/>
      <c r="J159" s="2714"/>
      <c r="K159" s="2714"/>
      <c r="L159" s="2715"/>
      <c r="M159" s="2714"/>
      <c r="N159" s="2714"/>
      <c r="O159" s="2715"/>
      <c r="P159" s="2714"/>
      <c r="Q159" s="2714"/>
      <c r="R159" s="2716"/>
    </row>
    <row r="160" spans="2:18" s="907" customFormat="1">
      <c r="B160" s="2714"/>
      <c r="C160" s="2714"/>
      <c r="D160" s="2714"/>
      <c r="E160" s="2714"/>
      <c r="F160" s="2714"/>
      <c r="G160" s="2715"/>
      <c r="H160" s="2714"/>
      <c r="I160" s="2715"/>
      <c r="J160" s="2714"/>
      <c r="K160" s="2714"/>
      <c r="L160" s="2715"/>
      <c r="M160" s="2714"/>
      <c r="N160" s="2714"/>
      <c r="O160" s="2715"/>
      <c r="P160" s="2714"/>
      <c r="Q160" s="2714"/>
      <c r="R160" s="2716"/>
    </row>
    <row r="161" spans="2:18" s="907" customFormat="1">
      <c r="B161" s="2714"/>
      <c r="C161" s="2714"/>
      <c r="D161" s="2714"/>
      <c r="E161" s="2714"/>
      <c r="F161" s="2714"/>
      <c r="G161" s="2715"/>
      <c r="H161" s="2714"/>
      <c r="I161" s="2715"/>
      <c r="J161" s="2714"/>
      <c r="K161" s="2714"/>
      <c r="L161" s="2715"/>
      <c r="M161" s="2714"/>
      <c r="N161" s="2714"/>
      <c r="O161" s="2715"/>
      <c r="P161" s="2714"/>
      <c r="Q161" s="2714"/>
      <c r="R161" s="2716"/>
    </row>
    <row r="162" spans="2:18" s="907" customFormat="1">
      <c r="B162" s="2714"/>
      <c r="C162" s="2714"/>
      <c r="D162" s="2714"/>
      <c r="E162" s="2714"/>
      <c r="F162" s="2714"/>
      <c r="G162" s="2715"/>
      <c r="H162" s="2714"/>
      <c r="I162" s="2715"/>
      <c r="J162" s="2714"/>
      <c r="K162" s="2714"/>
      <c r="L162" s="2715"/>
      <c r="M162" s="2714"/>
      <c r="N162" s="2714"/>
      <c r="O162" s="2715"/>
      <c r="P162" s="2714"/>
      <c r="Q162" s="2714"/>
      <c r="R162" s="2716"/>
    </row>
    <row r="163" spans="2:18" s="907" customFormat="1">
      <c r="B163" s="2714"/>
      <c r="C163" s="2714"/>
      <c r="D163" s="2714"/>
      <c r="E163" s="2714"/>
      <c r="F163" s="2714"/>
      <c r="G163" s="2715"/>
      <c r="H163" s="2714"/>
      <c r="I163" s="2715"/>
      <c r="J163" s="2714"/>
      <c r="K163" s="2714"/>
      <c r="L163" s="2715"/>
      <c r="M163" s="2714"/>
      <c r="N163" s="2714"/>
      <c r="O163" s="2715"/>
      <c r="P163" s="2714"/>
      <c r="Q163" s="2714"/>
      <c r="R163" s="2716"/>
    </row>
    <row r="164" spans="2:18" s="907" customFormat="1">
      <c r="B164" s="2714"/>
      <c r="C164" s="2714"/>
      <c r="D164" s="2714"/>
      <c r="E164" s="2714"/>
      <c r="F164" s="2714"/>
      <c r="G164" s="2715"/>
      <c r="H164" s="2714"/>
      <c r="I164" s="2715"/>
      <c r="J164" s="2714"/>
      <c r="K164" s="2714"/>
      <c r="L164" s="2715"/>
      <c r="M164" s="2714"/>
      <c r="N164" s="2714"/>
      <c r="O164" s="2715"/>
      <c r="P164" s="2714"/>
      <c r="Q164" s="2714"/>
      <c r="R164" s="2716"/>
    </row>
    <row r="165" spans="2:18" s="907" customFormat="1">
      <c r="B165" s="2714"/>
      <c r="C165" s="2714"/>
      <c r="D165" s="2714"/>
      <c r="E165" s="2714"/>
      <c r="F165" s="2714"/>
      <c r="G165" s="2715"/>
      <c r="H165" s="2714"/>
      <c r="I165" s="2715"/>
      <c r="J165" s="2714"/>
      <c r="K165" s="2714"/>
      <c r="L165" s="2715"/>
      <c r="M165" s="2714"/>
      <c r="N165" s="2714"/>
      <c r="O165" s="2715"/>
      <c r="P165" s="2714"/>
      <c r="Q165" s="2714"/>
      <c r="R165" s="2716"/>
    </row>
    <row r="166" spans="2:18" s="907" customFormat="1">
      <c r="B166" s="2714"/>
      <c r="C166" s="2714"/>
      <c r="D166" s="2714"/>
      <c r="E166" s="2714"/>
      <c r="F166" s="2714"/>
      <c r="G166" s="2715"/>
      <c r="H166" s="2714"/>
      <c r="I166" s="2715"/>
      <c r="J166" s="2714"/>
      <c r="K166" s="2714"/>
      <c r="L166" s="2715"/>
      <c r="M166" s="2714"/>
      <c r="N166" s="2714"/>
      <c r="O166" s="2715"/>
      <c r="P166" s="2714"/>
      <c r="Q166" s="2714"/>
      <c r="R166" s="2716"/>
    </row>
    <row r="167" spans="2:18" s="907" customFormat="1">
      <c r="B167" s="2714"/>
      <c r="C167" s="2714"/>
      <c r="D167" s="2714"/>
      <c r="E167" s="2714"/>
      <c r="F167" s="2714"/>
      <c r="G167" s="2715"/>
      <c r="H167" s="2714"/>
      <c r="I167" s="2715"/>
      <c r="J167" s="2714"/>
      <c r="K167" s="2714"/>
      <c r="L167" s="2715"/>
      <c r="M167" s="2714"/>
      <c r="N167" s="2714"/>
      <c r="O167" s="2715"/>
      <c r="P167" s="2714"/>
      <c r="Q167" s="2714"/>
      <c r="R167" s="2716"/>
    </row>
    <row r="168" spans="2:18" s="907" customFormat="1">
      <c r="B168" s="2714"/>
      <c r="C168" s="2714"/>
      <c r="D168" s="2714"/>
      <c r="E168" s="2714"/>
      <c r="F168" s="2714"/>
      <c r="G168" s="2715"/>
      <c r="H168" s="2714"/>
      <c r="I168" s="2715"/>
      <c r="J168" s="2714"/>
      <c r="K168" s="2714"/>
      <c r="L168" s="2715"/>
      <c r="M168" s="2714"/>
      <c r="N168" s="2714"/>
      <c r="O168" s="2715"/>
      <c r="P168" s="2714"/>
      <c r="Q168" s="2714"/>
      <c r="R168" s="2716"/>
    </row>
    <row r="169" spans="2:18" s="907" customFormat="1">
      <c r="B169" s="2714"/>
      <c r="C169" s="2714"/>
      <c r="D169" s="2714"/>
      <c r="E169" s="2714"/>
      <c r="F169" s="2714"/>
      <c r="G169" s="2715"/>
      <c r="H169" s="2714"/>
      <c r="I169" s="2715"/>
      <c r="J169" s="2714"/>
      <c r="K169" s="2714"/>
      <c r="L169" s="2715"/>
      <c r="M169" s="2714"/>
      <c r="N169" s="2714"/>
      <c r="O169" s="2715"/>
      <c r="P169" s="2714"/>
      <c r="Q169" s="2714"/>
      <c r="R169" s="2716"/>
    </row>
    <row r="170" spans="2:18" s="907" customFormat="1">
      <c r="B170" s="2714"/>
      <c r="C170" s="2714"/>
      <c r="D170" s="2714"/>
      <c r="E170" s="2714"/>
      <c r="F170" s="2714"/>
      <c r="G170" s="2715"/>
      <c r="H170" s="2714"/>
      <c r="I170" s="2715"/>
      <c r="J170" s="2714"/>
      <c r="K170" s="2714"/>
      <c r="L170" s="2715"/>
      <c r="M170" s="2714"/>
      <c r="N170" s="2714"/>
      <c r="O170" s="2715"/>
      <c r="P170" s="2714"/>
      <c r="Q170" s="2714"/>
      <c r="R170" s="2716"/>
    </row>
    <row r="171" spans="2:18" s="907" customFormat="1">
      <c r="B171" s="2714"/>
      <c r="C171" s="2714"/>
      <c r="D171" s="2714"/>
      <c r="E171" s="2714"/>
      <c r="F171" s="2714"/>
      <c r="G171" s="2715"/>
      <c r="H171" s="2714"/>
      <c r="I171" s="2715"/>
      <c r="J171" s="2714"/>
      <c r="K171" s="2714"/>
      <c r="L171" s="2715"/>
      <c r="M171" s="2714"/>
      <c r="N171" s="2714"/>
      <c r="O171" s="2715"/>
      <c r="P171" s="2714"/>
      <c r="Q171" s="2714"/>
      <c r="R171" s="2716"/>
    </row>
    <row r="172" spans="2:18" s="907" customFormat="1">
      <c r="B172" s="2714"/>
      <c r="C172" s="2714"/>
      <c r="D172" s="2714"/>
      <c r="E172" s="2714"/>
      <c r="F172" s="2714"/>
      <c r="G172" s="2715"/>
      <c r="H172" s="2714"/>
      <c r="I172" s="2715"/>
      <c r="J172" s="2714"/>
      <c r="K172" s="2714"/>
      <c r="L172" s="2715"/>
      <c r="M172" s="2714"/>
      <c r="N172" s="2714"/>
      <c r="O172" s="2715"/>
      <c r="P172" s="2714"/>
      <c r="Q172" s="2714"/>
      <c r="R172" s="2716"/>
    </row>
    <row r="173" spans="2:18" s="907" customFormat="1">
      <c r="B173" s="2714"/>
      <c r="C173" s="2714"/>
      <c r="D173" s="2714"/>
      <c r="E173" s="2714"/>
      <c r="F173" s="2714"/>
      <c r="G173" s="2715"/>
      <c r="H173" s="2714"/>
      <c r="I173" s="2715"/>
      <c r="J173" s="2714"/>
      <c r="K173" s="2714"/>
      <c r="L173" s="2715"/>
      <c r="M173" s="2714"/>
      <c r="N173" s="2714"/>
      <c r="O173" s="2715"/>
      <c r="P173" s="2714"/>
      <c r="Q173" s="2714"/>
      <c r="R173" s="2716"/>
    </row>
    <row r="174" spans="2:18" s="907" customFormat="1">
      <c r="B174" s="2714"/>
      <c r="C174" s="2714"/>
      <c r="D174" s="2714"/>
      <c r="E174" s="2714"/>
      <c r="F174" s="2714"/>
      <c r="G174" s="2715"/>
      <c r="H174" s="2714"/>
      <c r="I174" s="2715"/>
      <c r="J174" s="2714"/>
      <c r="K174" s="2714"/>
      <c r="L174" s="2715"/>
      <c r="M174" s="2714"/>
      <c r="N174" s="2714"/>
      <c r="O174" s="2715"/>
      <c r="P174" s="2714"/>
      <c r="Q174" s="2714"/>
      <c r="R174" s="2716"/>
    </row>
    <row r="175" spans="2:18" s="907" customFormat="1">
      <c r="B175" s="2714"/>
      <c r="C175" s="2714"/>
      <c r="D175" s="2714"/>
      <c r="E175" s="2714"/>
      <c r="F175" s="2714"/>
      <c r="G175" s="2715"/>
      <c r="H175" s="2714"/>
      <c r="I175" s="2715"/>
      <c r="J175" s="2714"/>
      <c r="K175" s="2714"/>
      <c r="L175" s="2715"/>
      <c r="M175" s="2714"/>
      <c r="N175" s="2714"/>
      <c r="O175" s="2715"/>
      <c r="P175" s="2714"/>
      <c r="Q175" s="2714"/>
      <c r="R175" s="2716"/>
    </row>
    <row r="176" spans="2:18" s="907" customFormat="1">
      <c r="B176" s="2714"/>
      <c r="C176" s="2714"/>
      <c r="D176" s="2714"/>
      <c r="E176" s="2714"/>
      <c r="F176" s="2714"/>
      <c r="G176" s="2715"/>
      <c r="H176" s="2714"/>
      <c r="I176" s="2715"/>
      <c r="J176" s="2714"/>
      <c r="K176" s="2714"/>
      <c r="L176" s="2715"/>
      <c r="M176" s="2714"/>
      <c r="N176" s="2714"/>
      <c r="O176" s="2715"/>
      <c r="P176" s="2714"/>
      <c r="Q176" s="2714"/>
      <c r="R176" s="2716"/>
    </row>
    <row r="177" spans="1:18" s="907" customFormat="1">
      <c r="B177" s="2714"/>
      <c r="C177" s="2714"/>
      <c r="D177" s="2714"/>
      <c r="E177" s="2714"/>
      <c r="F177" s="2714"/>
      <c r="G177" s="2715"/>
      <c r="H177" s="2714"/>
      <c r="I177" s="2715"/>
      <c r="J177" s="2714"/>
      <c r="K177" s="2714"/>
      <c r="L177" s="2715"/>
      <c r="M177" s="2714"/>
      <c r="N177" s="2714"/>
      <c r="O177" s="2715"/>
      <c r="P177" s="2714"/>
      <c r="Q177" s="2714"/>
      <c r="R177" s="2716"/>
    </row>
    <row r="178" spans="1:18" s="907" customFormat="1">
      <c r="B178" s="2714"/>
      <c r="C178" s="2714"/>
      <c r="D178" s="2714"/>
      <c r="E178" s="2714"/>
      <c r="F178" s="2714"/>
      <c r="G178" s="2715"/>
      <c r="H178" s="2714"/>
      <c r="I178" s="2715"/>
      <c r="J178" s="2714"/>
      <c r="K178" s="2714"/>
      <c r="L178" s="2715"/>
      <c r="M178" s="2714"/>
      <c r="N178" s="2714"/>
      <c r="O178" s="2715"/>
      <c r="P178" s="2714"/>
      <c r="Q178" s="2714"/>
      <c r="R178" s="2716"/>
    </row>
    <row r="179" spans="1:18" s="907" customFormat="1">
      <c r="B179" s="2714"/>
      <c r="C179" s="2714"/>
      <c r="D179" s="2714"/>
      <c r="E179" s="2714"/>
      <c r="F179" s="2714"/>
      <c r="G179" s="2715"/>
      <c r="H179" s="2714"/>
      <c r="I179" s="2715"/>
      <c r="J179" s="2714"/>
      <c r="K179" s="2714"/>
      <c r="L179" s="2715"/>
      <c r="M179" s="2714"/>
      <c r="N179" s="2714"/>
      <c r="O179" s="2715"/>
      <c r="P179" s="2714"/>
      <c r="Q179" s="2714"/>
      <c r="R179" s="2716"/>
    </row>
    <row r="180" spans="1:18" s="907" customFormat="1">
      <c r="B180" s="2714"/>
      <c r="C180" s="2714"/>
      <c r="D180" s="2714"/>
      <c r="E180" s="2714"/>
      <c r="F180" s="2714"/>
      <c r="G180" s="2715"/>
      <c r="H180" s="2714"/>
      <c r="I180" s="2715"/>
      <c r="J180" s="2714"/>
      <c r="K180" s="2714"/>
      <c r="L180" s="2715"/>
      <c r="M180" s="2714"/>
      <c r="N180" s="2714"/>
      <c r="O180" s="2715"/>
      <c r="P180" s="2714"/>
      <c r="Q180" s="2714"/>
      <c r="R180" s="2716"/>
    </row>
    <row r="181" spans="1:18" s="907" customFormat="1">
      <c r="B181" s="2714"/>
      <c r="C181" s="2714"/>
      <c r="D181" s="2714"/>
      <c r="E181" s="2714"/>
      <c r="F181" s="2714"/>
      <c r="G181" s="2715"/>
      <c r="H181" s="2714"/>
      <c r="I181" s="2715"/>
      <c r="J181" s="2714"/>
      <c r="K181" s="2714"/>
      <c r="L181" s="2715"/>
      <c r="M181" s="2714"/>
      <c r="N181" s="2714"/>
      <c r="O181" s="2715"/>
      <c r="P181" s="2714"/>
      <c r="Q181" s="2714"/>
      <c r="R181" s="2716"/>
    </row>
    <row r="182" spans="1:18" s="907" customFormat="1">
      <c r="B182" s="2714"/>
      <c r="C182" s="2714"/>
      <c r="D182" s="2714"/>
      <c r="E182" s="2714"/>
      <c r="F182" s="2714"/>
      <c r="G182" s="2715"/>
      <c r="H182" s="2714"/>
      <c r="I182" s="2715"/>
      <c r="J182" s="2714"/>
      <c r="K182" s="2714"/>
      <c r="L182" s="2715"/>
      <c r="M182" s="2714"/>
      <c r="N182" s="2714"/>
      <c r="O182" s="2715"/>
      <c r="P182" s="2714"/>
      <c r="Q182" s="2714"/>
      <c r="R182" s="2716"/>
    </row>
    <row r="183" spans="1:18" s="907" customFormat="1">
      <c r="B183" s="2714"/>
      <c r="C183" s="2714"/>
      <c r="D183" s="2714"/>
      <c r="E183" s="2714"/>
      <c r="F183" s="2714"/>
      <c r="G183" s="2715"/>
      <c r="H183" s="2714"/>
      <c r="I183" s="2715"/>
      <c r="J183" s="2714"/>
      <c r="K183" s="2714"/>
      <c r="L183" s="2715"/>
      <c r="M183" s="2714"/>
      <c r="N183" s="2714"/>
      <c r="O183" s="2715"/>
      <c r="P183" s="2714"/>
      <c r="Q183" s="2714"/>
      <c r="R183" s="2716"/>
    </row>
    <row r="184" spans="1:18" s="907" customFormat="1">
      <c r="B184" s="2714"/>
      <c r="C184" s="2714"/>
      <c r="D184" s="2714"/>
      <c r="E184" s="2714"/>
      <c r="F184" s="2714"/>
      <c r="G184" s="2715"/>
      <c r="H184" s="2714"/>
      <c r="I184" s="2715"/>
      <c r="J184" s="2714"/>
      <c r="K184" s="2714"/>
      <c r="L184" s="2715"/>
      <c r="M184" s="2714"/>
      <c r="N184" s="2714"/>
      <c r="O184" s="2715"/>
      <c r="P184" s="2714"/>
      <c r="Q184" s="2714"/>
      <c r="R184" s="2716"/>
    </row>
    <row r="185" spans="1:18" s="907"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7"/>
      <c r="B186" s="2714"/>
      <c r="C186" s="2714"/>
      <c r="E186" s="2714"/>
      <c r="F186" s="2714"/>
      <c r="G186" s="2715"/>
    </row>
    <row r="187" spans="1:18">
      <c r="A187" s="907"/>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E14" sqref="E14"/>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1141.77</v>
      </c>
      <c r="C1" s="2912"/>
      <c r="D1" s="2912"/>
      <c r="E1" s="2912"/>
      <c r="F1" s="2912"/>
      <c r="G1" s="2913"/>
      <c r="H1" s="2914"/>
      <c r="I1" s="2914"/>
      <c r="J1" s="2914"/>
      <c r="K1" s="2914"/>
    </row>
    <row r="2" spans="1:11" ht="16.5">
      <c r="A2" s="2735" t="s">
        <v>1319</v>
      </c>
      <c r="B2" s="2735">
        <f>SUM(C14:C23)</f>
        <v>0</v>
      </c>
      <c r="C2" s="2912"/>
      <c r="D2" s="2912"/>
      <c r="E2" s="2912"/>
      <c r="F2" s="2912"/>
      <c r="G2" s="2913"/>
      <c r="H2" s="2914"/>
      <c r="I2" s="2914"/>
      <c r="J2" s="2914"/>
      <c r="K2" s="2914"/>
    </row>
    <row r="3" spans="1:11" ht="16.5">
      <c r="A3" s="2735" t="s">
        <v>1328</v>
      </c>
      <c r="B3" s="2737">
        <f>项目基本情况!D3</f>
        <v>44370</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4779</v>
      </c>
      <c r="C5" s="2735">
        <f ca="1">ROUND(B5*10000/$B$1,0)</f>
        <v>41856</v>
      </c>
      <c r="D5" s="2735" t="e">
        <f ca="1">ROUND(B5*10000/$B$2,0)</f>
        <v>#DIV/0!</v>
      </c>
      <c r="E5" s="2912"/>
      <c r="F5" s="2913"/>
      <c r="G5" s="2913"/>
      <c r="H5" s="2914"/>
      <c r="I5" s="2914"/>
      <c r="J5" s="2914"/>
      <c r="K5" s="2914"/>
    </row>
    <row r="6" spans="1:11" ht="16.5">
      <c r="A6" s="2735" t="s">
        <v>1322</v>
      </c>
      <c r="B6" s="2735">
        <f ca="1">SUM(G14:G23)</f>
        <v>4779</v>
      </c>
      <c r="C6" s="2735">
        <f ca="1">ROUND(B6*10000/$B$1,0)</f>
        <v>41856</v>
      </c>
      <c r="D6" s="2735" t="e">
        <f ca="1">ROUND(B6*10000/$B$2,0)</f>
        <v>#DIV/0!</v>
      </c>
      <c r="E6" s="2912"/>
      <c r="F6" s="2913"/>
      <c r="G6" s="2913"/>
      <c r="H6" s="2914"/>
      <c r="I6" s="2914"/>
      <c r="J6" s="2914"/>
      <c r="K6" s="2914"/>
    </row>
    <row r="7" spans="1:11" ht="16.5">
      <c r="A7" s="2735" t="s">
        <v>1330</v>
      </c>
      <c r="B7" s="2735">
        <f>SUM(H14:H23)</f>
        <v>0</v>
      </c>
      <c r="C7" s="2735">
        <f>ROUND(B7*10000/$B$1,0)</f>
        <v>0</v>
      </c>
      <c r="D7" s="2735" t="e">
        <f>ROUND(B7*10000/$B$2,0)</f>
        <v>#DIV/0!</v>
      </c>
      <c r="E7" s="2912"/>
      <c r="F7" s="2913"/>
      <c r="G7" s="2913"/>
      <c r="H7" s="2914"/>
      <c r="I7" s="2914"/>
      <c r="J7" s="2914"/>
      <c r="K7" s="2914"/>
    </row>
    <row r="8" spans="1:11" ht="16.5">
      <c r="A8" s="2735" t="s">
        <v>1252</v>
      </c>
      <c r="B8" s="2735">
        <f>SUM(I14:I23)</f>
        <v>0</v>
      </c>
      <c r="C8" s="2735">
        <f>ROUND(B8*10000/$B$1,0)</f>
        <v>0</v>
      </c>
      <c r="D8" s="2735" t="e">
        <f>ROUND(B8*10000/$B$2,0)</f>
        <v>#DIV/0!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1141.77</v>
      </c>
      <c r="C14" s="2741">
        <f>结果表!C118</f>
        <v>0</v>
      </c>
      <c r="D14" s="2741">
        <f ca="1">结果表!H118</f>
        <v>4779</v>
      </c>
      <c r="E14" s="2741">
        <f ca="1">ROUND(D14*10000/B14,0)</f>
        <v>41856</v>
      </c>
      <c r="F14" s="2741" t="e">
        <f ca="1">ROUND(D14*10000/C14,0)</f>
        <v>#DIV/0!</v>
      </c>
      <c r="G14" s="2741">
        <f ca="1">结果表!D122</f>
        <v>4779</v>
      </c>
      <c r="H14" s="2741" t="str">
        <f>结果表!D124</f>
        <v>——</v>
      </c>
      <c r="I14" s="2741" t="str">
        <f>结果表!D126</f>
        <v>——</v>
      </c>
      <c r="J14" s="2913"/>
      <c r="K14" s="2914"/>
    </row>
    <row r="15" spans="1:11" ht="16.5">
      <c r="A15" s="2740" t="s">
        <v>1315</v>
      </c>
      <c r="B15" s="2742"/>
      <c r="C15" s="2742"/>
      <c r="D15" s="2742"/>
      <c r="E15" s="2741" t="e">
        <f t="shared" ref="E15:E23" si="0">ROUND(D15*10000/B15,0)</f>
        <v>#DIV/0!</v>
      </c>
      <c r="F15" s="2741" t="e">
        <f t="shared" ref="F15:F23" si="1">ROUND(D15*10000/C15,0)</f>
        <v>#DIV/0!</v>
      </c>
      <c r="G15" s="1500"/>
      <c r="H15" s="1500"/>
      <c r="I15" s="2742"/>
      <c r="J15" s="2913"/>
      <c r="K15" s="2914"/>
    </row>
    <row r="16" spans="1:11" ht="16.5">
      <c r="A16" s="2740" t="s">
        <v>1314</v>
      </c>
      <c r="B16" s="2742"/>
      <c r="C16" s="2742"/>
      <c r="D16" s="2742"/>
      <c r="E16" s="2741" t="e">
        <f t="shared" si="0"/>
        <v>#DIV/0!</v>
      </c>
      <c r="F16" s="2741" t="e">
        <f t="shared" si="1"/>
        <v>#DIV/0!</v>
      </c>
      <c r="G16" s="1500"/>
      <c r="H16" s="1500"/>
      <c r="I16" s="2742"/>
      <c r="J16" s="2914"/>
      <c r="K16" s="2914"/>
    </row>
    <row r="17" spans="1:11" ht="16.5">
      <c r="A17" s="2740" t="s">
        <v>1313</v>
      </c>
      <c r="B17" s="2742"/>
      <c r="C17" s="2742"/>
      <c r="D17" s="2742"/>
      <c r="E17" s="2741" t="e">
        <f t="shared" si="0"/>
        <v>#DIV/0!</v>
      </c>
      <c r="F17" s="2741" t="e">
        <f t="shared" si="1"/>
        <v>#DIV/0!</v>
      </c>
      <c r="G17" s="1500"/>
      <c r="H17" s="1500"/>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A2" sqref="A2:I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3077</v>
      </c>
      <c r="H1" s="1936" t="str">
        <f>IF(G1="现房","——","估价对象范围")</f>
        <v>——</v>
      </c>
      <c r="I1" s="1937"/>
    </row>
    <row r="2" spans="1:12" ht="21.75" customHeight="1" thickBot="1">
      <c r="A2" s="3265" t="str">
        <f>项目基本情况!S2</f>
        <v>北京市西城区西直门外大街1号院2号楼17层19C5-19C13共9套办公用房房地产</v>
      </c>
      <c r="B2" s="3266"/>
      <c r="C2" s="3266"/>
      <c r="D2" s="3266"/>
      <c r="E2" s="3266"/>
      <c r="F2" s="3266"/>
      <c r="G2" s="3266"/>
      <c r="H2" s="3266"/>
      <c r="I2" s="3267"/>
    </row>
    <row r="3" spans="1:12" ht="12.75">
      <c r="A3" s="3269" t="s">
        <v>1950</v>
      </c>
      <c r="B3" s="3270"/>
      <c r="C3" s="3270"/>
      <c r="D3" s="3270"/>
      <c r="E3" s="3270"/>
      <c r="F3" s="3270"/>
      <c r="G3" s="3270"/>
      <c r="H3" s="3270"/>
      <c r="I3" s="3270"/>
    </row>
    <row r="4" spans="1:12" ht="14.25">
      <c r="A4" s="1940" t="s">
        <v>1951</v>
      </c>
      <c r="B4" s="1941" t="s">
        <v>1952</v>
      </c>
      <c r="C4" s="1942" t="s">
        <v>3152</v>
      </c>
      <c r="D4" s="1942" t="s">
        <v>3152</v>
      </c>
      <c r="E4" s="3274" t="s">
        <v>1953</v>
      </c>
      <c r="F4" s="3275"/>
      <c r="G4" s="3275"/>
      <c r="H4" s="3275"/>
      <c r="I4" s="3276"/>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10" t="s">
        <v>1954</v>
      </c>
      <c r="B5" s="3268">
        <v>25</v>
      </c>
      <c r="C5" s="3271"/>
      <c r="D5" s="3259"/>
      <c r="E5" s="136" t="s">
        <v>1955</v>
      </c>
      <c r="F5" s="1943"/>
      <c r="G5" s="1943"/>
      <c r="H5" s="1943"/>
      <c r="I5" s="1557"/>
    </row>
    <row r="6" spans="1:12" ht="12.75">
      <c r="A6" s="3210"/>
      <c r="B6" s="3268"/>
      <c r="C6" s="3273"/>
      <c r="D6" s="3259"/>
      <c r="E6" s="136" t="s">
        <v>1956</v>
      </c>
      <c r="F6" s="1943"/>
      <c r="G6" s="1943"/>
      <c r="H6" s="1943"/>
      <c r="I6" s="1557"/>
    </row>
    <row r="7" spans="1:12" ht="12.75">
      <c r="A7" s="3210"/>
      <c r="B7" s="3268"/>
      <c r="C7" s="3272"/>
      <c r="D7" s="3259"/>
      <c r="E7" s="136" t="s">
        <v>1957</v>
      </c>
      <c r="F7" s="1943"/>
      <c r="G7" s="1943"/>
      <c r="H7" s="1943"/>
      <c r="I7" s="1557"/>
    </row>
    <row r="8" spans="1:12" ht="12.75">
      <c r="A8" s="3210" t="s">
        <v>1958</v>
      </c>
      <c r="B8" s="3268">
        <v>15</v>
      </c>
      <c r="C8" s="3271"/>
      <c r="D8" s="3259"/>
      <c r="E8" s="136" t="s">
        <v>1959</v>
      </c>
      <c r="F8" s="1943"/>
      <c r="G8" s="1943"/>
      <c r="H8" s="1943"/>
      <c r="I8" s="1557"/>
    </row>
    <row r="9" spans="1:12" ht="12.75">
      <c r="A9" s="3210"/>
      <c r="B9" s="3268"/>
      <c r="C9" s="3272"/>
      <c r="D9" s="3259"/>
      <c r="E9" s="136" t="s">
        <v>1960</v>
      </c>
      <c r="F9" s="1943"/>
      <c r="G9" s="1943"/>
      <c r="H9" s="1943"/>
      <c r="I9" s="1557"/>
    </row>
    <row r="10" spans="1:12" ht="12.75">
      <c r="A10" s="3210" t="s">
        <v>1961</v>
      </c>
      <c r="B10" s="3268">
        <v>15</v>
      </c>
      <c r="C10" s="3271"/>
      <c r="D10" s="3259"/>
      <c r="E10" s="136" t="s">
        <v>1962</v>
      </c>
      <c r="F10" s="1943"/>
      <c r="G10" s="1943"/>
      <c r="H10" s="1943"/>
      <c r="I10" s="1557"/>
    </row>
    <row r="11" spans="1:12" ht="12.75">
      <c r="A11" s="3210"/>
      <c r="B11" s="3268"/>
      <c r="C11" s="3272"/>
      <c r="D11" s="3259"/>
      <c r="E11" s="136" t="s">
        <v>1963</v>
      </c>
      <c r="F11" s="1943"/>
      <c r="G11" s="1943"/>
      <c r="H11" s="1943"/>
      <c r="I11" s="1557"/>
    </row>
    <row r="12" spans="1:12" ht="12.75">
      <c r="A12" s="3210" t="s">
        <v>1964</v>
      </c>
      <c r="B12" s="3268">
        <v>15</v>
      </c>
      <c r="C12" s="3271"/>
      <c r="D12" s="3259"/>
      <c r="E12" s="136" t="s">
        <v>1965</v>
      </c>
      <c r="F12" s="1943"/>
      <c r="G12" s="1943"/>
      <c r="H12" s="1943"/>
      <c r="I12" s="1557"/>
    </row>
    <row r="13" spans="1:12" ht="12.75">
      <c r="A13" s="3210"/>
      <c r="B13" s="3268"/>
      <c r="C13" s="3272"/>
      <c r="D13" s="3259"/>
      <c r="E13" s="136" t="s">
        <v>1966</v>
      </c>
      <c r="F13" s="1943"/>
      <c r="G13" s="1943"/>
      <c r="H13" s="1943"/>
      <c r="I13" s="1557"/>
    </row>
    <row r="14" spans="1:12" ht="12.75">
      <c r="A14" s="3210" t="s">
        <v>1967</v>
      </c>
      <c r="B14" s="3268">
        <v>30</v>
      </c>
      <c r="C14" s="3271">
        <v>1</v>
      </c>
      <c r="D14" s="3259">
        <v>0</v>
      </c>
      <c r="E14" s="136" t="s">
        <v>1968</v>
      </c>
      <c r="F14" s="1943"/>
      <c r="G14" s="1943"/>
      <c r="H14" s="1943"/>
      <c r="I14" s="1557"/>
    </row>
    <row r="15" spans="1:12" ht="12.75">
      <c r="A15" s="3210"/>
      <c r="B15" s="3268"/>
      <c r="C15" s="3273"/>
      <c r="D15" s="3259"/>
      <c r="E15" s="136" t="s">
        <v>1969</v>
      </c>
      <c r="F15" s="1943"/>
      <c r="G15" s="1943"/>
      <c r="H15" s="1943"/>
      <c r="I15" s="1557"/>
    </row>
    <row r="16" spans="1:12" ht="12.75">
      <c r="A16" s="3210"/>
      <c r="B16" s="3268"/>
      <c r="C16" s="3272"/>
      <c r="D16" s="3259"/>
      <c r="E16" s="136" t="s">
        <v>1970</v>
      </c>
      <c r="F16" s="1943"/>
      <c r="G16" s="1943"/>
      <c r="H16" s="1943"/>
      <c r="I16" s="1557"/>
    </row>
    <row r="17" spans="1:36" ht="15">
      <c r="A17" s="1944" t="s">
        <v>1971</v>
      </c>
      <c r="B17" s="60"/>
      <c r="C17" s="137">
        <f>SUM(C5:C16)</f>
        <v>1</v>
      </c>
      <c r="D17" s="137">
        <f>SUM(D5:D16)</f>
        <v>0</v>
      </c>
      <c r="E17" s="134"/>
      <c r="F17" s="134"/>
      <c r="G17" s="134"/>
      <c r="H17" s="134"/>
      <c r="I17" s="134"/>
      <c r="K17" s="308"/>
      <c r="L17" s="308" t="s">
        <v>1972</v>
      </c>
      <c r="M17" s="308" t="s">
        <v>1973</v>
      </c>
    </row>
    <row r="18" spans="1:36" ht="31.9" customHeight="1" thickBot="1">
      <c r="A18" s="1945" t="s">
        <v>1974</v>
      </c>
      <c r="B18" s="1946"/>
      <c r="C18" s="138">
        <f>ROUND(C17/SUM(C17:D17),2)</f>
        <v>1</v>
      </c>
      <c r="D18" s="138">
        <f>1-C18</f>
        <v>0</v>
      </c>
      <c r="E18" s="3290" t="s">
        <v>2870</v>
      </c>
      <c r="F18" s="3291"/>
      <c r="G18" s="3291"/>
      <c r="H18" s="3291"/>
      <c r="I18" s="3291"/>
      <c r="K18" s="308" t="s">
        <v>1975</v>
      </c>
      <c r="L18" s="308">
        <f>IF(C1="",'数据-汇总表'!E3,SUMIF(项目类型,C1,'数据-汇总表'!E17:E26)+SUMIF(项目类型,C1,'数据-汇总表'!I17:I26))</f>
        <v>1141.77</v>
      </c>
      <c r="M18" s="308">
        <f>IF(C1="",'数据-汇总表'!E3,SUMIF(项目类型,C1,'数据-汇总表'!E17:E26))</f>
        <v>1141.77</v>
      </c>
    </row>
    <row r="19" spans="1:36" ht="15">
      <c r="A19" s="1947" t="s">
        <v>1976</v>
      </c>
      <c r="B19" s="1948" t="s">
        <v>1977</v>
      </c>
      <c r="C19" s="139">
        <f ca="1">SUMIF(INDIRECT("'"&amp;C4&amp;"'"&amp;"!A:A"),结果表!B19,INDIRECT("'"&amp;C4&amp;"'"&amp;"!B:B"))</f>
        <v>4779</v>
      </c>
      <c r="D19" s="140">
        <f ca="1">SUMIF(INDIRECT("'"&amp;D4&amp;"'"&amp;"!A:A"),结果表!B19,INDIRECT("'"&amp;D4&amp;"'"&amp;"!B:B"))</f>
        <v>4779</v>
      </c>
      <c r="E19" s="1947" t="s">
        <v>1978</v>
      </c>
      <c r="F19" s="1948" t="s">
        <v>1977</v>
      </c>
      <c r="G19" s="141">
        <f ca="1">ROUND(C19*$C$18+D19*$D$18,0)</f>
        <v>4779</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SUMIF(INDIRECT("'"&amp;C4&amp;"'"&amp;"!A:A"),结果表!B20,INDIRECT("'"&amp;C4&amp;"'"&amp;"!B:B"))</f>
        <v>41856</v>
      </c>
      <c r="D20" s="143">
        <f ca="1">SUMIF(INDIRECT("'"&amp;D4&amp;"'"&amp;"!A:A"),结果表!B20,INDIRECT("'"&amp;D4&amp;"'"&amp;"!B:B"))</f>
        <v>41856</v>
      </c>
      <c r="E20" s="1950"/>
      <c r="F20" s="1157" t="s">
        <v>1981</v>
      </c>
      <c r="G20" s="144">
        <f ca="1">ROUND(C20*$C$18+D20*$D$18,0)</f>
        <v>41856</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0</v>
      </c>
      <c r="E22" s="134"/>
      <c r="F22" s="134"/>
      <c r="G22" s="134"/>
      <c r="H22" s="134"/>
      <c r="I22" s="134"/>
    </row>
    <row r="23" spans="1:36" ht="13.5" thickBot="1">
      <c r="A23" s="1933"/>
      <c r="B23" s="1933"/>
      <c r="C23" s="1933"/>
      <c r="D23" s="1933"/>
      <c r="E23" s="134"/>
      <c r="F23" s="134"/>
      <c r="G23" s="134"/>
      <c r="H23" s="134"/>
      <c r="I23" s="134"/>
    </row>
    <row r="24" spans="1:36" ht="14.25">
      <c r="A24" s="3283" t="s">
        <v>1985</v>
      </c>
      <c r="B24" s="1948" t="s">
        <v>1977</v>
      </c>
      <c r="C24" s="141">
        <f>IF(B30=0,0,D30)</f>
        <v>0</v>
      </c>
      <c r="D24" s="1955"/>
      <c r="E24" s="134"/>
      <c r="F24" s="134"/>
      <c r="G24" s="134"/>
      <c r="H24" s="134"/>
      <c r="I24" s="134"/>
    </row>
    <row r="25" spans="1:36" ht="14.25">
      <c r="A25" s="328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2871</v>
      </c>
      <c r="F30" s="134"/>
      <c r="G30" s="134"/>
      <c r="H30" s="134"/>
      <c r="I30" s="134"/>
    </row>
    <row r="31" spans="1:36" s="2527" customFormat="1" ht="26.45" customHeight="1" thickTop="1" thickBot="1">
      <c r="A31" s="2522"/>
      <c r="B31" s="2523"/>
      <c r="C31" s="2523"/>
      <c r="D31" s="2523"/>
      <c r="E31" s="2523"/>
      <c r="F31" s="2523"/>
      <c r="G31" s="2523"/>
      <c r="H31" s="2523"/>
      <c r="I31" s="2524" t="s">
        <v>2872</v>
      </c>
      <c r="J31" s="2915"/>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4779</v>
      </c>
      <c r="D32" s="1961" t="s">
        <v>3108</v>
      </c>
      <c r="E32" s="134"/>
      <c r="F32" s="134"/>
      <c r="G32" s="134"/>
      <c r="H32" s="134"/>
      <c r="I32" s="134"/>
    </row>
    <row r="33" spans="1:15" ht="15">
      <c r="A33" s="894" t="s">
        <v>1992</v>
      </c>
      <c r="B33" s="1962"/>
      <c r="C33" s="1963" t="s">
        <v>3109</v>
      </c>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260" t="s">
        <v>1998</v>
      </c>
      <c r="B36" s="1973" t="s">
        <v>1999</v>
      </c>
      <c r="C36" s="150"/>
      <c r="D36" s="1974"/>
      <c r="E36" s="1975"/>
      <c r="F36" s="1976"/>
      <c r="G36" s="134"/>
      <c r="H36" s="134"/>
      <c r="I36" s="134"/>
    </row>
    <row r="37" spans="1:15" ht="15.75" thickBot="1">
      <c r="A37" s="3261"/>
      <c r="B37" s="1860" t="s">
        <v>2000</v>
      </c>
      <c r="C37" s="152"/>
      <c r="D37" s="1301"/>
      <c r="E37" s="1301"/>
      <c r="F37" s="1976"/>
      <c r="G37" s="134"/>
      <c r="H37" s="134"/>
      <c r="I37" s="134"/>
    </row>
    <row r="38" spans="1:15" ht="15.75" thickBot="1">
      <c r="A38" s="3262"/>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80" t="s">
        <v>2012</v>
      </c>
      <c r="B45" s="3281"/>
      <c r="C45" s="3282"/>
      <c r="D45" s="160">
        <f ca="1">ROUND(H101*F45,0)</f>
        <v>4779</v>
      </c>
      <c r="E45" s="161" t="s">
        <v>2013</v>
      </c>
      <c r="F45" s="162">
        <v>1</v>
      </c>
      <c r="G45" s="163" t="s">
        <v>2014</v>
      </c>
      <c r="H45" s="134"/>
      <c r="I45" s="134"/>
      <c r="J45" s="3197" t="s">
        <v>2015</v>
      </c>
      <c r="K45" s="3197"/>
      <c r="L45" s="3197"/>
      <c r="M45" s="3197"/>
      <c r="N45" s="3197"/>
      <c r="O45" s="3197"/>
    </row>
    <row r="46" spans="1:15" ht="14.25" customHeight="1">
      <c r="A46" s="3277" t="s">
        <v>2016</v>
      </c>
      <c r="B46" s="3278"/>
      <c r="C46" s="3278"/>
      <c r="D46" s="3278"/>
      <c r="E46" s="3278"/>
      <c r="F46" s="3278"/>
      <c r="G46" s="3279"/>
      <c r="H46" s="1992"/>
      <c r="I46" s="164"/>
      <c r="J46" s="2746">
        <v>1</v>
      </c>
      <c r="K46" s="3198" t="s">
        <v>2017</v>
      </c>
      <c r="L46" s="3198"/>
      <c r="M46" s="3199"/>
      <c r="N46" s="3199"/>
      <c r="O46" s="3199"/>
    </row>
    <row r="47" spans="1:15" ht="12" customHeight="1">
      <c r="A47" s="165" t="s">
        <v>2018</v>
      </c>
      <c r="B47" s="166"/>
      <c r="C47" s="167"/>
      <c r="D47" s="1247" t="s">
        <v>2019</v>
      </c>
      <c r="E47" s="308" t="s">
        <v>2020</v>
      </c>
      <c r="F47" s="168" t="s">
        <v>2021</v>
      </c>
      <c r="G47" s="2769" t="s">
        <v>2022</v>
      </c>
      <c r="H47" s="2770"/>
      <c r="I47" s="164"/>
      <c r="J47" s="2746">
        <v>2</v>
      </c>
      <c r="K47" s="3198" t="s">
        <v>2023</v>
      </c>
      <c r="L47" s="3198"/>
      <c r="M47" s="3200">
        <f>'数据-取费表'!B2</f>
        <v>44370</v>
      </c>
      <c r="N47" s="3200"/>
      <c r="O47" s="3200"/>
    </row>
    <row r="48" spans="1:15" ht="25.5">
      <c r="A48" s="3263" t="s">
        <v>2024</v>
      </c>
      <c r="B48" s="3264"/>
      <c r="C48" s="3264"/>
      <c r="D48" s="2547" t="b">
        <f>IF(H48="情况1",0,IF(H48="情况2",D52,IF(H48="情况3",D53,IF(H48="情况4",D54))))</f>
        <v>0</v>
      </c>
      <c r="E48" s="2557" t="str">
        <f>IF(H48="情况4","(销售额-原购置价)×税（费）率","销售额×税（费）率")</f>
        <v>销售额×税（费）率</v>
      </c>
      <c r="F48" s="2771">
        <f>IF(H48="情况1","免征",'数据-取费表'!B41)</f>
        <v>5.6000000000000001E-2</v>
      </c>
      <c r="G48" s="2772" t="s">
        <v>2025</v>
      </c>
      <c r="H48" s="2773"/>
      <c r="I48" s="1992"/>
      <c r="J48" s="2746">
        <v>3</v>
      </c>
      <c r="K48" s="3198" t="s">
        <v>2026</v>
      </c>
      <c r="L48" s="3198"/>
      <c r="M48" s="3201">
        <f ca="1">H101</f>
        <v>4779</v>
      </c>
      <c r="N48" s="3201"/>
      <c r="O48" s="3201"/>
    </row>
    <row r="49" spans="1:35" ht="25.5" customHeight="1">
      <c r="A49" s="2556" t="s">
        <v>2027</v>
      </c>
      <c r="B49" s="3246" t="s">
        <v>2028</v>
      </c>
      <c r="C49" s="3246"/>
      <c r="D49" s="1775">
        <v>0</v>
      </c>
      <c r="E49" s="330" t="s">
        <v>2029</v>
      </c>
      <c r="F49" s="2647" t="s">
        <v>34</v>
      </c>
      <c r="G49" s="3229"/>
      <c r="H49" s="2528" t="s">
        <v>2873</v>
      </c>
      <c r="I49" s="2529"/>
      <c r="J49" s="2746">
        <v>4</v>
      </c>
      <c r="K49" s="3198" t="str">
        <f>IF(项目基本情况!E8="房地产抵押价值","房地产抵押价值","抵押担保权已注销时的房地产抵押价值")</f>
        <v>房地产抵押价值</v>
      </c>
      <c r="L49" s="3198"/>
      <c r="M49" s="3201">
        <f ca="1">IF(项目基本情况!E8="房地产抵押价值",H107,H109)</f>
        <v>4779</v>
      </c>
      <c r="N49" s="3201"/>
      <c r="O49" s="3201"/>
    </row>
    <row r="50" spans="1:35" ht="25.5" customHeight="1">
      <c r="A50" s="2774"/>
      <c r="B50" s="3246" t="s">
        <v>2030</v>
      </c>
      <c r="C50" s="3246"/>
      <c r="D50" s="2775"/>
      <c r="E50" s="338"/>
      <c r="F50" s="2647"/>
      <c r="G50" s="3230"/>
      <c r="H50" s="2530" t="s">
        <v>2874</v>
      </c>
      <c r="I50" s="2529"/>
      <c r="J50" s="3197" t="s">
        <v>2031</v>
      </c>
      <c r="K50" s="3197"/>
      <c r="L50" s="3197"/>
      <c r="M50" s="3197"/>
      <c r="N50" s="3197"/>
      <c r="O50" s="3197"/>
    </row>
    <row r="51" spans="1:35" ht="20.45" customHeight="1">
      <c r="A51" s="2776"/>
      <c r="B51" s="3246" t="s">
        <v>2032</v>
      </c>
      <c r="C51" s="3246"/>
      <c r="D51" s="1247"/>
      <c r="E51" s="333"/>
      <c r="F51" s="2647"/>
      <c r="G51" s="3231"/>
      <c r="H51" s="2530" t="s">
        <v>2875</v>
      </c>
      <c r="I51" s="2529"/>
      <c r="J51" s="2747" t="s">
        <v>2033</v>
      </c>
      <c r="K51" s="3198" t="s">
        <v>2034</v>
      </c>
      <c r="L51" s="3198"/>
      <c r="M51" s="2747" t="s">
        <v>2035</v>
      </c>
      <c r="N51" s="2747" t="s">
        <v>2036</v>
      </c>
      <c r="O51" s="2747" t="s">
        <v>2037</v>
      </c>
    </row>
    <row r="52" spans="1:35" ht="24" customHeight="1">
      <c r="A52" s="2558" t="s">
        <v>2038</v>
      </c>
      <c r="B52" s="3246" t="s">
        <v>2039</v>
      </c>
      <c r="C52" s="3246"/>
      <c r="D52" s="1247">
        <f ca="1">ROUND(D45*'数据-取费表'!B41/(1+'数据-取费表'!C42),0)</f>
        <v>255</v>
      </c>
      <c r="E52" s="2557" t="s">
        <v>2040</v>
      </c>
      <c r="F52" s="2777">
        <f>'数据-取费表'!B41</f>
        <v>5.6000000000000001E-2</v>
      </c>
      <c r="G52" s="2778"/>
      <c r="H52" s="2767"/>
      <c r="I52" s="1993"/>
      <c r="J52" s="2746">
        <v>1</v>
      </c>
      <c r="K52" s="3223" t="s">
        <v>2041</v>
      </c>
      <c r="L52" s="3223"/>
      <c r="M52" s="2748" t="b">
        <f>D48</f>
        <v>0</v>
      </c>
      <c r="N52" s="2746" t="str">
        <f>E48</f>
        <v>销售额×税（费）率</v>
      </c>
      <c r="O52" s="2749">
        <f>F48</f>
        <v>5.6000000000000001E-2</v>
      </c>
    </row>
    <row r="53" spans="1:35" ht="12" customHeight="1">
      <c r="A53" s="2558" t="s">
        <v>2042</v>
      </c>
      <c r="B53" s="3247" t="s">
        <v>3034</v>
      </c>
      <c r="C53" s="3248"/>
      <c r="D53" s="1247">
        <f ca="1">ROUND(D45*'数据-取费表'!B41/(1+'数据-取费表'!C42),0)</f>
        <v>255</v>
      </c>
      <c r="E53" s="2557" t="s">
        <v>2040</v>
      </c>
      <c r="F53" s="2777">
        <f>'数据-取费表'!B41</f>
        <v>5.6000000000000001E-2</v>
      </c>
      <c r="G53" s="2778"/>
      <c r="H53" s="2767"/>
      <c r="I53" s="1993"/>
      <c r="J53" s="2746">
        <v>2</v>
      </c>
      <c r="K53" s="3223" t="s">
        <v>2043</v>
      </c>
      <c r="L53" s="3223"/>
      <c r="M53" s="2748">
        <f t="shared" ref="M53:O54" ca="1" si="0">D55</f>
        <v>2</v>
      </c>
      <c r="N53" s="2746" t="str">
        <f t="shared" si="0"/>
        <v>销售额×税（费）率</v>
      </c>
      <c r="O53" s="2749" t="str">
        <f t="shared" si="0"/>
        <v>免征</v>
      </c>
    </row>
    <row r="54" spans="1:35" ht="12" customHeight="1">
      <c r="A54" s="2558" t="s">
        <v>2044</v>
      </c>
      <c r="B54" s="3247" t="s">
        <v>3035</v>
      </c>
      <c r="C54" s="3248"/>
      <c r="D54" s="1247">
        <f ca="1">C68</f>
        <v>255</v>
      </c>
      <c r="E54" s="333" t="s">
        <v>2045</v>
      </c>
      <c r="F54" s="2777">
        <f>'数据-取费表'!B41</f>
        <v>5.6000000000000001E-2</v>
      </c>
      <c r="G54" s="2778"/>
      <c r="H54" s="2779"/>
      <c r="I54" s="1993"/>
      <c r="J54" s="2746">
        <v>3</v>
      </c>
      <c r="K54" s="3223" t="s">
        <v>2046</v>
      </c>
      <c r="L54" s="3223"/>
      <c r="M54" s="2748">
        <f t="shared" ca="1" si="0"/>
        <v>2705</v>
      </c>
      <c r="N54" s="2746" t="str">
        <f t="shared" si="0"/>
        <v>增值额×税（费）率</v>
      </c>
      <c r="O54" s="2750" t="str">
        <f t="shared" si="0"/>
        <v>免征</v>
      </c>
    </row>
    <row r="55" spans="1:35" ht="24" customHeight="1">
      <c r="A55" s="3286" t="s">
        <v>2047</v>
      </c>
      <c r="B55" s="3264"/>
      <c r="C55" s="3264"/>
      <c r="D55" s="2547">
        <f ca="1">IF(H55="个人住宅",0,ROUND(D45*I55,0))</f>
        <v>2</v>
      </c>
      <c r="E55" s="2557" t="s">
        <v>2048</v>
      </c>
      <c r="F55" s="2777" t="str">
        <f>IF(H55="正常",I55,"免征")</f>
        <v>免征</v>
      </c>
      <c r="G55" s="2778"/>
      <c r="H55" s="2773"/>
      <c r="I55" s="170">
        <f>'数据-取费表'!B49</f>
        <v>5.0000000000000001E-4</v>
      </c>
      <c r="J55" s="2746">
        <f>IF(H59="非个人房产","",4)</f>
        <v>4</v>
      </c>
      <c r="K55" s="3223" t="str">
        <f>IF(H59="非个人房产","——","个人所得税")</f>
        <v>个人所得税</v>
      </c>
      <c r="L55" s="3223"/>
      <c r="M55" s="2751">
        <f ca="1">D59</f>
        <v>46</v>
      </c>
      <c r="N55" s="2228" t="str">
        <f>E59</f>
        <v>差额计税</v>
      </c>
      <c r="O55" s="2752">
        <f>F59</f>
        <v>0.01</v>
      </c>
    </row>
    <row r="56" spans="1:35" ht="24.75">
      <c r="A56" s="3286" t="s">
        <v>2049</v>
      </c>
      <c r="B56" s="3264"/>
      <c r="C56" s="3264"/>
      <c r="D56" s="2547">
        <f ca="1">IF(H56="个人住宅",D57,D58)</f>
        <v>2705</v>
      </c>
      <c r="E56" s="2557" t="s">
        <v>2050</v>
      </c>
      <c r="F56" s="2777" t="str">
        <f>IF(H56="正常",F58,"免征")</f>
        <v>免征</v>
      </c>
      <c r="G56" s="2780" t="s">
        <v>2051</v>
      </c>
      <c r="H56" s="2781"/>
      <c r="I56" s="1994"/>
      <c r="J56" s="2746" t="str">
        <f>IF(项目基本情况!K6="上海银行",IF(J55="",4,J55+1),"")</f>
        <v/>
      </c>
      <c r="K56" s="3204" t="str">
        <f>IF(项目基本情况!K6="上海银行","其他处置费用","")</f>
        <v/>
      </c>
      <c r="L56" s="3205"/>
      <c r="M56" s="2748" t="str">
        <f>IF(项目基本情况!K6="上海银行",M69,"")</f>
        <v/>
      </c>
      <c r="N56" s="3204" t="str">
        <f>IF(项目基本情况!K6="上海银行","包含处置中涉及的律师、诉讼、拍卖、评估等费用","")</f>
        <v/>
      </c>
      <c r="O56" s="3207"/>
    </row>
    <row r="57" spans="1:35" ht="12.75">
      <c r="A57" s="2558" t="s">
        <v>2027</v>
      </c>
      <c r="B57" s="3247" t="s">
        <v>2052</v>
      </c>
      <c r="C57" s="3248"/>
      <c r="D57" s="1775">
        <v>0</v>
      </c>
      <c r="E57" s="330" t="s">
        <v>2029</v>
      </c>
      <c r="F57" s="308"/>
      <c r="G57" s="2778"/>
      <c r="H57" s="2782"/>
      <c r="I57" s="1994"/>
      <c r="J57" s="3223">
        <f>IF(AND(J55="",J56=""),4,IF(项目基本情况!K6="上海银行",结果表!J56+1,结果表!J55+1))</f>
        <v>5</v>
      </c>
      <c r="K57" s="3223" t="s">
        <v>2053</v>
      </c>
      <c r="L57" s="2753" t="s">
        <v>2054</v>
      </c>
      <c r="M57" s="2754"/>
      <c r="N57" s="2755">
        <f ca="1">SUMIF(M52:M56,"&lt;9e307")</f>
        <v>2753</v>
      </c>
      <c r="O57" s="2756"/>
      <c r="P57" s="2916">
        <f ca="1">N57/M49</f>
        <v>0.5760619376438586</v>
      </c>
    </row>
    <row r="58" spans="1:35" ht="24.75">
      <c r="A58" s="2558" t="s">
        <v>2038</v>
      </c>
      <c r="B58" s="3247" t="s">
        <v>2055</v>
      </c>
      <c r="C58" s="3246"/>
      <c r="D58" s="2547">
        <f ca="1">IF(H58="转让取得",C81,C97)</f>
        <v>2705</v>
      </c>
      <c r="E58" s="2557" t="s">
        <v>2050</v>
      </c>
      <c r="F58" s="308" t="s">
        <v>34</v>
      </c>
      <c r="G58" s="2778"/>
      <c r="H58" s="2781"/>
      <c r="I58" s="1994"/>
      <c r="J58" s="3223"/>
      <c r="K58" s="3223"/>
      <c r="L58" s="2753" t="s">
        <v>2056</v>
      </c>
      <c r="M58" s="2757"/>
      <c r="N58" s="2758" t="str">
        <f ca="1">NUMBERSTRING(INT(N57*10000),2)&amp;"元整"</f>
        <v>贰仟柒佰伍拾叁万元整</v>
      </c>
      <c r="O58" s="2759"/>
    </row>
    <row r="59" spans="1:35" ht="24.75" thickBot="1">
      <c r="A59" s="3227" t="s">
        <v>2057</v>
      </c>
      <c r="B59" s="3228"/>
      <c r="C59" s="3228"/>
      <c r="D59" s="2783">
        <f ca="1">IF(H59="非个人房产","——",IF(H59="个人住宅（满五唯一有凭证）",0,IF(H59="个人其他（无凭证）",ROUND(D45*F59,0),ROUND(C67*F59,0))))</f>
        <v>46</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2051</v>
      </c>
      <c r="H59" s="2532"/>
      <c r="I59" s="2531" t="s">
        <v>2876</v>
      </c>
      <c r="J59" s="3225">
        <f>J57+1</f>
        <v>6</v>
      </c>
      <c r="K59" s="3223" t="s">
        <v>2058</v>
      </c>
      <c r="L59" s="2746" t="s">
        <v>2054</v>
      </c>
      <c r="M59" s="2760"/>
      <c r="N59" s="2761">
        <f ca="1">M49-N57</f>
        <v>2026</v>
      </c>
      <c r="O59" s="2762"/>
    </row>
    <row r="60" spans="1:35" ht="12" customHeight="1">
      <c r="A60" s="1995"/>
      <c r="B60" s="1933"/>
      <c r="C60" s="1933"/>
      <c r="D60" s="1933"/>
      <c r="E60" s="1763"/>
      <c r="F60" s="1994"/>
      <c r="G60" s="1994"/>
      <c r="H60" s="1996"/>
      <c r="I60" s="134"/>
      <c r="J60" s="3226"/>
      <c r="K60" s="3223"/>
      <c r="L60" s="2753" t="s">
        <v>2056</v>
      </c>
      <c r="M60" s="2757"/>
      <c r="N60" s="2758" t="str">
        <f ca="1">NUMBERSTRING(INT(N59*10000),2)&amp;"元整"</f>
        <v>贰仟零贰拾陆万元整</v>
      </c>
      <c r="O60" s="2759"/>
    </row>
    <row r="61" spans="1:35" ht="13.5" thickBot="1">
      <c r="A61" s="3285" t="s">
        <v>2059</v>
      </c>
      <c r="B61" s="3285"/>
      <c r="C61" s="3285"/>
      <c r="D61" s="3285"/>
      <c r="E61" s="3285"/>
      <c r="F61" s="1994"/>
      <c r="G61" s="1994"/>
      <c r="H61" s="1996"/>
      <c r="I61" s="134"/>
      <c r="J61" s="2746">
        <f>J59+1</f>
        <v>7</v>
      </c>
      <c r="K61" s="3223" t="s">
        <v>2060</v>
      </c>
      <c r="L61" s="3223"/>
      <c r="M61" s="2763"/>
      <c r="N61" s="2764">
        <f ca="1">ROUND(N59*10000/'数据-汇总表'!E3,0)</f>
        <v>17744</v>
      </c>
      <c r="O61" s="2765"/>
    </row>
    <row r="62" spans="1:35" ht="12.75">
      <c r="A62" s="3242" t="s">
        <v>2061</v>
      </c>
      <c r="B62" s="3243"/>
      <c r="C62" s="2209"/>
      <c r="D62" s="2209" t="s">
        <v>2062</v>
      </c>
      <c r="E62" s="171" t="s">
        <v>2063</v>
      </c>
      <c r="F62" s="1994"/>
      <c r="G62" s="1994"/>
      <c r="H62" s="1996"/>
      <c r="I62" s="134"/>
    </row>
    <row r="63" spans="1:35" ht="12.75">
      <c r="A63" s="178" t="s">
        <v>775</v>
      </c>
      <c r="B63" s="172" t="s">
        <v>2064</v>
      </c>
      <c r="C63" s="2787">
        <f ca="1">ROUND((C64+C65)/(1+'数据-取费表'!C42),0)</f>
        <v>4551</v>
      </c>
      <c r="D63" s="172"/>
      <c r="E63" s="173"/>
      <c r="F63" s="1994"/>
      <c r="G63" s="1994"/>
      <c r="H63" s="1996"/>
      <c r="I63" s="134"/>
      <c r="J63" s="3206" t="s">
        <v>2065</v>
      </c>
      <c r="K63" s="1501" t="s">
        <v>2066</v>
      </c>
      <c r="L63" s="1501">
        <f ca="1">IF(M49&gt;10000,M49*0.5%,IF(AND(M49&gt;1000,M49&lt;=10000),M49*1%,IF(AND(M49&gt;100,M49&lt;=1000),M49*3%,IF(AND(M49&gt;10,M49&lt;=100),M49*5%,M49*8%))))</f>
        <v>47.79</v>
      </c>
      <c r="M63" s="308">
        <f ca="1">ROUND(L63,1)</f>
        <v>47.8</v>
      </c>
      <c r="N63" s="2766"/>
      <c r="Z63" s="1938"/>
      <c r="AI63" s="1939"/>
    </row>
    <row r="64" spans="1:35" ht="14.25" customHeight="1">
      <c r="A64" s="174" t="s">
        <v>770</v>
      </c>
      <c r="B64" s="175" t="s">
        <v>2067</v>
      </c>
      <c r="C64" s="2788">
        <f ca="1">D45</f>
        <v>4779</v>
      </c>
      <c r="D64" s="175" t="s">
        <v>32</v>
      </c>
      <c r="E64" s="177"/>
      <c r="F64" s="1994"/>
      <c r="G64" s="1994"/>
      <c r="H64" s="1996"/>
      <c r="I64" s="134"/>
      <c r="J64" s="3206"/>
      <c r="K64" s="1501" t="s">
        <v>2068</v>
      </c>
      <c r="L64" s="1501">
        <f ca="1">IF(M49&gt;2000,M49*0.5%,IF(AND(M49&gt;1000,M49&lt;=2000),M49*0.6%,IF(AND(M49&gt;500,M49&lt;=1000),M49*0.7%,IF(AND(M49&gt;200,M49&lt;=500),M49*0.8%,IF(AND(M49&gt;100,M49&lt;=200),M49*0.9%,IF(AND(M49&gt;50,M49&lt;=100),M49*1%,IF(AND(M49&gt;20,M49&lt;=50),M49*1.5%,IF(AND(M49&gt;10,M49&lt;=20),M49*2%,IF(AND(M49&gt;1,M49&lt;=10),M49*2.5%)))))))))</f>
        <v>23.895</v>
      </c>
      <c r="M64" s="308">
        <f t="shared" ref="M64:M65" ca="1" si="1">ROUND(L64,1)</f>
        <v>23.9</v>
      </c>
      <c r="N64" s="2767" t="s">
        <v>2069</v>
      </c>
      <c r="Z64" s="1938"/>
      <c r="AI64" s="1939"/>
    </row>
    <row r="65" spans="1:35" ht="14.25" customHeight="1">
      <c r="A65" s="174" t="s">
        <v>771</v>
      </c>
      <c r="B65" s="175" t="s">
        <v>2070</v>
      </c>
      <c r="C65" s="2789"/>
      <c r="D65" s="175"/>
      <c r="E65" s="177"/>
      <c r="F65" s="1994"/>
      <c r="G65" s="1994"/>
      <c r="H65" s="1996"/>
      <c r="I65" s="134"/>
      <c r="J65" s="3206"/>
      <c r="K65" s="1501" t="s">
        <v>2071</v>
      </c>
      <c r="L65" s="1501">
        <f ca="1">IF(M49&gt;1000,M49*0.1%,IF(AND(M49&gt;500,M49&lt;=1000),M49*0.5%,IF(AND(M49&gt;50,M49&lt;=500),M49*1%,IF(AND(M49&gt;1,M49&lt;=50),M49*1.5%))))</f>
        <v>4.7789999999999999</v>
      </c>
      <c r="M65" s="308">
        <f t="shared" ca="1" si="1"/>
        <v>4.8</v>
      </c>
      <c r="N65" s="2767" t="s">
        <v>2069</v>
      </c>
      <c r="Z65" s="1938"/>
      <c r="AI65" s="1939"/>
    </row>
    <row r="66" spans="1:35" ht="14.25" customHeight="1">
      <c r="A66" s="178" t="s">
        <v>772</v>
      </c>
      <c r="B66" s="179" t="s">
        <v>2072</v>
      </c>
      <c r="C66" s="2790"/>
      <c r="D66" s="179" t="s">
        <v>32</v>
      </c>
      <c r="E66" s="1509" t="s">
        <v>1337</v>
      </c>
      <c r="F66" s="1994"/>
      <c r="G66" s="1994"/>
      <c r="H66" s="1996"/>
      <c r="I66" s="134"/>
      <c r="J66" s="3206"/>
      <c r="K66" s="1501" t="s">
        <v>2073</v>
      </c>
      <c r="L66" s="1501">
        <f ca="1">M49*0.5%</f>
        <v>23.895</v>
      </c>
      <c r="M66" s="308">
        <f ca="1">IF(L66&gt;0.5,0.5,ROUND(L66,0))</f>
        <v>0.5</v>
      </c>
      <c r="N66" s="2767" t="s">
        <v>2074</v>
      </c>
      <c r="Z66" s="1938"/>
      <c r="AI66" s="1939"/>
    </row>
    <row r="67" spans="1:35" ht="14.25" customHeight="1">
      <c r="A67" s="178" t="s">
        <v>773</v>
      </c>
      <c r="B67" s="179" t="s">
        <v>2075</v>
      </c>
      <c r="C67" s="2791">
        <f ca="1">C63-C66</f>
        <v>4551</v>
      </c>
      <c r="D67" s="175" t="s">
        <v>32</v>
      </c>
      <c r="E67" s="177"/>
      <c r="F67" s="1994"/>
      <c r="G67" s="1994"/>
      <c r="H67" s="1996"/>
      <c r="I67" s="134"/>
      <c r="J67" s="3206"/>
      <c r="K67" s="1501" t="s">
        <v>2076</v>
      </c>
      <c r="L67" s="150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6"/>
      <c r="Z67" s="1938"/>
      <c r="AI67" s="1939"/>
    </row>
    <row r="68" spans="1:35" ht="14.25" customHeight="1" thickBot="1">
      <c r="A68" s="181" t="s">
        <v>774</v>
      </c>
      <c r="B68" s="182" t="s">
        <v>2077</v>
      </c>
      <c r="C68" s="2792">
        <f ca="1">IF(C67&lt;=0,0,ROUND(C67*D68,0))</f>
        <v>255</v>
      </c>
      <c r="D68" s="2793">
        <f>'数据-取费表'!B41</f>
        <v>5.6000000000000001E-2</v>
      </c>
      <c r="E68" s="184"/>
      <c r="F68" s="1994"/>
      <c r="G68" s="1994"/>
      <c r="H68" s="1996"/>
      <c r="I68" s="134"/>
      <c r="J68" s="3206"/>
      <c r="K68" s="1501" t="s">
        <v>2078</v>
      </c>
      <c r="L68" s="1501">
        <f ca="1">IF(M49&gt;10000,M49*0.5%,IF(AND(M49&gt;5000,M49&lt;=10000),M49*1%,IF(AND(M49&gt;1000,M49&lt;=5000),M49*2%,IF(AND(M49&gt;200,M49&lt;=1000),M49*3%,M49*5%))))</f>
        <v>95.58</v>
      </c>
      <c r="M68" s="308">
        <f ca="1">ROUND(L68,1)</f>
        <v>95.6</v>
      </c>
      <c r="N68" s="2766"/>
      <c r="Z68" s="1938"/>
      <c r="AI68" s="1939"/>
    </row>
    <row r="69" spans="1:35" s="1958" customFormat="1" ht="16.5" customHeight="1">
      <c r="A69" s="1997"/>
      <c r="B69" s="1998"/>
      <c r="C69" s="1999"/>
      <c r="D69" s="2000"/>
      <c r="E69" s="2001"/>
      <c r="F69" s="1763"/>
      <c r="G69" s="1763"/>
      <c r="H69" s="1762"/>
      <c r="I69" s="1933"/>
      <c r="J69" s="3206"/>
      <c r="K69" s="1501" t="s">
        <v>2079</v>
      </c>
      <c r="L69" s="1501"/>
      <c r="M69" s="308">
        <f ca="1">ROUND(SUM(M63:M68),0)</f>
        <v>175</v>
      </c>
      <c r="N69" s="2768">
        <f ca="1">M69/M49</f>
        <v>3.6618539443398199E-2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50" t="s">
        <v>2080</v>
      </c>
      <c r="B70" s="3251"/>
      <c r="C70" s="3251"/>
      <c r="D70" s="3251"/>
      <c r="E70" s="3251"/>
      <c r="F70" s="3251"/>
      <c r="G70" s="3251"/>
      <c r="H70" s="3251"/>
      <c r="I70" s="2002"/>
      <c r="J70" s="2917"/>
      <c r="K70" s="2917"/>
      <c r="L70" s="2917"/>
      <c r="M70" s="2917"/>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42" t="s">
        <v>2061</v>
      </c>
      <c r="B71" s="3243"/>
      <c r="C71" s="2209"/>
      <c r="D71" s="2209" t="s">
        <v>2062</v>
      </c>
      <c r="E71" s="185" t="s">
        <v>2063</v>
      </c>
      <c r="F71" s="186"/>
      <c r="G71" s="186"/>
      <c r="H71" s="187"/>
      <c r="I71" s="2006"/>
      <c r="J71" s="2917"/>
      <c r="K71" s="2917"/>
      <c r="L71" s="2917"/>
      <c r="M71" s="2917"/>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1">
        <f ca="1">ROUND(D45/(1+'数据-取费表'!C42),0)</f>
        <v>4551</v>
      </c>
      <c r="D72" s="175" t="s">
        <v>32</v>
      </c>
      <c r="E72" s="2554"/>
      <c r="F72" s="2553"/>
      <c r="G72" s="2553"/>
      <c r="H72" s="188"/>
      <c r="I72" s="2006"/>
      <c r="J72" s="2917"/>
      <c r="K72" s="2917"/>
      <c r="L72" s="2917"/>
      <c r="M72" s="2917"/>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1">
        <f ca="1">C74+C78</f>
        <v>27</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4"/>
      <c r="D75" s="175" t="s">
        <v>32</v>
      </c>
      <c r="E75" s="190" t="s">
        <v>2085</v>
      </c>
      <c r="F75" s="2795"/>
      <c r="G75" s="190" t="s">
        <v>2086</v>
      </c>
      <c r="H75" s="2796"/>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7">
        <v>0.05</v>
      </c>
      <c r="E76" s="3247" t="s">
        <v>2088</v>
      </c>
      <c r="F76" s="3246"/>
      <c r="G76" s="3246"/>
      <c r="H76" s="324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8">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9">
        <f ca="1">ROUND(D45*D78/(1+'数据-取费表'!C42),0)</f>
        <v>27</v>
      </c>
      <c r="D78" s="2800">
        <f>'数据-取费表'!B43</f>
        <v>6.000000000000001E-3</v>
      </c>
      <c r="E78" s="3239" t="s">
        <v>2092</v>
      </c>
      <c r="F78" s="3240"/>
      <c r="G78" s="3240"/>
      <c r="H78" s="3241"/>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1">
        <f ca="1">C72-C73</f>
        <v>4524</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1">
        <f ca="1">IF(C79&lt;=0,0,C79/C73)</f>
        <v>167.55555555555554</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2">
        <f ca="1">ROUND(IF(C79&lt;=0,0,IF(C80&gt;=200%,C79*60%-C73*35%,IF(C80&gt;=100%,C79*50%-C73*15%,IF(C80&gt;=50%,C79*40%-C73*5%,IF(C80&lt;50%,C79*30%,0))))),0)</f>
        <v>2705</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0" t="s">
        <v>2096</v>
      </c>
      <c r="B83" s="3251"/>
      <c r="C83" s="3251"/>
      <c r="D83" s="3251"/>
      <c r="E83" s="3251"/>
      <c r="F83" s="3251"/>
      <c r="G83" s="3251"/>
      <c r="H83" s="325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42" t="s">
        <v>2061</v>
      </c>
      <c r="B84" s="3243"/>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1">
        <f ca="1">ROUND(D45/(1+'数据-取费表'!C42),0)</f>
        <v>4551</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1">
        <f ca="1">IF(H88="仅含出让金",C87+C90+C91+C92+C93+C94,C87+C91+C92+C93+C94)</f>
        <v>27</v>
      </c>
      <c r="D86" s="2804"/>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9">
        <f>C88+C89</f>
        <v>0</v>
      </c>
      <c r="D87" s="2800"/>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5"/>
      <c r="D88" s="2800"/>
      <c r="E88" s="199" t="s">
        <v>2099</v>
      </c>
      <c r="F88" s="2550"/>
      <c r="G88" s="200" t="s">
        <v>2100</v>
      </c>
      <c r="H88" s="2010"/>
      <c r="I88" s="2007"/>
      <c r="J88" s="2744"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9">
        <f>ROUND(C88*D89,0)</f>
        <v>0</v>
      </c>
      <c r="D89" s="2800">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5"/>
      <c r="D90" s="2800"/>
      <c r="E90" s="199" t="str">
        <f>IF(H88="-","土地取得成本中已包含该笔费用"," ")</f>
        <v xml:space="preserve"> </v>
      </c>
      <c r="F90" s="2550"/>
      <c r="G90" s="3208" t="s">
        <v>2868</v>
      </c>
      <c r="H90" s="3209"/>
      <c r="I90" s="2007"/>
      <c r="J90" s="2744"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9">
        <f>IF(H91="——",成本法!C33,I91)</f>
        <v>0</v>
      </c>
      <c r="D91" s="2800"/>
      <c r="E91" s="3239" t="s">
        <v>2105</v>
      </c>
      <c r="F91" s="3240"/>
      <c r="G91" s="3240"/>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9">
        <f>ROUND((C87+C90+C91)*D92,0)</f>
        <v>0</v>
      </c>
      <c r="D92" s="2806"/>
      <c r="E92" s="3239" t="s">
        <v>2108</v>
      </c>
      <c r="F92" s="3240"/>
      <c r="G92" s="3240"/>
      <c r="H92" s="3241"/>
      <c r="I92" s="2007"/>
      <c r="J92" s="2745"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9">
        <f ca="1">ROUND(D45*D93/(1+'数据-取费表'!C42),0)</f>
        <v>27</v>
      </c>
      <c r="D93" s="2800">
        <f>'数据-取费表'!B43</f>
        <v>6.000000000000001E-3</v>
      </c>
      <c r="E93" s="3239" t="s">
        <v>2092</v>
      </c>
      <c r="F93" s="3240"/>
      <c r="G93" s="3240"/>
      <c r="H93" s="3241"/>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5">
        <f>ROUND((C87+C90+C91)*D94,0)</f>
        <v>0</v>
      </c>
      <c r="D94" s="2800">
        <v>0.2</v>
      </c>
      <c r="E94" s="3287" t="s">
        <v>2112</v>
      </c>
      <c r="F94" s="3288"/>
      <c r="G94" s="3288"/>
      <c r="H94" s="3289"/>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1">
        <f ca="1">ROUND(C85-C86,0)</f>
        <v>4524</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1">
        <f ca="1">IF(C95&lt;=0,0,C95/C86)</f>
        <v>167.55555555555554</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2">
        <f ca="1">ROUND(IF(C95&lt;=0,0,IF(C96&gt;=200%,C95*60%-C86*35%,IF(C96&gt;=100%,C95*50%-C86*15%,IF(C96&gt;=50%,C95*40%-C86*5%,IF(C96&lt;50%,C95*30%,0))))),0)</f>
        <v>2705</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89" t="s">
        <v>2114</v>
      </c>
      <c r="B100" s="3190"/>
      <c r="C100" s="3190"/>
      <c r="D100" s="3224"/>
      <c r="E100" s="3190" t="s">
        <v>2115</v>
      </c>
      <c r="F100" s="3190"/>
      <c r="G100" s="3190"/>
      <c r="H100" s="3224"/>
      <c r="I100" s="134"/>
    </row>
    <row r="101" spans="1:35" ht="18.75" customHeight="1">
      <c r="A101" s="3232" t="s">
        <v>2116</v>
      </c>
      <c r="B101" s="3233"/>
      <c r="C101" s="2808" t="str">
        <f>C4</f>
        <v>典型户型修正</v>
      </c>
      <c r="D101" s="2809" t="str">
        <f>D4</f>
        <v>典型户型修正</v>
      </c>
      <c r="E101" s="3202" t="s">
        <v>2117</v>
      </c>
      <c r="F101" s="3203"/>
      <c r="G101" s="2013" t="s">
        <v>2118</v>
      </c>
      <c r="H101" s="2818">
        <f ca="1">H118</f>
        <v>4779</v>
      </c>
      <c r="I101" s="134"/>
    </row>
    <row r="102" spans="1:35" ht="18.75" customHeight="1">
      <c r="A102" s="3234" t="s">
        <v>2119</v>
      </c>
      <c r="B102" s="2807" t="s">
        <v>2118</v>
      </c>
      <c r="C102" s="2808">
        <f ca="1">C19</f>
        <v>4779</v>
      </c>
      <c r="D102" s="2809">
        <f ca="1">D19</f>
        <v>4779</v>
      </c>
      <c r="E102" s="3202"/>
      <c r="F102" s="3203"/>
      <c r="G102" s="2013" t="s">
        <v>2120</v>
      </c>
      <c r="H102" s="2778">
        <f ca="1">I118</f>
        <v>41856</v>
      </c>
      <c r="I102" s="134"/>
    </row>
    <row r="103" spans="1:35" ht="42.75" customHeight="1">
      <c r="A103" s="3234"/>
      <c r="B103" s="2807" t="s">
        <v>2120</v>
      </c>
      <c r="C103" s="2810">
        <f ca="1">C20</f>
        <v>41856</v>
      </c>
      <c r="D103" s="2811">
        <f ca="1">D20</f>
        <v>41856</v>
      </c>
      <c r="E103" s="3195" t="s">
        <v>2121</v>
      </c>
      <c r="F103" s="3196"/>
      <c r="G103" s="2014" t="s">
        <v>2122</v>
      </c>
      <c r="H103" s="2818">
        <f>IF(D36="正常操作",H104+H105+H106,H105+H106)</f>
        <v>0</v>
      </c>
      <c r="I103" s="134"/>
    </row>
    <row r="104" spans="1:35" ht="18.75" customHeight="1">
      <c r="A104" s="3234" t="s">
        <v>2123</v>
      </c>
      <c r="B104" s="2812" t="s">
        <v>2118</v>
      </c>
      <c r="C104" s="2813">
        <f ca="1">H118</f>
        <v>4779</v>
      </c>
      <c r="D104" s="2814"/>
      <c r="E104" s="1860" t="s">
        <v>2124</v>
      </c>
      <c r="F104" s="1851"/>
      <c r="G104" s="2014" t="s">
        <v>2122</v>
      </c>
      <c r="H104" s="2819">
        <f>IF(D36="同一抵押权人同一抵押物续贷",C36&amp;"（续贷，未扣减，详见特别提示）",C36)</f>
        <v>0</v>
      </c>
      <c r="I104" s="134"/>
    </row>
    <row r="105" spans="1:35" ht="18.75" customHeight="1" thickBot="1">
      <c r="A105" s="3244"/>
      <c r="B105" s="2815" t="s">
        <v>2120</v>
      </c>
      <c r="C105" s="2816">
        <f ca="1">I118</f>
        <v>41856</v>
      </c>
      <c r="D105" s="2817"/>
      <c r="E105" s="1860" t="s">
        <v>2125</v>
      </c>
      <c r="F105" s="1851"/>
      <c r="G105" s="2014" t="s">
        <v>2122</v>
      </c>
      <c r="H105" s="2820">
        <f>C37</f>
        <v>0</v>
      </c>
      <c r="I105" s="134"/>
    </row>
    <row r="106" spans="1:35" ht="18.75" customHeight="1">
      <c r="A106" s="1933" t="s">
        <v>2126</v>
      </c>
      <c r="B106" s="1933"/>
      <c r="C106" s="1933"/>
      <c r="D106" s="1933"/>
      <c r="E106" s="2015" t="s">
        <v>2127</v>
      </c>
      <c r="F106" s="1851"/>
      <c r="G106" s="2014" t="s">
        <v>2122</v>
      </c>
      <c r="H106" s="2820">
        <f>C38</f>
        <v>0</v>
      </c>
      <c r="I106" s="134"/>
    </row>
    <row r="107" spans="1:35" ht="18.75" customHeight="1">
      <c r="A107" s="134"/>
      <c r="B107" s="134"/>
      <c r="C107" s="134"/>
      <c r="D107" s="134"/>
      <c r="E107" s="3235" t="str">
        <f>IF(项目基本情况!E8="已注销","——","3.房地产抵押价值")</f>
        <v>3.房地产抵押价值</v>
      </c>
      <c r="F107" s="3203"/>
      <c r="G107" s="2013" t="s">
        <v>2118</v>
      </c>
      <c r="H107" s="2818">
        <f ca="1">IF(E107="——","——",H101-H103)</f>
        <v>4779</v>
      </c>
      <c r="I107" s="134"/>
    </row>
    <row r="108" spans="1:35" ht="18.75" customHeight="1">
      <c r="A108" s="134"/>
      <c r="B108" s="134"/>
      <c r="C108" s="134"/>
      <c r="D108" s="134"/>
      <c r="E108" s="3235"/>
      <c r="F108" s="3203"/>
      <c r="G108" s="2013" t="s">
        <v>2120</v>
      </c>
      <c r="H108" s="2778">
        <f ca="1">ROUND(H107*10000/'数据-汇总表'!E3,0)</f>
        <v>41856</v>
      </c>
      <c r="I108" s="134"/>
    </row>
    <row r="109" spans="1:35" ht="18.75" customHeight="1">
      <c r="A109" s="134"/>
      <c r="B109" s="134"/>
      <c r="C109" s="134"/>
      <c r="D109" s="134"/>
      <c r="E109" s="3235" t="str">
        <f>IF(项目基本情况!E8="已注销及未注销","4.抵押担保权已注销时的房地产抵押价值",IF(项目基本情况!E8="已注销","3.抵押担保权已注销时的房地产抵押价值","——"))</f>
        <v>——</v>
      </c>
      <c r="F109" s="3203"/>
      <c r="G109" s="2013" t="s">
        <v>2118</v>
      </c>
      <c r="H109" s="2821" t="str">
        <f>IF(E109="——","——",H101-H105-H106)</f>
        <v>——</v>
      </c>
      <c r="I109" s="134"/>
    </row>
    <row r="110" spans="1:35" ht="18.75" customHeight="1">
      <c r="A110" s="134"/>
      <c r="B110" s="134"/>
      <c r="C110" s="134"/>
      <c r="D110" s="134"/>
      <c r="E110" s="3235"/>
      <c r="F110" s="3203"/>
      <c r="G110" s="2013" t="s">
        <v>2120</v>
      </c>
      <c r="H110" s="2778" t="str">
        <f>IF(H109="——","——",ROUND(H109*10000/'数据-汇总表'!E3,0))</f>
        <v>——</v>
      </c>
      <c r="I110" s="134"/>
    </row>
    <row r="111" spans="1:35" ht="18.75" customHeight="1">
      <c r="A111" s="134"/>
      <c r="B111" s="134"/>
      <c r="C111" s="134"/>
      <c r="D111" s="134"/>
      <c r="E111" s="3236" t="str">
        <f>IF(项目基本情况!E9="抵押净值",IF(OR(项目基本情况!E8="已注销",项目基本情况!E8="房地产抵押价值"),"4.抵押净值","5.抵押净值"),"——")</f>
        <v>——</v>
      </c>
      <c r="F111" s="3222"/>
      <c r="G111" s="2013" t="s">
        <v>2118</v>
      </c>
      <c r="H111" s="2818" t="str">
        <f>IF(E111="——","——",N59)</f>
        <v>——</v>
      </c>
      <c r="I111" s="134"/>
    </row>
    <row r="112" spans="1:35" ht="18.75" customHeight="1" thickBot="1">
      <c r="A112" s="134"/>
      <c r="B112" s="134"/>
      <c r="C112" s="134"/>
      <c r="D112" s="134"/>
      <c r="E112" s="3237"/>
      <c r="F112" s="3238"/>
      <c r="G112" s="2016" t="s">
        <v>2120</v>
      </c>
      <c r="H112" s="2822" t="str">
        <f>IF(E111="——","——",N61)</f>
        <v>——</v>
      </c>
      <c r="I112" s="134"/>
    </row>
    <row r="113" spans="1:27" ht="18.75" customHeight="1">
      <c r="A113" s="134"/>
      <c r="B113" s="134"/>
      <c r="C113" s="134"/>
      <c r="D113" s="134"/>
      <c r="E113" s="3245" t="s">
        <v>2126</v>
      </c>
      <c r="F113" s="3245"/>
      <c r="G113" s="3245"/>
      <c r="H113" s="3245"/>
      <c r="I113" s="134"/>
    </row>
    <row r="114" spans="1:27" ht="3.75" customHeight="1">
      <c r="A114" s="1933"/>
      <c r="B114" s="1933"/>
      <c r="C114" s="1933"/>
      <c r="D114" s="1933"/>
      <c r="E114" s="1995"/>
      <c r="F114" s="1995"/>
      <c r="G114" s="1995"/>
      <c r="H114" s="1995"/>
      <c r="I114" s="1933"/>
    </row>
    <row r="115" spans="1:27" ht="18.75" customHeight="1">
      <c r="A115" s="3256" t="s">
        <v>2128</v>
      </c>
      <c r="B115" s="3257"/>
      <c r="C115" s="3257"/>
      <c r="D115" s="3257"/>
      <c r="E115" s="3257"/>
      <c r="F115" s="3257"/>
      <c r="G115" s="3257"/>
      <c r="H115" s="3257"/>
      <c r="I115" s="3258"/>
    </row>
    <row r="116" spans="1:27" ht="27" customHeight="1">
      <c r="A116" s="3210" t="s">
        <v>2129</v>
      </c>
      <c r="B116" s="3214" t="s">
        <v>3112</v>
      </c>
      <c r="C116" s="3214" t="s">
        <v>3110</v>
      </c>
      <c r="D116" s="3220" t="s">
        <v>2130</v>
      </c>
      <c r="E116" s="3221"/>
      <c r="F116" s="3252" t="s">
        <v>3111</v>
      </c>
      <c r="G116" s="3252"/>
      <c r="H116" s="3210" t="s">
        <v>2131</v>
      </c>
      <c r="I116" s="3210"/>
    </row>
    <row r="117" spans="1:27" ht="18.75" customHeight="1">
      <c r="A117" s="3210"/>
      <c r="B117" s="3215"/>
      <c r="C117" s="3215"/>
      <c r="D117" s="2552" t="s">
        <v>2132</v>
      </c>
      <c r="E117" s="2552" t="s">
        <v>2133</v>
      </c>
      <c r="F117" s="2552" t="s">
        <v>2132</v>
      </c>
      <c r="G117" s="2552" t="s">
        <v>2134</v>
      </c>
      <c r="H117" s="2552" t="s">
        <v>2132</v>
      </c>
      <c r="I117" s="2552" t="s">
        <v>2134</v>
      </c>
    </row>
    <row r="118" spans="1:27" ht="24.75" customHeight="1">
      <c r="A118" s="2823" t="str">
        <f>项目基本情况!S2</f>
        <v>北京市西城区西直门外大街1号院2号楼17层19C5-19C13共9套办公用房房地产</v>
      </c>
      <c r="B118" s="2552">
        <f>M18</f>
        <v>1141.77</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f ca="1">ROUND(IF(D32="总价",C32,I118*B118/10000),0)</f>
        <v>4779</v>
      </c>
      <c r="I118" s="2552">
        <f ca="1">ROUND(IF(D32="楼面单价",C32,H118*10000/B118),0)</f>
        <v>41856</v>
      </c>
    </row>
    <row r="119" spans="1:27" ht="18.75" customHeight="1">
      <c r="A119" s="3210" t="s">
        <v>2135</v>
      </c>
      <c r="B119" s="3210"/>
      <c r="C119" s="3210"/>
      <c r="D119" s="3216" t="e">
        <f ca="1">NUMBERSTRING(INT(D118*10000),2)&amp;"元整"</f>
        <v>#REF!</v>
      </c>
      <c r="E119" s="3217"/>
      <c r="F119" s="3216" t="e">
        <f ca="1">NUMBERSTRING(INT(F118*10000),2)&amp;"元整"</f>
        <v>#REF!</v>
      </c>
      <c r="G119" s="3217"/>
      <c r="H119" s="3216" t="str">
        <f ca="1">NUMBERSTRING(INT(H118*10000),2)&amp;"元整"</f>
        <v>肆仟柒佰柒拾玖万元整</v>
      </c>
      <c r="I119" s="3217"/>
    </row>
    <row r="120" spans="1:27" ht="18.75" customHeight="1">
      <c r="A120" s="3211" t="str">
        <f>IF(项目基本情况!B9="房地产市场价值","",MID(E103,3,LEN(E103)-2))</f>
        <v>估价师知悉的法定优先受偿款</v>
      </c>
      <c r="B120" s="3212"/>
      <c r="C120" s="3213"/>
      <c r="D120" s="3211">
        <f>H103</f>
        <v>0</v>
      </c>
      <c r="E120" s="3212"/>
      <c r="F120" s="3212"/>
      <c r="G120" s="3212"/>
      <c r="H120" s="3212"/>
      <c r="I120" s="321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53" t="s">
        <v>2135</v>
      </c>
      <c r="B121" s="3254"/>
      <c r="C121" s="3255"/>
      <c r="D121" s="3216" t="str">
        <f>IF(D120=0,"零元整",NUMBERSTRING(INT(D120*10000),2)&amp;"元整")</f>
        <v>零元整</v>
      </c>
      <c r="E121" s="3218"/>
      <c r="F121" s="3218"/>
      <c r="G121" s="3218"/>
      <c r="H121" s="3218"/>
      <c r="I121" s="3217"/>
      <c r="AA121" s="734"/>
    </row>
    <row r="122" spans="1:27" ht="18.75" customHeight="1">
      <c r="A122" s="3222" t="str">
        <f>IF(项目基本情况!B9="房地产市场价值","",MID(E107,3,LEN(E107)-2))</f>
        <v>房地产抵押价值</v>
      </c>
      <c r="B122" s="3222"/>
      <c r="C122" s="3222"/>
      <c r="D122" s="3211">
        <f ca="1">H107</f>
        <v>4779</v>
      </c>
      <c r="E122" s="3212"/>
      <c r="F122" s="3212"/>
      <c r="G122" s="3212"/>
      <c r="H122" s="3212"/>
      <c r="I122" s="3213"/>
      <c r="AA122" s="734"/>
    </row>
    <row r="123" spans="1:27" ht="18.75" customHeight="1">
      <c r="A123" s="3210" t="s">
        <v>2135</v>
      </c>
      <c r="B123" s="3210"/>
      <c r="C123" s="3210"/>
      <c r="D123" s="3216" t="str">
        <f ca="1">NUMBERSTRING(INT(D122*10000),2)&amp;"元整"</f>
        <v>肆仟柒佰柒拾玖万元整</v>
      </c>
      <c r="E123" s="3218"/>
      <c r="F123" s="3218"/>
      <c r="G123" s="3218"/>
      <c r="H123" s="3218"/>
      <c r="I123" s="3217"/>
      <c r="AA123" s="734"/>
    </row>
    <row r="124" spans="1:27" ht="18.75" customHeight="1">
      <c r="A124" s="3222" t="str">
        <f>IF(项目基本情况!B9="房地产市场价值","",MID(E109,3,LEN(E109)-2))</f>
        <v/>
      </c>
      <c r="B124" s="3222"/>
      <c r="C124" s="3222"/>
      <c r="D124" s="3211" t="str">
        <f>H109</f>
        <v>——</v>
      </c>
      <c r="E124" s="3212"/>
      <c r="F124" s="3212"/>
      <c r="G124" s="3212"/>
      <c r="H124" s="3212"/>
      <c r="I124" s="3213"/>
      <c r="AA124" s="734"/>
    </row>
    <row r="125" spans="1:27" ht="18.75" customHeight="1">
      <c r="A125" s="3210" t="s">
        <v>2135</v>
      </c>
      <c r="B125" s="3210"/>
      <c r="C125" s="3210"/>
      <c r="D125" s="3216" t="e">
        <f>NUMBERSTRING(INT(D124*10000),2)&amp;"元整"</f>
        <v>#VALUE!</v>
      </c>
      <c r="E125" s="3218"/>
      <c r="F125" s="3218"/>
      <c r="G125" s="3218"/>
      <c r="H125" s="3218"/>
      <c r="I125" s="3217"/>
      <c r="AA125" s="734"/>
    </row>
    <row r="126" spans="1:27" ht="18.75" customHeight="1">
      <c r="A126" s="3222" t="str">
        <f>IF(项目基本情况!B9="房地产市场价值","",MID(E111,3,LEN(E111)-2))</f>
        <v/>
      </c>
      <c r="B126" s="3222"/>
      <c r="C126" s="3222"/>
      <c r="D126" s="3211" t="str">
        <f>H111</f>
        <v>——</v>
      </c>
      <c r="E126" s="3212"/>
      <c r="F126" s="3212"/>
      <c r="G126" s="3212"/>
      <c r="H126" s="3212"/>
      <c r="I126" s="3213"/>
      <c r="AA126" s="734"/>
    </row>
    <row r="127" spans="1:27" ht="18.75" customHeight="1">
      <c r="A127" s="3210" t="s">
        <v>2135</v>
      </c>
      <c r="B127" s="3210"/>
      <c r="C127" s="3210"/>
      <c r="D127" s="3216" t="e">
        <f>NUMBERSTRING(INT(D126*10000),2)&amp;"元整"</f>
        <v>#VALUE!</v>
      </c>
      <c r="E127" s="3218"/>
      <c r="F127" s="3218"/>
      <c r="G127" s="3218"/>
      <c r="H127" s="3218"/>
      <c r="I127" s="3217"/>
      <c r="AA127" s="734"/>
    </row>
    <row r="128" spans="1:27" ht="21.75" customHeight="1">
      <c r="A128" s="3219" t="s">
        <v>2136</v>
      </c>
      <c r="B128" s="3219"/>
      <c r="C128" s="3219"/>
      <c r="D128" s="3219"/>
      <c r="E128" s="3219"/>
      <c r="F128" s="3219"/>
      <c r="G128" s="3219"/>
      <c r="H128" s="3219"/>
      <c r="I128" s="3219"/>
      <c r="AA128" s="734"/>
    </row>
    <row r="129" spans="1:35" ht="21.75" customHeight="1">
      <c r="A129" s="2017" t="s">
        <v>2137</v>
      </c>
      <c r="B129" s="2018"/>
      <c r="C129" s="2019" t="s">
        <v>2138</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2139</v>
      </c>
      <c r="G135" s="2034"/>
      <c r="H135" s="2034"/>
      <c r="I135" s="2035" t="s">
        <v>2140</v>
      </c>
    </row>
    <row r="136" spans="1:35" ht="21.75" customHeight="1">
      <c r="A136" s="734"/>
      <c r="B136" s="2036"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2142</v>
      </c>
    </row>
    <row r="139" spans="1:35" ht="21.75" customHeight="1">
      <c r="A139" s="734"/>
      <c r="B139" s="2036" t="s">
        <v>2143</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2142</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54"/>
      <c r="C1" s="204"/>
      <c r="D1" s="204"/>
      <c r="E1" s="204"/>
      <c r="F1" s="204"/>
      <c r="G1" s="1288">
        <f>MATCH(B1,'数据-取费表'!A6:A16,0)+5</f>
        <v>8</v>
      </c>
    </row>
    <row r="2" spans="1:9" s="206" customFormat="1" ht="18" customHeight="1">
      <c r="A2" s="207" t="s">
        <v>2145</v>
      </c>
      <c r="B2" s="208">
        <f ca="1">IF(D2="——",C52,C52-E2)</f>
        <v>660</v>
      </c>
      <c r="C2" s="205" t="s">
        <v>2146</v>
      </c>
      <c r="D2" s="2039" t="s">
        <v>70</v>
      </c>
      <c r="E2" s="1331" t="e">
        <f ca="1">SUMIF(INDIRECT("'"&amp;G2&amp;"'"&amp;"!A:A"),"承租人权益价值",INDIRECT("'"&amp;G2&amp;"'"&amp;"!c:c"))</f>
        <v>#REF!</v>
      </c>
      <c r="F2" s="2040" t="s">
        <v>2146</v>
      </c>
      <c r="G2" s="2041"/>
    </row>
    <row r="3" spans="1:9" s="206" customFormat="1" ht="18" customHeight="1" thickBot="1">
      <c r="A3" s="209" t="s">
        <v>2147</v>
      </c>
      <c r="B3" s="210">
        <f ca="1">ROUND(B2*10000/(IF(B1="",'数据-汇总表'!E3,INDIRECT("'数据-取费表'!k"&amp;$G$1))),0)</f>
        <v>5780</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C6+C7+C8</f>
        <v>0</v>
      </c>
      <c r="D5" s="217" t="s">
        <v>2152</v>
      </c>
      <c r="E5" s="218" t="s">
        <v>2153</v>
      </c>
      <c r="F5" s="218" t="s">
        <v>2154</v>
      </c>
      <c r="G5" s="219"/>
    </row>
    <row r="6" spans="1:9" s="220" customFormat="1" ht="13.5" customHeight="1">
      <c r="A6" s="886" t="s">
        <v>2155</v>
      </c>
      <c r="B6" s="221" t="s">
        <v>2156</v>
      </c>
      <c r="C6" s="222"/>
      <c r="D6" s="223"/>
      <c r="E6" s="224"/>
      <c r="F6" s="224"/>
      <c r="G6" s="225"/>
    </row>
    <row r="7" spans="1:9" s="220" customFormat="1" ht="13.5" customHeight="1">
      <c r="A7" s="886" t="s">
        <v>2157</v>
      </c>
      <c r="B7" s="221" t="s">
        <v>2158</v>
      </c>
      <c r="C7" s="226">
        <f>ROUND(C6*F7,0)</f>
        <v>0</v>
      </c>
      <c r="D7" s="226"/>
      <c r="E7" s="224"/>
      <c r="F7" s="227">
        <f>IF(项目基本情况!B8="出让",0,'数据-取费表'!B48+'数据-取费表'!B49)</f>
        <v>3.0499999999999999E-2</v>
      </c>
      <c r="G7" s="225"/>
    </row>
    <row r="8" spans="1:9" s="229" customFormat="1">
      <c r="A8" s="886" t="s">
        <v>2159</v>
      </c>
      <c r="B8" s="221" t="s">
        <v>2160</v>
      </c>
      <c r="C8" s="226">
        <f>IF(G8="已包含在土地购买价格中","0",IF(B1="",'数据-取费表'!B29,IF(G9="全部缴纳",C9+C10,H9)))</f>
        <v>0</v>
      </c>
      <c r="D8" s="228"/>
      <c r="E8" s="226"/>
      <c r="F8" s="227"/>
      <c r="G8" s="2042"/>
    </row>
    <row r="9" spans="1:9" s="220" customFormat="1" ht="13.5" customHeight="1">
      <c r="A9" s="887" t="s">
        <v>800</v>
      </c>
      <c r="B9" s="230" t="s">
        <v>2161</v>
      </c>
      <c r="C9" s="231">
        <f ca="1">ROUND(D9*E9/10000,0)</f>
        <v>0</v>
      </c>
      <c r="D9" s="954">
        <f ca="1">IF(B1="",'数据-汇总表'!E5,IF(INDIRECT("'数据-取费表'!c"&amp;$G$1)="住宅",INDIRECT("'数据-取费表'!k"&amp;$G$1),0))</f>
        <v>0</v>
      </c>
      <c r="E9" s="231">
        <f>'数据-取费表'!B27</f>
        <v>200</v>
      </c>
      <c r="F9" s="227"/>
      <c r="G9" s="2043"/>
      <c r="H9" s="1299"/>
      <c r="I9" s="2044" t="s">
        <v>2162</v>
      </c>
    </row>
    <row r="10" spans="1:9" s="220" customFormat="1" ht="13.5" customHeight="1">
      <c r="A10" s="887" t="s">
        <v>801</v>
      </c>
      <c r="B10" s="230" t="s">
        <v>2163</v>
      </c>
      <c r="C10" s="231">
        <f ca="1">ROUND(D10*E10/10000,0)</f>
        <v>11</v>
      </c>
      <c r="D10" s="954">
        <f ca="1">IF(B1="",'数据-汇总表'!E6,IF(INDIRECT("'数据-取费表'!c"&amp;$G$1)="住宅",INDIRECT("'数据-取费表'!s"&amp;$G$1),INDIRECT("'数据-取费表'!k"&amp;$G$1)+INDIRECT("'数据-取费表'!s"&amp;$G$1)))</f>
        <v>1141.77</v>
      </c>
      <c r="E10" s="231">
        <f>'数据-取费表'!B28</f>
        <v>100</v>
      </c>
      <c r="F10" s="227"/>
      <c r="G10" s="232"/>
    </row>
    <row r="11" spans="1:9" s="220" customFormat="1" ht="13.5" hidden="1" customHeight="1">
      <c r="A11" s="233" t="s">
        <v>7</v>
      </c>
      <c r="B11" s="221" t="s">
        <v>2164</v>
      </c>
      <c r="C11" s="217"/>
      <c r="D11" s="956"/>
      <c r="E11" s="224"/>
      <c r="F11" s="224"/>
      <c r="G11" s="225"/>
    </row>
    <row r="12" spans="1:9" s="220" customFormat="1" ht="13.5" hidden="1" customHeight="1">
      <c r="A12" s="233" t="s">
        <v>8</v>
      </c>
      <c r="B12" s="221" t="s">
        <v>2165</v>
      </c>
      <c r="C12" s="217">
        <v>0</v>
      </c>
      <c r="D12" s="956"/>
      <c r="E12" s="234"/>
      <c r="F12" s="227">
        <v>3.0499999999999999E-2</v>
      </c>
      <c r="G12" s="225"/>
    </row>
    <row r="13" spans="1:9" s="220" customFormat="1" ht="13.5" hidden="1" customHeight="1">
      <c r="A13" s="233" t="s">
        <v>9</v>
      </c>
      <c r="B13" s="221" t="s">
        <v>2166</v>
      </c>
      <c r="C13" s="217"/>
      <c r="D13" s="956"/>
      <c r="E13" s="224"/>
      <c r="F13" s="224"/>
      <c r="G13" s="225"/>
    </row>
    <row r="14" spans="1:9" s="220" customFormat="1" ht="13.5" hidden="1" customHeight="1">
      <c r="A14" s="233" t="s">
        <v>10</v>
      </c>
      <c r="B14" s="221" t="s">
        <v>2167</v>
      </c>
      <c r="C14" s="217"/>
      <c r="D14" s="956"/>
      <c r="E14" s="224"/>
      <c r="F14" s="224"/>
      <c r="G14" s="225" t="s">
        <v>2168</v>
      </c>
    </row>
    <row r="15" spans="1:9" s="220" customFormat="1" ht="13.5" hidden="1" customHeight="1">
      <c r="A15" s="233" t="s">
        <v>11</v>
      </c>
      <c r="B15" s="221" t="s">
        <v>2169</v>
      </c>
      <c r="C15" s="226"/>
      <c r="D15" s="956"/>
      <c r="E15" s="224"/>
      <c r="F15" s="224"/>
      <c r="G15" s="225" t="s">
        <v>2170</v>
      </c>
    </row>
    <row r="16" spans="1:9" s="220" customFormat="1" ht="13.5" hidden="1" customHeight="1">
      <c r="A16" s="233" t="s">
        <v>12</v>
      </c>
      <c r="B16" s="221" t="s">
        <v>2167</v>
      </c>
      <c r="C16" s="226"/>
      <c r="D16" s="956"/>
      <c r="E16" s="224"/>
      <c r="F16" s="224"/>
      <c r="G16" s="225"/>
    </row>
    <row r="17" spans="1:7" s="220" customFormat="1" ht="13.5" hidden="1" customHeight="1">
      <c r="A17" s="233" t="s">
        <v>13</v>
      </c>
      <c r="B17" s="221" t="s">
        <v>2171</v>
      </c>
      <c r="C17" s="235"/>
      <c r="D17" s="957"/>
      <c r="E17" s="235"/>
      <c r="F17" s="235"/>
      <c r="G17" s="225" t="s">
        <v>2170</v>
      </c>
    </row>
    <row r="18" spans="1:7" s="220" customFormat="1" ht="13.5" hidden="1" customHeight="1">
      <c r="A18" s="233" t="s">
        <v>14</v>
      </c>
      <c r="B18" s="221" t="s">
        <v>2172</v>
      </c>
      <c r="C18" s="226">
        <v>0</v>
      </c>
      <c r="D18" s="956"/>
      <c r="E18" s="224"/>
      <c r="F18" s="227">
        <v>3.0499999999999999E-2</v>
      </c>
      <c r="G18" s="225" t="s">
        <v>2173</v>
      </c>
    </row>
    <row r="19" spans="1:7" s="229" customFormat="1" ht="13.5" customHeight="1">
      <c r="A19" s="261" t="s">
        <v>2174</v>
      </c>
      <c r="B19" s="216" t="s">
        <v>2175</v>
      </c>
      <c r="C19" s="217">
        <f ca="1">IF(G19="已包含在土地取得成本中","0",ROUND(D19*E19/10000,0))</f>
        <v>23</v>
      </c>
      <c r="D19" s="958">
        <f ca="1">D9+D10</f>
        <v>1141.77</v>
      </c>
      <c r="E19" s="217">
        <f>'数据-取费表'!B31</f>
        <v>200</v>
      </c>
      <c r="F19" s="237"/>
      <c r="G19" s="2042"/>
    </row>
    <row r="20" spans="1:7" s="220" customFormat="1" ht="13.5" customHeight="1">
      <c r="A20" s="261" t="s">
        <v>2176</v>
      </c>
      <c r="B20" s="216" t="s">
        <v>2177</v>
      </c>
      <c r="C20" s="238">
        <f ca="1">ROUND((C5+C19)*F20,0)</f>
        <v>1</v>
      </c>
      <c r="D20" s="238"/>
      <c r="E20" s="238"/>
      <c r="F20" s="239">
        <f>'数据-取费表'!B37</f>
        <v>2.5000000000000001E-2</v>
      </c>
      <c r="G20" s="240" t="s">
        <v>2178</v>
      </c>
    </row>
    <row r="21" spans="1:7" s="220" customFormat="1" ht="13.5" customHeight="1">
      <c r="A21" s="261" t="s">
        <v>2179</v>
      </c>
      <c r="B21" s="216" t="s">
        <v>2180</v>
      </c>
      <c r="C21" s="241">
        <f>F21</f>
        <v>2.5000000000000001E-2</v>
      </c>
      <c r="D21" s="242" t="s">
        <v>2181</v>
      </c>
      <c r="E21" s="238"/>
      <c r="F21" s="239">
        <f>'数据-取费表'!B38</f>
        <v>2.5000000000000001E-2</v>
      </c>
      <c r="G21" s="240" t="s">
        <v>2182</v>
      </c>
    </row>
    <row r="22" spans="1:7" s="220" customFormat="1" ht="13.5" customHeight="1">
      <c r="A22" s="261" t="s">
        <v>2183</v>
      </c>
      <c r="B22" s="216" t="s">
        <v>2184</v>
      </c>
      <c r="C22" s="1264">
        <f ca="1">ROUND(SUM(C23:C25),0)</f>
        <v>2</v>
      </c>
      <c r="D22" s="241">
        <f ca="1">C26</f>
        <v>1E-3</v>
      </c>
      <c r="E22" s="242" t="s">
        <v>2181</v>
      </c>
      <c r="F22" s="243">
        <f ca="1">'数据-取费表'!B40</f>
        <v>3.85E-2</v>
      </c>
      <c r="G22" s="240" t="str">
        <f>IF('数据-取费表'!B22&lt;=1,"单利计息","复利计息")</f>
        <v>复利计息</v>
      </c>
    </row>
    <row r="23" spans="1:7" s="220" customFormat="1" ht="13.5" customHeight="1">
      <c r="A23" s="888" t="s">
        <v>2185</v>
      </c>
      <c r="B23" s="221" t="s">
        <v>2186</v>
      </c>
      <c r="C23" s="1265">
        <f ca="1">ROUND(IF('数据-取费表'!B22&lt;=1,C5*F22*'数据-取费表'!B23,C5*(POWER((1+F22),'数据-取费表'!B23)-1)),0)</f>
        <v>0</v>
      </c>
      <c r="D23" s="244"/>
      <c r="E23" s="244"/>
      <c r="F23" s="245"/>
      <c r="G23" s="246" t="s">
        <v>2187</v>
      </c>
    </row>
    <row r="24" spans="1:7" s="220" customFormat="1" ht="13.5" customHeight="1">
      <c r="A24" s="888" t="s">
        <v>2188</v>
      </c>
      <c r="B24" s="221" t="s">
        <v>2189</v>
      </c>
      <c r="C24" s="1265">
        <f ca="1">ROUND(IF('数据-取费表'!B22&lt;=1,C19*F22*('数据-取费表'!B19/2+'数据-取费表'!B21),C19*(POWER((1+F22),('数据-取费表'!B19/2+'数据-取费表'!B21))-1)),0)</f>
        <v>2</v>
      </c>
      <c r="D24" s="244"/>
      <c r="E24" s="244"/>
      <c r="F24" s="245"/>
      <c r="G24" s="246" t="s">
        <v>2190</v>
      </c>
    </row>
    <row r="25" spans="1:7" s="220" customFormat="1" ht="24">
      <c r="A25" s="888" t="s">
        <v>2191</v>
      </c>
      <c r="B25" s="221" t="s">
        <v>2192</v>
      </c>
      <c r="C25" s="1265">
        <f ca="1">ROUND(IF('数据-取费表'!B22&lt;=1,C20*F22*'数据-取费表'!B23/2,C20*(POWER((1+F22),'数据-取费表'!B23/2)-1)),0)</f>
        <v>0</v>
      </c>
      <c r="D25" s="244"/>
      <c r="E25" s="247"/>
      <c r="F25" s="245"/>
      <c r="G25" s="248" t="s">
        <v>2193</v>
      </c>
    </row>
    <row r="26" spans="1:7" s="220" customFormat="1">
      <c r="A26" s="888" t="s">
        <v>795</v>
      </c>
      <c r="B26" s="221" t="s">
        <v>2194</v>
      </c>
      <c r="C26" s="244">
        <f ca="1">ROUND(IF('数据-取费表'!B22&lt;=1,F21*F22*'数据-取费表'!B23/2,F21*(POWER((1+F22),'数据-取费表'!B23/2)-1)),4)</f>
        <v>1E-3</v>
      </c>
      <c r="D26" s="244"/>
      <c r="E26" s="247"/>
      <c r="F26" s="245"/>
      <c r="G26" s="249"/>
    </row>
    <row r="27" spans="1:7" s="220" customFormat="1" ht="24.75">
      <c r="A27" s="261" t="s">
        <v>2195</v>
      </c>
      <c r="B27" s="250" t="s">
        <v>2196</v>
      </c>
      <c r="C27" s="251">
        <f ca="1">C28</f>
        <v>5</v>
      </c>
      <c r="D27" s="241">
        <f ca="1">C29</f>
        <v>5.0000000000000001E-3</v>
      </c>
      <c r="E27" s="242" t="s">
        <v>2197</v>
      </c>
      <c r="F27" s="252">
        <f ca="1">IF(B1="",'数据-取费表'!Q16,INDIRECT("'数据-取费表'!q"&amp;$G$1))</f>
        <v>0.2</v>
      </c>
      <c r="G27" s="253" t="s">
        <v>2198</v>
      </c>
    </row>
    <row r="28" spans="1:7" s="220" customFormat="1" ht="13.5" customHeight="1">
      <c r="A28" s="888" t="s">
        <v>791</v>
      </c>
      <c r="B28" s="254" t="s">
        <v>2199</v>
      </c>
      <c r="C28" s="255">
        <f ca="1">ROUND((C5+C19+C20)*F27*'数据-取费表'!B21/'数据-取费表'!B20,0)</f>
        <v>5</v>
      </c>
      <c r="D28" s="241"/>
      <c r="E28" s="242"/>
      <c r="F28" s="252"/>
      <c r="G28" s="253"/>
    </row>
    <row r="29" spans="1:7" s="220" customFormat="1" ht="13.5" customHeight="1">
      <c r="A29" s="888" t="s">
        <v>792</v>
      </c>
      <c r="B29" s="254" t="s">
        <v>2200</v>
      </c>
      <c r="C29" s="244">
        <f ca="1">ROUND(C21*F27*'数据-取费表'!B21/'数据-取费表'!B20,4)</f>
        <v>5.0000000000000001E-3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34</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571</v>
      </c>
      <c r="D33" s="238"/>
      <c r="E33" s="218"/>
      <c r="F33" s="247"/>
      <c r="G33" s="240"/>
    </row>
    <row r="34" spans="1:7" s="264" customFormat="1" ht="13.5" customHeight="1">
      <c r="A34" s="888" t="s">
        <v>791</v>
      </c>
      <c r="B34" s="221" t="s">
        <v>2208</v>
      </c>
      <c r="C34" s="226">
        <f ca="1">IF(B1="",IF(F34=100%,'数据-取费表'!M16,'数据-取费表'!O16),IF(F34=100%,INDIRECT("'数据-取费表'!m"&amp;$G$1)+INDIRECT("'数据-取费表'!t"&amp;$G$1),INDIRECT("'数据-取费表'!o"&amp;$G$1)+INDIRECT("'数据-取费表'!aq"&amp;$G$1)))</f>
        <v>514</v>
      </c>
      <c r="D34" s="223"/>
      <c r="E34" s="226"/>
      <c r="F34" s="263">
        <f ca="1">IF('数据-取费表'!B24=0,1,IF(B1="",'数据-取费表'!N16,INDIRECT("'数据-取费表'!n"&amp;$G$1)))</f>
        <v>1</v>
      </c>
      <c r="G34" s="225" t="s">
        <v>2209</v>
      </c>
    </row>
    <row r="35" spans="1:7" ht="13.5" customHeight="1">
      <c r="A35" s="888" t="s">
        <v>796</v>
      </c>
      <c r="B35" s="221" t="s">
        <v>2210</v>
      </c>
      <c r="C35" s="226">
        <f ca="1">ROUND(C34*F35,0)</f>
        <v>26</v>
      </c>
      <c r="D35" s="226"/>
      <c r="E35" s="226"/>
      <c r="F35" s="265">
        <f>'数据-取费表'!B33</f>
        <v>0.05</v>
      </c>
      <c r="G35" s="225" t="s">
        <v>2211</v>
      </c>
    </row>
    <row r="36" spans="1:7" ht="24">
      <c r="A36" s="888"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2213</v>
      </c>
    </row>
    <row r="37" spans="1:7" s="264" customFormat="1" ht="13.5" customHeight="1">
      <c r="A37" s="888" t="s">
        <v>798</v>
      </c>
      <c r="B37" s="221" t="s">
        <v>2214</v>
      </c>
      <c r="C37" s="255">
        <f ca="1">ROUND(E37*D37*F34/10000,0)</f>
        <v>23</v>
      </c>
      <c r="D37" s="223">
        <f ca="1">D19</f>
        <v>1141.77</v>
      </c>
      <c r="E37" s="255">
        <f>'数据-取费表'!B35</f>
        <v>200</v>
      </c>
      <c r="F37" s="265"/>
      <c r="G37" s="267" t="s">
        <v>2215</v>
      </c>
    </row>
    <row r="38" spans="1:7" ht="13.5" customHeight="1">
      <c r="A38" s="888" t="s">
        <v>799</v>
      </c>
      <c r="B38" s="221" t="s">
        <v>2216</v>
      </c>
      <c r="C38" s="226">
        <f ca="1">ROUND(C34*F38,0)</f>
        <v>8</v>
      </c>
      <c r="D38" s="226"/>
      <c r="E38" s="226"/>
      <c r="F38" s="265">
        <f>'数据-取费表'!B36</f>
        <v>1.4999999999999999E-2</v>
      </c>
      <c r="G38" s="225" t="s">
        <v>2211</v>
      </c>
    </row>
    <row r="39" spans="1:7" s="220" customFormat="1" ht="13.5" customHeight="1">
      <c r="A39" s="261" t="s">
        <v>2217</v>
      </c>
      <c r="B39" s="216" t="s">
        <v>2218</v>
      </c>
      <c r="C39" s="238">
        <f ca="1">ROUND(C33*F20,0)</f>
        <v>14</v>
      </c>
      <c r="D39" s="238"/>
      <c r="E39" s="238"/>
      <c r="F39" s="2535">
        <f>F20</f>
        <v>2.5000000000000001E-2</v>
      </c>
      <c r="G39" s="240" t="s">
        <v>2219</v>
      </c>
    </row>
    <row r="40" spans="1:7" s="220" customFormat="1" ht="13.5" customHeight="1">
      <c r="A40" s="261" t="s">
        <v>2220</v>
      </c>
      <c r="B40" s="216" t="s">
        <v>2221</v>
      </c>
      <c r="C40" s="1495">
        <f>F21</f>
        <v>2.5000000000000001E-2</v>
      </c>
      <c r="D40" s="242" t="s">
        <v>2222</v>
      </c>
      <c r="E40" s="238"/>
      <c r="F40" s="2535">
        <f>F21</f>
        <v>2.5000000000000001E-2</v>
      </c>
      <c r="G40" s="240" t="s">
        <v>2223</v>
      </c>
    </row>
    <row r="41" spans="1:7" s="220" customFormat="1" ht="13.5" customHeight="1">
      <c r="A41" s="261" t="s">
        <v>2224</v>
      </c>
      <c r="B41" s="216" t="s">
        <v>2225</v>
      </c>
      <c r="C41" s="238">
        <f ca="1">ROUND(SUM(C42:C43),0)</f>
        <v>23</v>
      </c>
      <c r="D41" s="241">
        <f ca="1">C44</f>
        <v>1E-3</v>
      </c>
      <c r="E41" s="242" t="s">
        <v>2222</v>
      </c>
      <c r="F41" s="2536">
        <f ca="1">F22</f>
        <v>3.85E-2</v>
      </c>
      <c r="G41" s="240" t="str">
        <f>IF('数据-取费表'!B22&lt;=1,"单利计息","复利计息")</f>
        <v>复利计息</v>
      </c>
    </row>
    <row r="42" spans="1:7" ht="13.5" customHeight="1">
      <c r="A42" s="888" t="s">
        <v>791</v>
      </c>
      <c r="B42" s="221" t="s">
        <v>2226</v>
      </c>
      <c r="C42" s="244">
        <f ca="1">ROUND(IF('数据-取费表'!B22&lt;=1,C33*F22*'数据-取费表'!B21/2,C33*(POWER((1+F22),'数据-取费表'!B21/2)-1)),0)</f>
        <v>22</v>
      </c>
      <c r="D42" s="244"/>
      <c r="E42" s="244"/>
      <c r="F42" s="245"/>
      <c r="G42" s="3292" t="s">
        <v>2227</v>
      </c>
    </row>
    <row r="43" spans="1:7" ht="13.5" customHeight="1">
      <c r="A43" s="888" t="s">
        <v>792</v>
      </c>
      <c r="B43" s="221" t="s">
        <v>2228</v>
      </c>
      <c r="C43" s="244">
        <f ca="1">ROUND(IF('数据-取费表'!B22&lt;=1,C39*F22*'数据-取费表'!B21/2,C39*(POWER((1+F22),'数据-取费表'!B21/2)-1)),0)</f>
        <v>1</v>
      </c>
      <c r="D43" s="244"/>
      <c r="E43" s="244"/>
      <c r="F43" s="245"/>
      <c r="G43" s="3293"/>
    </row>
    <row r="44" spans="1:7" ht="13.5" customHeight="1">
      <c r="A44" s="888" t="s">
        <v>793</v>
      </c>
      <c r="B44" s="221" t="s">
        <v>2229</v>
      </c>
      <c r="C44" s="244">
        <f ca="1">ROUND(IF('数据-取费表'!B22&lt;=1,C40*F22*'数据-取费表'!B21/2,C40*(POWER((1+F22),'数据-取费表'!B21/2)-1)),4)</f>
        <v>1E-3</v>
      </c>
      <c r="D44" s="244"/>
      <c r="E44" s="244"/>
      <c r="F44" s="245"/>
      <c r="G44" s="3294"/>
    </row>
    <row r="45" spans="1:7" s="220" customFormat="1" ht="13.5" customHeight="1">
      <c r="A45" s="261" t="s">
        <v>2230</v>
      </c>
      <c r="B45" s="250" t="s">
        <v>2196</v>
      </c>
      <c r="C45" s="251">
        <f ca="1">C46</f>
        <v>117</v>
      </c>
      <c r="D45" s="241">
        <f ca="1">C47</f>
        <v>5.0000000000000001E-3</v>
      </c>
      <c r="E45" s="242" t="s">
        <v>2222</v>
      </c>
      <c r="F45" s="2537">
        <f ca="1">F27</f>
        <v>0.2</v>
      </c>
      <c r="G45" s="253" t="s">
        <v>2231</v>
      </c>
    </row>
    <row r="46" spans="1:7" s="220" customFormat="1" ht="13.5" customHeight="1">
      <c r="A46" s="888" t="s">
        <v>791</v>
      </c>
      <c r="B46" s="254" t="s">
        <v>2232</v>
      </c>
      <c r="C46" s="255">
        <f ca="1">ROUND((C33+C39)*F27,0)</f>
        <v>117</v>
      </c>
      <c r="D46" s="269"/>
      <c r="E46" s="242"/>
      <c r="F46" s="252"/>
      <c r="G46" s="253"/>
    </row>
    <row r="47" spans="1:7" s="220" customFormat="1" ht="13.5" customHeight="1">
      <c r="A47" s="888" t="s">
        <v>792</v>
      </c>
      <c r="B47" s="254" t="s">
        <v>2233</v>
      </c>
      <c r="C47" s="244">
        <f ca="1">ROUND(C40*F27,4)</f>
        <v>5.0000000000000001E-3</v>
      </c>
      <c r="D47" s="269"/>
      <c r="E47" s="242"/>
      <c r="F47" s="252"/>
      <c r="G47" s="253"/>
    </row>
    <row r="48" spans="1:7" s="220" customFormat="1" ht="13.5" customHeight="1">
      <c r="A48" s="261" t="s">
        <v>2195</v>
      </c>
      <c r="B48" s="216" t="s">
        <v>2234</v>
      </c>
      <c r="C48" s="1495">
        <f>ROUND(F30/(1+'数据-取费表'!C42),4)</f>
        <v>5.33E-2</v>
      </c>
      <c r="D48" s="242" t="s">
        <v>2222</v>
      </c>
      <c r="E48" s="238"/>
      <c r="F48" s="2536">
        <f>F30</f>
        <v>5.6000000000000001E-2</v>
      </c>
      <c r="G48" s="240" t="s">
        <v>2235</v>
      </c>
    </row>
    <row r="49" spans="1:7" ht="16.5" customHeight="1">
      <c r="A49" s="261" t="s">
        <v>2201</v>
      </c>
      <c r="B49" s="216" t="s">
        <v>2236</v>
      </c>
      <c r="C49" s="238">
        <f ca="1">ROUND((C33+C39+C41+C45)/(1-C40-D41-D45-C48),0)</f>
        <v>792</v>
      </c>
      <c r="D49" s="238"/>
      <c r="E49" s="238"/>
      <c r="F49" s="270"/>
      <c r="G49" s="240" t="s">
        <v>2237</v>
      </c>
    </row>
    <row r="50" spans="1:7" s="264" customFormat="1" ht="24">
      <c r="A50" s="261" t="s">
        <v>2238</v>
      </c>
      <c r="B50" s="216" t="s">
        <v>2239</v>
      </c>
      <c r="C50" s="238"/>
      <c r="D50" s="238"/>
      <c r="E50" s="238"/>
      <c r="F50" s="270">
        <f>IF('数据-取费表'!B24=0,'数据-取费表'!N16,1)</f>
        <v>0.79</v>
      </c>
      <c r="G50" s="253" t="s">
        <v>2240</v>
      </c>
    </row>
    <row r="51" spans="1:7" ht="16.5" customHeight="1">
      <c r="A51" s="261" t="s">
        <v>2241</v>
      </c>
      <c r="B51" s="216" t="s">
        <v>2242</v>
      </c>
      <c r="C51" s="238">
        <f ca="1">ROUND(C49*F50,0)</f>
        <v>626</v>
      </c>
      <c r="D51" s="238"/>
      <c r="E51" s="238"/>
      <c r="F51" s="270"/>
      <c r="G51" s="240" t="s">
        <v>2243</v>
      </c>
    </row>
    <row r="52" spans="1:7" s="214" customFormat="1" ht="16.5" thickBot="1">
      <c r="A52" s="271" t="s">
        <v>2244</v>
      </c>
      <c r="B52" s="272"/>
      <c r="C52" s="273">
        <f ca="1">C31+C51</f>
        <v>660</v>
      </c>
      <c r="D52" s="272"/>
      <c r="E52" s="272"/>
      <c r="F52" s="272"/>
      <c r="G52" s="274"/>
    </row>
    <row r="55" spans="1:7" ht="15">
      <c r="B55" s="276" t="s">
        <v>2245</v>
      </c>
      <c r="C55" s="277"/>
    </row>
    <row r="56" spans="1:7">
      <c r="B56" s="279" t="s">
        <v>1478</v>
      </c>
      <c r="C56" s="281">
        <f ca="1">1-C57</f>
        <v>5.2000000000000046E-2</v>
      </c>
    </row>
    <row r="57" spans="1:7">
      <c r="B57" s="279" t="s">
        <v>1479</v>
      </c>
      <c r="C57" s="280">
        <f ca="1">ROUND(C51/C52,3)</f>
        <v>0.94799999999999995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03" t="str">
        <f>项目基本情况!B1</f>
        <v>北京市西城区西直门外大街1号院2号楼17层19C5-19C13共9套办公用房房地产抵押价值预评估</v>
      </c>
      <c r="C37" s="3103"/>
      <c r="D37" s="3103"/>
      <c r="E37" s="3103"/>
      <c r="F37" s="3103"/>
      <c r="G37" s="3103"/>
      <c r="H37" s="3103"/>
      <c r="I37" s="3103"/>
    </row>
    <row r="38" spans="1:9">
      <c r="A38" s="953"/>
      <c r="B38" s="953"/>
    </row>
    <row r="39" spans="1:9">
      <c r="A39" s="951" t="s">
        <v>818</v>
      </c>
      <c r="B39" s="951" t="s">
        <v>820</v>
      </c>
    </row>
    <row r="40" spans="1:9">
      <c r="A40" s="951"/>
      <c r="B40" s="1659" t="str">
        <f>项目基本情况!B5</f>
        <v>准信智慧消防股份有限公司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王鹏（注册号：1120050019)、郑燚（注册号：1120070131)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54"/>
      <c r="C1" s="2045" t="s">
        <v>2246</v>
      </c>
      <c r="D1" s="204"/>
      <c r="E1" s="204"/>
      <c r="F1" s="204"/>
      <c r="G1" s="1288">
        <f>MATCH(B1,'数据-取费表'!A6:A16,0)+5</f>
        <v>8</v>
      </c>
      <c r="H1" s="1192" t="str">
        <f>IF(ISERROR(FIND("住宅",B1)),"非住宅","住宅")</f>
        <v>非住宅</v>
      </c>
    </row>
    <row r="2" spans="1:8" s="206" customFormat="1" ht="18" customHeight="1">
      <c r="A2" s="207" t="s">
        <v>2145</v>
      </c>
      <c r="B2" s="208">
        <f ca="1">ROUND(IF(D2="——",C52/10000,C52/10000-E2),0)</f>
        <v>673</v>
      </c>
      <c r="C2" s="205" t="s">
        <v>2146</v>
      </c>
      <c r="D2" s="2039" t="s">
        <v>70</v>
      </c>
      <c r="E2" s="1331" t="e">
        <f ca="1">SUMIF(INDIRECT("'"&amp;G2&amp;"'"&amp;"!A:A"),"承租人权益价值",INDIRECT("'"&amp;G2&amp;"'"&amp;"!c:c"))</f>
        <v>#REF!</v>
      </c>
      <c r="F2" s="2040" t="s">
        <v>2146</v>
      </c>
      <c r="G2" s="2041"/>
    </row>
    <row r="3" spans="1:8" s="206" customFormat="1" ht="18" customHeight="1" thickBot="1">
      <c r="A3" s="209" t="s">
        <v>2147</v>
      </c>
      <c r="B3" s="210">
        <f ca="1">ROUND(B2*10000/(IF(B1="",'数据-汇总表'!E3,INDIRECT("'数据-取费表'!k"&amp;$G$1))),0)</f>
        <v>5894</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114177</v>
      </c>
      <c r="D5" s="217" t="s">
        <v>2152</v>
      </c>
      <c r="E5" s="218" t="s">
        <v>2153</v>
      </c>
      <c r="F5" s="218" t="s">
        <v>2154</v>
      </c>
      <c r="G5" s="219"/>
    </row>
    <row r="6" spans="1:8" s="220" customFormat="1" ht="13.5" customHeight="1">
      <c r="A6" s="886" t="s">
        <v>2155</v>
      </c>
      <c r="B6" s="221" t="s">
        <v>2156</v>
      </c>
      <c r="C6" s="222"/>
      <c r="D6" s="223"/>
      <c r="E6" s="224"/>
      <c r="F6" s="224"/>
      <c r="G6" s="225"/>
    </row>
    <row r="7" spans="1:8" s="220" customFormat="1" ht="13.5" customHeight="1">
      <c r="A7" s="886" t="s">
        <v>2157</v>
      </c>
      <c r="B7" s="221" t="s">
        <v>2158</v>
      </c>
      <c r="C7" s="226">
        <f>ROUND(C6*F7,0)</f>
        <v>0</v>
      </c>
      <c r="D7" s="226"/>
      <c r="E7" s="224"/>
      <c r="F7" s="227">
        <f>IF(项目基本情况!B8="出让",0,'数据-取费表'!B48+'数据-取费表'!B49)</f>
        <v>3.0499999999999999E-2</v>
      </c>
      <c r="G7" s="225"/>
    </row>
    <row r="8" spans="1:8" s="229" customFormat="1">
      <c r="A8" s="886" t="s">
        <v>2159</v>
      </c>
      <c r="B8" s="221" t="s">
        <v>2160</v>
      </c>
      <c r="C8" s="226">
        <f ca="1">IF(G8="已包含在土地购买价格中",0,C9+C10)</f>
        <v>114177</v>
      </c>
      <c r="D8" s="228"/>
      <c r="E8" s="226"/>
      <c r="F8" s="227"/>
      <c r="G8" s="2042"/>
    </row>
    <row r="9" spans="1:8" s="220" customFormat="1" ht="13.5" customHeight="1">
      <c r="A9" s="887" t="s">
        <v>800</v>
      </c>
      <c r="B9" s="230" t="s">
        <v>2161</v>
      </c>
      <c r="C9" s="231">
        <f ca="1">ROUND(D9*E9,0)</f>
        <v>0</v>
      </c>
      <c r="D9" s="954">
        <f ca="1">IF(B1="",'数据-汇总表'!E5,IF(INDIRECT("'数据-取费表'!c"&amp;$G$1)="住宅",INDIRECT("'数据-取费表'!k"&amp;$G$1),0))</f>
        <v>0</v>
      </c>
      <c r="E9" s="231">
        <f>'数据-取费表'!B27</f>
        <v>200</v>
      </c>
      <c r="F9" s="227"/>
      <c r="G9" s="232"/>
    </row>
    <row r="10" spans="1:8" s="220" customFormat="1" ht="13.5" customHeight="1">
      <c r="A10" s="887" t="s">
        <v>801</v>
      </c>
      <c r="B10" s="230" t="s">
        <v>2163</v>
      </c>
      <c r="C10" s="231">
        <f ca="1">ROUND(D10*E10,0)</f>
        <v>114177</v>
      </c>
      <c r="D10" s="954">
        <f ca="1">IF(B1="",'数据-汇总表'!E6,IF(INDIRECT("'数据-取费表'!c"&amp;$G$1)="住宅",INDIRECT("'数据-取费表'!s"&amp;$G$1),INDIRECT("'数据-取费表'!k"&amp;$G$1)+INDIRECT("'数据-取费表'!s"&amp;$G$1)))</f>
        <v>1141.77</v>
      </c>
      <c r="E10" s="231">
        <f>'数据-取费表'!B28</f>
        <v>100</v>
      </c>
      <c r="F10" s="227"/>
      <c r="G10" s="232"/>
    </row>
    <row r="11" spans="1:8" s="220" customFormat="1" ht="13.5" hidden="1" customHeight="1">
      <c r="A11" s="233" t="s">
        <v>7</v>
      </c>
      <c r="B11" s="221" t="s">
        <v>2164</v>
      </c>
      <c r="C11" s="217"/>
      <c r="D11" s="956"/>
      <c r="E11" s="224"/>
      <c r="F11" s="224"/>
      <c r="G11" s="225"/>
    </row>
    <row r="12" spans="1:8" s="220" customFormat="1" ht="13.5" hidden="1" customHeight="1">
      <c r="A12" s="233" t="s">
        <v>8</v>
      </c>
      <c r="B12" s="221" t="s">
        <v>2247</v>
      </c>
      <c r="C12" s="217">
        <v>0</v>
      </c>
      <c r="D12" s="956"/>
      <c r="E12" s="234"/>
      <c r="F12" s="227">
        <v>3.0499999999999999E-2</v>
      </c>
      <c r="G12" s="225"/>
    </row>
    <row r="13" spans="1:8" s="220" customFormat="1" ht="13.5" hidden="1" customHeight="1">
      <c r="A13" s="233" t="s">
        <v>9</v>
      </c>
      <c r="B13" s="221" t="s">
        <v>2248</v>
      </c>
      <c r="C13" s="217"/>
      <c r="D13" s="956"/>
      <c r="E13" s="224"/>
      <c r="F13" s="224"/>
      <c r="G13" s="225"/>
    </row>
    <row r="14" spans="1:8" s="220" customFormat="1" ht="13.5" hidden="1" customHeight="1">
      <c r="A14" s="233" t="s">
        <v>10</v>
      </c>
      <c r="B14" s="221" t="s">
        <v>2160</v>
      </c>
      <c r="C14" s="217"/>
      <c r="D14" s="956"/>
      <c r="E14" s="224"/>
      <c r="F14" s="224"/>
      <c r="G14" s="225" t="s">
        <v>2249</v>
      </c>
    </row>
    <row r="15" spans="1:8" s="220" customFormat="1" ht="13.5" hidden="1" customHeight="1">
      <c r="A15" s="233" t="s">
        <v>11</v>
      </c>
      <c r="B15" s="221" t="s">
        <v>2250</v>
      </c>
      <c r="C15" s="226"/>
      <c r="D15" s="956"/>
      <c r="E15" s="224"/>
      <c r="F15" s="224"/>
      <c r="G15" s="225" t="s">
        <v>2251</v>
      </c>
    </row>
    <row r="16" spans="1:8" s="220" customFormat="1" ht="13.5" hidden="1" customHeight="1">
      <c r="A16" s="233" t="s">
        <v>12</v>
      </c>
      <c r="B16" s="221" t="s">
        <v>2160</v>
      </c>
      <c r="C16" s="226"/>
      <c r="D16" s="956"/>
      <c r="E16" s="224"/>
      <c r="F16" s="224"/>
      <c r="G16" s="225"/>
    </row>
    <row r="17" spans="1:7" s="220" customFormat="1" ht="13.5" hidden="1" customHeight="1">
      <c r="A17" s="233" t="s">
        <v>13</v>
      </c>
      <c r="B17" s="221" t="s">
        <v>2252</v>
      </c>
      <c r="C17" s="235"/>
      <c r="D17" s="957"/>
      <c r="E17" s="235"/>
      <c r="F17" s="235"/>
      <c r="G17" s="225" t="s">
        <v>2251</v>
      </c>
    </row>
    <row r="18" spans="1:7" s="220" customFormat="1" ht="13.5" hidden="1" customHeight="1">
      <c r="A18" s="233" t="s">
        <v>14</v>
      </c>
      <c r="B18" s="221" t="s">
        <v>2253</v>
      </c>
      <c r="C18" s="226">
        <v>0</v>
      </c>
      <c r="D18" s="956"/>
      <c r="E18" s="224"/>
      <c r="F18" s="227">
        <v>3.0499999999999999E-2</v>
      </c>
      <c r="G18" s="225" t="s">
        <v>2254</v>
      </c>
    </row>
    <row r="19" spans="1:7" s="229" customFormat="1" ht="13.5" customHeight="1">
      <c r="A19" s="261" t="s">
        <v>2255</v>
      </c>
      <c r="B19" s="216" t="s">
        <v>2256</v>
      </c>
      <c r="C19" s="217">
        <f ca="1">IF(G19="已包含在土地取得成本中","0",ROUND(D19*E19,0))</f>
        <v>228354</v>
      </c>
      <c r="D19" s="958">
        <f ca="1">D9+D10</f>
        <v>1141.77</v>
      </c>
      <c r="E19" s="217">
        <f>'数据-取费表'!B31</f>
        <v>200</v>
      </c>
      <c r="F19" s="237"/>
      <c r="G19" s="2042"/>
    </row>
    <row r="20" spans="1:7" s="220" customFormat="1" ht="13.5" customHeight="1">
      <c r="A20" s="261" t="s">
        <v>2257</v>
      </c>
      <c r="B20" s="216" t="s">
        <v>2258</v>
      </c>
      <c r="C20" s="238">
        <f ca="1">ROUND((C5+C19)*F20,0)</f>
        <v>8563</v>
      </c>
      <c r="D20" s="238"/>
      <c r="E20" s="238"/>
      <c r="F20" s="239">
        <f>'数据-取费表'!B37</f>
        <v>2.5000000000000001E-2</v>
      </c>
      <c r="G20" s="240" t="s">
        <v>2259</v>
      </c>
    </row>
    <row r="21" spans="1:7" s="220" customFormat="1" ht="13.5" customHeight="1">
      <c r="A21" s="261" t="s">
        <v>2260</v>
      </c>
      <c r="B21" s="216" t="s">
        <v>2261</v>
      </c>
      <c r="C21" s="241">
        <f>F21</f>
        <v>2.5000000000000001E-2</v>
      </c>
      <c r="D21" s="242" t="s">
        <v>2262</v>
      </c>
      <c r="E21" s="238"/>
      <c r="F21" s="239">
        <f>'数据-取费表'!B38</f>
        <v>2.5000000000000001E-2</v>
      </c>
      <c r="G21" s="240" t="s">
        <v>2263</v>
      </c>
    </row>
    <row r="22" spans="1:7" s="220" customFormat="1" ht="13.5" customHeight="1">
      <c r="A22" s="261" t="s">
        <v>2264</v>
      </c>
      <c r="B22" s="216" t="s">
        <v>2265</v>
      </c>
      <c r="C22" s="1289">
        <f ca="1">ROUND(SUM(C23:C25),0)</f>
        <v>27213</v>
      </c>
      <c r="D22" s="241">
        <f ca="1">C26</f>
        <v>1E-3</v>
      </c>
      <c r="E22" s="242" t="s">
        <v>2262</v>
      </c>
      <c r="F22" s="243">
        <f ca="1">'数据-取费表'!B40</f>
        <v>3.85E-2</v>
      </c>
      <c r="G22" s="240" t="str">
        <f>IF('数据-取费表'!B22&lt;=1,"单利计息","复利计息")</f>
        <v>复利计息</v>
      </c>
    </row>
    <row r="23" spans="1:7" s="220" customFormat="1" ht="13.5" customHeight="1">
      <c r="A23" s="888" t="s">
        <v>2155</v>
      </c>
      <c r="B23" s="221" t="s">
        <v>2266</v>
      </c>
      <c r="C23" s="1290">
        <f ca="1">ROUND(IF('数据-取费表'!B22&lt;=1,C5*F22*'数据-取费表'!B22,C5*(POWER((1+F22),'数据-取费表'!B22)-1)),0)</f>
        <v>8961</v>
      </c>
      <c r="D23" s="244"/>
      <c r="E23" s="244"/>
      <c r="F23" s="245"/>
      <c r="G23" s="246" t="s">
        <v>2267</v>
      </c>
    </row>
    <row r="24" spans="1:7" s="220" customFormat="1" ht="13.5" customHeight="1">
      <c r="A24" s="888" t="s">
        <v>2157</v>
      </c>
      <c r="B24" s="221" t="s">
        <v>2268</v>
      </c>
      <c r="C24" s="1290">
        <f ca="1">ROUND(IF('数据-取费表'!B22&lt;=1,C19*F22*('数据-取费表'!B19/2+'数据-取费表'!B20),C19*(POWER((1+F22),('数据-取费表'!B19/2+'数据-取费表'!B20))-1)),0)</f>
        <v>17922</v>
      </c>
      <c r="D24" s="244"/>
      <c r="E24" s="244"/>
      <c r="F24" s="245"/>
      <c r="G24" s="246" t="s">
        <v>2269</v>
      </c>
    </row>
    <row r="25" spans="1:7" s="220" customFormat="1" ht="24">
      <c r="A25" s="888" t="s">
        <v>2159</v>
      </c>
      <c r="B25" s="221" t="s">
        <v>2270</v>
      </c>
      <c r="C25" s="1290">
        <f ca="1">ROUND(IF('数据-取费表'!B22&lt;=1,C20*F22*'数据-取费表'!B22/2,C20*(POWER((1+F22),'数据-取费表'!B22/2)-1)),0)</f>
        <v>330</v>
      </c>
      <c r="D25" s="244"/>
      <c r="E25" s="247"/>
      <c r="F25" s="245"/>
      <c r="G25" s="248" t="s">
        <v>2271</v>
      </c>
    </row>
    <row r="26" spans="1:7" s="220" customFormat="1">
      <c r="A26" s="888" t="s">
        <v>795</v>
      </c>
      <c r="B26" s="221" t="s">
        <v>2194</v>
      </c>
      <c r="C26" s="244">
        <f ca="1">ROUND(IF('数据-取费表'!B22&lt;=1,F21*F22*'数据-取费表'!B22/2,F21*(POWER((1+F22),'数据-取费表'!B22/2)-1)),4)</f>
        <v>1E-3</v>
      </c>
      <c r="D26" s="244"/>
      <c r="E26" s="247"/>
      <c r="F26" s="245"/>
      <c r="G26" s="249"/>
    </row>
    <row r="27" spans="1:7" s="220" customFormat="1" ht="24.75">
      <c r="A27" s="261" t="s">
        <v>2195</v>
      </c>
      <c r="B27" s="250" t="s">
        <v>2196</v>
      </c>
      <c r="C27" s="251">
        <f ca="1">C28</f>
        <v>70219</v>
      </c>
      <c r="D27" s="241">
        <f ca="1">C29</f>
        <v>5.0000000000000001E-3</v>
      </c>
      <c r="E27" s="242" t="s">
        <v>2197</v>
      </c>
      <c r="F27" s="252">
        <f ca="1">IF(B1="",'数据-取费表'!Q16,INDIRECT("'数据-取费表'!q"&amp;$G$1))</f>
        <v>0.2</v>
      </c>
      <c r="G27" s="253" t="s">
        <v>2198</v>
      </c>
    </row>
    <row r="28" spans="1:7" s="220" customFormat="1" ht="13.5" customHeight="1">
      <c r="A28" s="888" t="s">
        <v>791</v>
      </c>
      <c r="B28" s="254" t="s">
        <v>2199</v>
      </c>
      <c r="C28" s="255">
        <f ca="1">ROUND((C5+C19+C20)*F27,0)</f>
        <v>70219</v>
      </c>
      <c r="D28" s="241"/>
      <c r="E28" s="242"/>
      <c r="F28" s="252"/>
      <c r="G28" s="253"/>
    </row>
    <row r="29" spans="1:7" s="220" customFormat="1" ht="13.5" customHeight="1">
      <c r="A29" s="888" t="s">
        <v>792</v>
      </c>
      <c r="B29" s="254" t="s">
        <v>2200</v>
      </c>
      <c r="C29" s="244">
        <f ca="1">ROUND(C21*F27,4)</f>
        <v>5.0000000000000001E-3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489818</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5700286</v>
      </c>
      <c r="D33" s="238"/>
      <c r="E33" s="218"/>
      <c r="F33" s="247"/>
      <c r="G33" s="240"/>
    </row>
    <row r="34" spans="1:7" s="264" customFormat="1" ht="13.5" customHeight="1">
      <c r="A34" s="888" t="s">
        <v>791</v>
      </c>
      <c r="B34" s="221" t="s">
        <v>2208</v>
      </c>
      <c r="C34" s="226">
        <f ca="1">ROUND(IF(B1="",SUMPRODUCT('数据-取费表'!K6:K14,'数据-取费表'!L6:L14),INDIRECT("'数据-取费表'!l"&amp;$G$1)*INDIRECT("'数据-取费表'!k"&amp;$G$1)+'数据-取费表'!L14*INDIRECT("'数据-取费表'!S"&amp;$G$1)),0)</f>
        <v>5137965</v>
      </c>
      <c r="D34" s="223"/>
      <c r="E34" s="226"/>
      <c r="F34" s="263"/>
      <c r="G34" s="225"/>
    </row>
    <row r="35" spans="1:7" ht="13.5" customHeight="1">
      <c r="A35" s="888" t="s">
        <v>796</v>
      </c>
      <c r="B35" s="221" t="s">
        <v>2210</v>
      </c>
      <c r="C35" s="226">
        <f ca="1">ROUND(C34*F35,0)</f>
        <v>256898</v>
      </c>
      <c r="D35" s="226"/>
      <c r="E35" s="226"/>
      <c r="F35" s="265">
        <f>'数据-取费表'!B33</f>
        <v>0.05</v>
      </c>
      <c r="G35" s="225" t="s">
        <v>2211</v>
      </c>
    </row>
    <row r="36" spans="1:7" ht="24">
      <c r="A36" s="888"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8" t="s">
        <v>798</v>
      </c>
      <c r="B37" s="221" t="s">
        <v>2214</v>
      </c>
      <c r="C37" s="255">
        <f ca="1">ROUND(E37*D37,0)</f>
        <v>228354</v>
      </c>
      <c r="D37" s="223">
        <f ca="1">D19</f>
        <v>1141.77</v>
      </c>
      <c r="E37" s="255">
        <f>'数据-取费表'!B35</f>
        <v>200</v>
      </c>
      <c r="F37" s="265"/>
      <c r="G37" s="267"/>
    </row>
    <row r="38" spans="1:7" ht="13.5" customHeight="1">
      <c r="A38" s="888" t="s">
        <v>799</v>
      </c>
      <c r="B38" s="221" t="s">
        <v>2216</v>
      </c>
      <c r="C38" s="226">
        <f ca="1">ROUND(C34*F38,0)</f>
        <v>77069</v>
      </c>
      <c r="D38" s="226"/>
      <c r="E38" s="226"/>
      <c r="F38" s="265">
        <f>'数据-取费表'!B36</f>
        <v>1.4999999999999999E-2</v>
      </c>
      <c r="G38" s="225" t="s">
        <v>2211</v>
      </c>
    </row>
    <row r="39" spans="1:7" s="220" customFormat="1" ht="13.5" customHeight="1">
      <c r="A39" s="261" t="s">
        <v>2217</v>
      </c>
      <c r="B39" s="216" t="s">
        <v>2218</v>
      </c>
      <c r="C39" s="238">
        <f ca="1">ROUND(C33*F20,0)</f>
        <v>142507</v>
      </c>
      <c r="D39" s="238"/>
      <c r="E39" s="238"/>
      <c r="F39" s="2535">
        <f>F20</f>
        <v>2.5000000000000001E-2</v>
      </c>
      <c r="G39" s="240" t="s">
        <v>2219</v>
      </c>
    </row>
    <row r="40" spans="1:7" s="220" customFormat="1" ht="13.5" customHeight="1">
      <c r="A40" s="261" t="s">
        <v>2220</v>
      </c>
      <c r="B40" s="216" t="s">
        <v>2221</v>
      </c>
      <c r="C40" s="1495">
        <f>F21</f>
        <v>2.5000000000000001E-2</v>
      </c>
      <c r="D40" s="242" t="s">
        <v>2222</v>
      </c>
      <c r="E40" s="238"/>
      <c r="F40" s="2535">
        <f>F21</f>
        <v>2.5000000000000001E-2</v>
      </c>
      <c r="G40" s="240" t="s">
        <v>2223</v>
      </c>
    </row>
    <row r="41" spans="1:7" s="220" customFormat="1" ht="13.5" customHeight="1">
      <c r="A41" s="261" t="s">
        <v>2224</v>
      </c>
      <c r="B41" s="216" t="s">
        <v>2225</v>
      </c>
      <c r="C41" s="238">
        <f ca="1">ROUND(SUM(C42:C43),0)</f>
        <v>224948</v>
      </c>
      <c r="D41" s="241">
        <f ca="1">C44</f>
        <v>1E-3</v>
      </c>
      <c r="E41" s="242" t="s">
        <v>2222</v>
      </c>
      <c r="F41" s="2536">
        <f ca="1">F22</f>
        <v>3.85E-2</v>
      </c>
      <c r="G41" s="240" t="str">
        <f>IF('数据-取费表'!B22&lt;=1,"单利计息","复利计息")</f>
        <v>复利计息</v>
      </c>
    </row>
    <row r="42" spans="1:7" ht="13.5" customHeight="1">
      <c r="A42" s="888" t="s">
        <v>791</v>
      </c>
      <c r="B42" s="221" t="s">
        <v>2226</v>
      </c>
      <c r="C42" s="244">
        <f ca="1">ROUND(IF('数据-取费表'!B22&lt;=1,C33*F22*'数据-取费表'!B20/2,C33*(POWER((1+F22),'数据-取费表'!B20/2)-1)),0)</f>
        <v>219461</v>
      </c>
      <c r="D42" s="244"/>
      <c r="E42" s="244"/>
      <c r="F42" s="245"/>
      <c r="G42" s="3292" t="s">
        <v>2274</v>
      </c>
    </row>
    <row r="43" spans="1:7" ht="13.5" customHeight="1">
      <c r="A43" s="888" t="s">
        <v>792</v>
      </c>
      <c r="B43" s="221" t="s">
        <v>2228</v>
      </c>
      <c r="C43" s="244">
        <f ca="1">ROUND(IF('数据-取费表'!B22&lt;=1,C39*F22*'数据-取费表'!B20/2,C39*(POWER((1+F22),'数据-取费表'!B20/2)-1)),0)</f>
        <v>5487</v>
      </c>
      <c r="D43" s="244"/>
      <c r="E43" s="244"/>
      <c r="F43" s="245"/>
      <c r="G43" s="3293"/>
    </row>
    <row r="44" spans="1:7" ht="13.5" customHeight="1">
      <c r="A44" s="888" t="s">
        <v>793</v>
      </c>
      <c r="B44" s="221" t="s">
        <v>2229</v>
      </c>
      <c r="C44" s="244">
        <f ca="1">ROUND(IF('数据-取费表'!B22&lt;=1,C40*F22*'数据-取费表'!B20/2,C40*(POWER((1+F22),'数据-取费表'!B20/2)-1)),4)</f>
        <v>1E-3</v>
      </c>
      <c r="D44" s="244"/>
      <c r="E44" s="244"/>
      <c r="F44" s="245"/>
      <c r="G44" s="3294"/>
    </row>
    <row r="45" spans="1:7" s="220" customFormat="1" ht="13.5" customHeight="1">
      <c r="A45" s="261" t="s">
        <v>2230</v>
      </c>
      <c r="B45" s="250" t="s">
        <v>2196</v>
      </c>
      <c r="C45" s="251">
        <f ca="1">C46</f>
        <v>1168559</v>
      </c>
      <c r="D45" s="241">
        <f ca="1">C47</f>
        <v>5.0000000000000001E-3</v>
      </c>
      <c r="E45" s="242" t="s">
        <v>2222</v>
      </c>
      <c r="F45" s="2537">
        <f ca="1">F27</f>
        <v>0.2</v>
      </c>
      <c r="G45" s="253" t="s">
        <v>2231</v>
      </c>
    </row>
    <row r="46" spans="1:7" s="220" customFormat="1" ht="13.5" customHeight="1">
      <c r="A46" s="888" t="s">
        <v>791</v>
      </c>
      <c r="B46" s="254" t="s">
        <v>2232</v>
      </c>
      <c r="C46" s="255">
        <f ca="1">ROUND((C33+C39)*F27,0)</f>
        <v>1168559</v>
      </c>
      <c r="D46" s="269"/>
      <c r="E46" s="242"/>
      <c r="F46" s="252"/>
      <c r="G46" s="253"/>
    </row>
    <row r="47" spans="1:7" s="220" customFormat="1" ht="13.5" customHeight="1">
      <c r="A47" s="888" t="s">
        <v>792</v>
      </c>
      <c r="B47" s="254" t="s">
        <v>2233</v>
      </c>
      <c r="C47" s="244">
        <f ca="1">ROUND(C40*F27,4)</f>
        <v>5.0000000000000001E-3</v>
      </c>
      <c r="D47" s="269"/>
      <c r="E47" s="242"/>
      <c r="F47" s="252"/>
      <c r="G47" s="253"/>
    </row>
    <row r="48" spans="1:7" s="220" customFormat="1" ht="13.5" customHeight="1">
      <c r="A48" s="261" t="s">
        <v>2195</v>
      </c>
      <c r="B48" s="216" t="s">
        <v>2234</v>
      </c>
      <c r="C48" s="268">
        <f>ROUND(F30/(1+'数据-取费表'!C42),4)</f>
        <v>5.33E-2</v>
      </c>
      <c r="D48" s="242" t="s">
        <v>2222</v>
      </c>
      <c r="E48" s="238"/>
      <c r="F48" s="2536">
        <f>F30</f>
        <v>5.6000000000000001E-2</v>
      </c>
      <c r="G48" s="240" t="s">
        <v>2235</v>
      </c>
    </row>
    <row r="49" spans="1:7" ht="16.5" customHeight="1">
      <c r="A49" s="261" t="s">
        <v>2201</v>
      </c>
      <c r="B49" s="216" t="s">
        <v>2275</v>
      </c>
      <c r="C49" s="238">
        <f ca="1">ROUND((C33+C39+C41+C45)/(1-C40-D41-D45-C48),0)</f>
        <v>7902479</v>
      </c>
      <c r="D49" s="238"/>
      <c r="E49" s="238"/>
      <c r="F49" s="270"/>
      <c r="G49" s="240" t="s">
        <v>2237</v>
      </c>
    </row>
    <row r="50" spans="1:7" s="264" customFormat="1">
      <c r="A50" s="261" t="s">
        <v>2238</v>
      </c>
      <c r="B50" s="216" t="s">
        <v>2239</v>
      </c>
      <c r="C50" s="238"/>
      <c r="D50" s="238"/>
      <c r="E50" s="238"/>
      <c r="F50" s="270">
        <f>IF('数据-取费表'!B24=0,'数据-取费表'!N16,1)</f>
        <v>0.79</v>
      </c>
      <c r="G50" s="253"/>
    </row>
    <row r="51" spans="1:7" ht="16.5" customHeight="1">
      <c r="A51" s="261" t="s">
        <v>2241</v>
      </c>
      <c r="B51" s="216" t="s">
        <v>2276</v>
      </c>
      <c r="C51" s="238">
        <f ca="1">ROUND(C49*F50,0)</f>
        <v>6242958</v>
      </c>
      <c r="D51" s="238"/>
      <c r="E51" s="238"/>
      <c r="F51" s="270"/>
      <c r="G51" s="240" t="s">
        <v>2243</v>
      </c>
    </row>
    <row r="52" spans="1:7" s="214" customFormat="1" ht="16.5" thickBot="1">
      <c r="A52" s="271" t="s">
        <v>2244</v>
      </c>
      <c r="B52" s="272"/>
      <c r="C52" s="273">
        <f ca="1">C31+C51</f>
        <v>6732776</v>
      </c>
      <c r="D52" s="272"/>
      <c r="E52" s="272"/>
      <c r="F52" s="272"/>
      <c r="G52" s="274"/>
    </row>
    <row r="55" spans="1:7" ht="15">
      <c r="B55" s="276" t="s">
        <v>2245</v>
      </c>
      <c r="C55" s="277"/>
    </row>
    <row r="56" spans="1:7">
      <c r="B56" s="279" t="s">
        <v>1478</v>
      </c>
      <c r="C56" s="281">
        <f ca="1">1-C57</f>
        <v>7.2999999999999954E-2</v>
      </c>
    </row>
    <row r="57" spans="1:7">
      <c r="B57" s="279" t="s">
        <v>1479</v>
      </c>
      <c r="C57" s="280">
        <f ca="1">ROUND(C51/C52,3)</f>
        <v>0.92700000000000005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2277</v>
      </c>
      <c r="B1" s="1353"/>
      <c r="C1" s="1354"/>
      <c r="D1" s="1352"/>
      <c r="E1" s="3034"/>
      <c r="F1" s="3034"/>
      <c r="G1" s="2897"/>
      <c r="H1" s="3034"/>
      <c r="I1" s="3034"/>
      <c r="J1" s="3034"/>
      <c r="K1" s="3035">
        <f>MATCH(C1,'数据-取费表'!A6:A16,0)+5</f>
        <v>8</v>
      </c>
    </row>
    <row r="2" spans="1:33" ht="18" customHeight="1">
      <c r="A2" s="207" t="s">
        <v>2145</v>
      </c>
      <c r="B2" s="210">
        <f ca="1">C32</f>
        <v>-13</v>
      </c>
      <c r="C2" s="282" t="s">
        <v>2278</v>
      </c>
      <c r="D2" s="282"/>
      <c r="E2" s="3034"/>
      <c r="F2" s="3034"/>
      <c r="G2" s="3034"/>
      <c r="H2" s="3034"/>
      <c r="I2" s="3034"/>
      <c r="J2" s="3034"/>
      <c r="K2" s="3034"/>
    </row>
    <row r="3" spans="1:33" ht="18" customHeight="1" thickBot="1">
      <c r="A3" s="209" t="s">
        <v>2147</v>
      </c>
      <c r="B3" s="210">
        <f ca="1">ROUND(B2*10000/IF(C1="",'数据-汇总表'!E3,INDIRECT("'数据-取费表'!K"&amp;$K$1)),0)</f>
        <v>-114</v>
      </c>
      <c r="C3" s="282" t="s">
        <v>2279</v>
      </c>
      <c r="D3" s="282"/>
      <c r="E3" s="3034"/>
      <c r="F3" s="3034"/>
      <c r="G3" s="3034"/>
      <c r="H3" s="3034"/>
      <c r="I3" s="3034"/>
      <c r="J3" s="3034"/>
      <c r="K3" s="3034"/>
    </row>
    <row r="4" spans="1:33" s="893" customFormat="1" ht="16.5" customHeight="1">
      <c r="A4" s="890" t="s">
        <v>2280</v>
      </c>
      <c r="B4" s="891"/>
      <c r="C4" s="933">
        <f>SUM(C8:K8)</f>
        <v>0</v>
      </c>
      <c r="D4" s="891"/>
      <c r="E4" s="891"/>
      <c r="F4" s="891"/>
      <c r="G4" s="891"/>
      <c r="H4" s="891"/>
      <c r="I4" s="891"/>
      <c r="J4" s="891"/>
      <c r="K4" s="892"/>
    </row>
    <row r="5" spans="1:33" s="897" customFormat="1" ht="24.75">
      <c r="A5" s="894" t="s">
        <v>2281</v>
      </c>
      <c r="B5" s="895" t="s">
        <v>2282</v>
      </c>
      <c r="C5" s="2046" t="s">
        <v>2283</v>
      </c>
      <c r="D5" s="2046" t="s">
        <v>2284</v>
      </c>
      <c r="E5" s="2046" t="s">
        <v>2285</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2289</v>
      </c>
      <c r="B8" s="169" t="s">
        <v>2290</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2299</v>
      </c>
      <c r="C12" s="24">
        <f ca="1">ROUND(C11*F12,0)</f>
        <v>0</v>
      </c>
      <c r="D12" s="910"/>
      <c r="E12" s="335"/>
      <c r="F12" s="913">
        <f>'数据-取费表'!B33</f>
        <v>0.05</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v>
      </c>
      <c r="G13" s="8" t="s">
        <v>2302</v>
      </c>
      <c r="H13" s="905"/>
      <c r="I13" s="905"/>
      <c r="J13" s="905"/>
      <c r="K13" s="906"/>
    </row>
    <row r="14" spans="1:33" s="914" customFormat="1" ht="13.5" customHeight="1">
      <c r="A14" s="908" t="s">
        <v>1303</v>
      </c>
      <c r="B14" s="909" t="s">
        <v>2303</v>
      </c>
      <c r="C14" s="24">
        <f ca="1">ROUND(D14*E14*F11/10000,0)</f>
        <v>0</v>
      </c>
      <c r="D14" s="955">
        <f ca="1">IF(C1="",'数据-汇总表'!E3,INDIRECT("'数据-取费表'!K"&amp;$K$1)+INDIRECT("'数据-取费表'!S"&amp;$K$1))</f>
        <v>1141.77</v>
      </c>
      <c r="E14" s="24">
        <f>'数据-取费表'!B35</f>
        <v>200</v>
      </c>
      <c r="F14" s="913"/>
      <c r="G14" s="8" t="s">
        <v>2304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f ca="1">ROUND(C11*F15,0)</f>
        <v>0</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1141.77</v>
      </c>
      <c r="E17" s="24">
        <f>'数据-取费表'!B32</f>
        <v>0</v>
      </c>
      <c r="F17" s="915"/>
      <c r="G17" s="136" t="s">
        <v>2309</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11</v>
      </c>
      <c r="D18" s="955"/>
      <c r="E18" s="24"/>
      <c r="F18" s="913"/>
      <c r="G18" s="2048"/>
      <c r="H18" s="1349"/>
      <c r="I18" s="2049" t="s">
        <v>2311</v>
      </c>
      <c r="J18" s="916"/>
      <c r="K18" s="917"/>
    </row>
    <row r="19" spans="1:33" s="912" customFormat="1" ht="13.5" customHeight="1">
      <c r="A19" s="908" t="s">
        <v>805</v>
      </c>
      <c r="B19" s="909" t="s">
        <v>2312</v>
      </c>
      <c r="C19" s="24">
        <f ca="1">ROUND(D19*E19/10000,0)</f>
        <v>0</v>
      </c>
      <c r="D19" s="955">
        <f ca="1">IF(C1="",'数据-汇总表'!E5,IF(INDIRECT("'数据-取费表'!c"&amp;$K$1)="住宅",INDIRECT("'数据-取费表'!k"&amp;$K$1),0))</f>
        <v>0</v>
      </c>
      <c r="E19" s="24">
        <f>'数据-取费表'!B27</f>
        <v>200</v>
      </c>
      <c r="F19" s="913"/>
      <c r="G19" s="15"/>
      <c r="H19" s="1351"/>
      <c r="I19" s="918"/>
      <c r="J19" s="918"/>
      <c r="K19" s="919"/>
    </row>
    <row r="20" spans="1:33" s="912" customFormat="1" ht="13.5" customHeight="1">
      <c r="A20" s="908" t="s">
        <v>806</v>
      </c>
      <c r="B20" s="909" t="s">
        <v>2313</v>
      </c>
      <c r="C20" s="24">
        <f ca="1">ROUND(D20*E20/10000,0)</f>
        <v>11</v>
      </c>
      <c r="D20" s="955">
        <f ca="1">IF(C1="",'数据-汇总表'!E6,IF(INDIRECT("'数据-取费表'!c"&amp;$K$1)="住宅",INDIRECT("'数据-取费表'!s"&amp;$K$1),INDIRECT("'数据-取费表'!k"&amp;$K$1)+INDIRECT("'数据-取费表'!s"&amp;$K$1)))</f>
        <v>1141.77</v>
      </c>
      <c r="E20" s="24">
        <f>'数据-取费表'!B28</f>
        <v>100</v>
      </c>
      <c r="F20" s="913"/>
      <c r="G20" s="15"/>
      <c r="H20" s="918"/>
      <c r="I20" s="918"/>
      <c r="J20" s="918"/>
      <c r="K20" s="919"/>
    </row>
    <row r="21" spans="1:33" s="912" customFormat="1" ht="13.5" customHeight="1">
      <c r="A21" s="898" t="s">
        <v>802</v>
      </c>
      <c r="B21" s="922" t="s">
        <v>2314</v>
      </c>
      <c r="C21" s="923">
        <f ca="1">C16+C17+C18</f>
        <v>11</v>
      </c>
      <c r="D21" s="924"/>
      <c r="E21" s="287"/>
      <c r="F21" s="287"/>
      <c r="G21" s="136" t="s">
        <v>2315</v>
      </c>
      <c r="H21" s="916"/>
      <c r="I21" s="916"/>
      <c r="J21" s="916"/>
      <c r="K21" s="917"/>
    </row>
    <row r="22" spans="1:33" s="912" customFormat="1" ht="13.5" customHeight="1">
      <c r="A22" s="898" t="s">
        <v>2287</v>
      </c>
      <c r="B22" s="922" t="s">
        <v>2316</v>
      </c>
      <c r="C22" s="923">
        <f ca="1">ROUND(C21*F22,0)</f>
        <v>0</v>
      </c>
      <c r="D22" s="287"/>
      <c r="E22" s="287"/>
      <c r="F22" s="925">
        <f>'数据-取费表'!B37</f>
        <v>2.5000000000000001E-2</v>
      </c>
      <c r="G22" s="8" t="s">
        <v>2317</v>
      </c>
      <c r="H22" s="905"/>
      <c r="I22" s="905"/>
      <c r="J22" s="905"/>
      <c r="K22" s="906"/>
    </row>
    <row r="23" spans="1:33" s="912" customFormat="1" ht="13.5" customHeight="1">
      <c r="A23" s="898" t="s">
        <v>2289</v>
      </c>
      <c r="B23" s="922" t="s">
        <v>2318</v>
      </c>
      <c r="C23" s="923">
        <f ca="1">ROUND(C4*F23*F11,0)</f>
        <v>0</v>
      </c>
      <c r="D23" s="287"/>
      <c r="E23" s="287"/>
      <c r="F23" s="925">
        <f>'数据-取费表'!B38</f>
        <v>2.5000000000000001E-2</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2325</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2326</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2327</v>
      </c>
      <c r="B28" s="2051" t="s">
        <v>2328</v>
      </c>
      <c r="C28" s="293">
        <f ca="1">C30</f>
        <v>2</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2329</v>
      </c>
      <c r="C29" s="290">
        <f ca="1">ROUND((1+C24)*F28*'数据-取费表'!B24/'数据-取费表'!B20,4)</f>
        <v>0</v>
      </c>
      <c r="D29" s="290"/>
      <c r="E29" s="291"/>
      <c r="F29" s="296"/>
      <c r="G29" s="136" t="s">
        <v>2330</v>
      </c>
      <c r="H29" s="916"/>
      <c r="I29" s="916"/>
      <c r="J29" s="916"/>
      <c r="K29" s="917"/>
    </row>
    <row r="30" spans="1:33" s="297" customFormat="1" ht="13.5" customHeight="1">
      <c r="A30" s="908" t="s">
        <v>804</v>
      </c>
      <c r="B30" s="931" t="s">
        <v>2331</v>
      </c>
      <c r="C30" s="298">
        <f ca="1">ROUND((C21+C22+C23)*F28,0)</f>
        <v>2</v>
      </c>
      <c r="D30" s="290"/>
      <c r="E30" s="291"/>
      <c r="F30" s="296"/>
      <c r="G30" s="136"/>
      <c r="H30" s="916"/>
      <c r="I30" s="916"/>
      <c r="J30" s="916"/>
      <c r="K30" s="917"/>
    </row>
    <row r="31" spans="1:33" s="912" customFormat="1" ht="13.5" customHeight="1" thickBot="1">
      <c r="A31" s="2052" t="s">
        <v>2332</v>
      </c>
      <c r="B31" s="942" t="s">
        <v>2333</v>
      </c>
      <c r="C31" s="943">
        <f>ROUND(C4*F31/(1+'数据-取费表'!C42),0)</f>
        <v>0</v>
      </c>
      <c r="D31" s="944"/>
      <c r="E31" s="945"/>
      <c r="F31" s="946">
        <f>'数据-取费表'!B41</f>
        <v>5.6000000000000001E-2</v>
      </c>
      <c r="G31" s="947" t="s">
        <v>2334</v>
      </c>
      <c r="H31" s="948"/>
      <c r="I31" s="948"/>
      <c r="J31" s="948"/>
      <c r="K31" s="949"/>
    </row>
    <row r="32" spans="1:33" s="907" customFormat="1" ht="13.5" customHeight="1" thickBot="1">
      <c r="A32" s="937" t="s">
        <v>2335</v>
      </c>
      <c r="B32" s="938"/>
      <c r="C32" s="939">
        <f ca="1">ROUND((C4-C21-C22-C23-C25-C28-C31)/(1+C24+D25+D28),0)</f>
        <v>-13</v>
      </c>
      <c r="D32" s="938"/>
      <c r="E32" s="938"/>
      <c r="F32" s="938"/>
      <c r="G32" s="940" t="s">
        <v>2336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8</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#DIV/0!</v>
      </c>
      <c r="C2" s="1571" t="s">
        <v>1481</v>
      </c>
      <c r="D2" s="1571"/>
      <c r="E2" s="1572"/>
      <c r="F2" s="1573"/>
      <c r="G2" s="2932"/>
      <c r="H2" s="2921"/>
      <c r="I2" s="2921"/>
      <c r="J2" s="2921"/>
      <c r="K2" s="2922"/>
      <c r="L2" s="2921"/>
      <c r="M2" s="2921"/>
    </row>
    <row r="3" spans="1:37" ht="18" customHeight="1" thickBot="1">
      <c r="A3" s="1574" t="s">
        <v>1482</v>
      </c>
      <c r="B3" s="1575">
        <f ca="1">IF(ISERROR(B2*10000/F43),0,ROUND(B2*10000/F43,0))</f>
        <v>0</v>
      </c>
      <c r="C3" s="1571" t="s">
        <v>1483</v>
      </c>
      <c r="D3" s="1571"/>
      <c r="E3" s="1572"/>
      <c r="F3" s="1573"/>
      <c r="G3" s="2932"/>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0</v>
      </c>
      <c r="D5" s="1548" t="s">
        <v>1367</v>
      </c>
      <c r="E5" s="1203"/>
      <c r="F5" s="1204"/>
      <c r="G5" s="1568"/>
      <c r="H5" s="305">
        <v>1</v>
      </c>
      <c r="I5" s="306" t="s">
        <v>1366</v>
      </c>
      <c r="J5" s="1202">
        <f ca="1">J6+J10+J12</f>
        <v>0</v>
      </c>
      <c r="K5" s="1548" t="s">
        <v>1367</v>
      </c>
      <c r="L5" s="1203"/>
      <c r="M5" s="1204"/>
    </row>
    <row r="6" spans="1:37" ht="18" customHeight="1">
      <c r="A6" s="1201" t="s">
        <v>1003</v>
      </c>
      <c r="B6" s="3297" t="s">
        <v>1368</v>
      </c>
      <c r="C6" s="1206">
        <f ca="1">ROUND(F6*F8*F7*(1-F9)/10000,0)</f>
        <v>0</v>
      </c>
      <c r="D6" s="160" t="s">
        <v>2847</v>
      </c>
      <c r="E6" s="308" t="s">
        <v>1370</v>
      </c>
      <c r="F6" s="309">
        <f ca="1">INDIRECT("'数据-取费表'!u"&amp;$G$1)</f>
        <v>0</v>
      </c>
      <c r="G6" s="1568"/>
      <c r="H6" s="1201" t="s">
        <v>1003</v>
      </c>
      <c r="I6" s="3297" t="s">
        <v>1368</v>
      </c>
      <c r="J6" s="307">
        <f ca="1">ROUND(M6*M8*M7*(1-M9)/10000,0)</f>
        <v>0</v>
      </c>
      <c r="K6" s="160" t="s">
        <v>2846</v>
      </c>
      <c r="L6" s="308" t="s">
        <v>1370</v>
      </c>
      <c r="M6" s="309">
        <f ca="1">INDIRECT("'数据-取费表'!z"&amp;$G$1)</f>
        <v>0</v>
      </c>
    </row>
    <row r="7" spans="1:37" ht="18" customHeight="1">
      <c r="A7" s="1205"/>
      <c r="B7" s="3298"/>
      <c r="C7" s="1207"/>
      <c r="D7" s="313"/>
      <c r="E7" s="1208" t="s">
        <v>1371</v>
      </c>
      <c r="F7" s="309">
        <f ca="1">IF(INDIRECT("'数据-取费表'!ah"&amp;$G$1)="",INDIRECT("'数据-取费表'!k"&amp;$G$1),INDIRECT("'数据-取费表'!ah"&amp;$G$1))</f>
        <v>0</v>
      </c>
      <c r="G7" s="1568"/>
      <c r="H7" s="310"/>
      <c r="I7" s="3298"/>
      <c r="J7" s="312"/>
      <c r="K7" s="313"/>
      <c r="L7" s="308" t="s">
        <v>1371</v>
      </c>
      <c r="M7" s="309">
        <f ca="1">F7</f>
        <v>0</v>
      </c>
    </row>
    <row r="8" spans="1:37" ht="18" customHeight="1">
      <c r="A8" s="310"/>
      <c r="B8" s="3298"/>
      <c r="C8" s="312"/>
      <c r="D8" s="313"/>
      <c r="E8" s="308" t="s">
        <v>1372</v>
      </c>
      <c r="F8" s="309">
        <f ca="1">INDIRECT("'数据-取费表'!ai"&amp;$G$1)</f>
        <v>0</v>
      </c>
      <c r="G8" s="1568"/>
      <c r="H8" s="310"/>
      <c r="I8" s="3298"/>
      <c r="J8" s="312"/>
      <c r="K8" s="313"/>
      <c r="L8" s="308" t="s">
        <v>1372</v>
      </c>
      <c r="M8" s="309">
        <f ca="1">INDIRECT("'数据-取费表'!ai"&amp;$G$1)</f>
        <v>0</v>
      </c>
    </row>
    <row r="9" spans="1:37" ht="18" customHeight="1">
      <c r="A9" s="310"/>
      <c r="B9" s="3299"/>
      <c r="C9" s="312"/>
      <c r="D9" s="313"/>
      <c r="E9" s="308" t="s">
        <v>1373</v>
      </c>
      <c r="F9" s="318">
        <f ca="1">INDIRECT("'数据-取费表'!w"&amp;$G$1)</f>
        <v>0</v>
      </c>
      <c r="G9" s="1568"/>
      <c r="H9" s="310"/>
      <c r="I9" s="329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2855</v>
      </c>
      <c r="E10" s="319" t="s">
        <v>1375</v>
      </c>
      <c r="F10" s="1276"/>
      <c r="G10" s="1568"/>
      <c r="H10" s="1201" t="s">
        <v>1007</v>
      </c>
      <c r="I10" s="1549" t="s">
        <v>1374</v>
      </c>
      <c r="J10" s="307">
        <f ca="1">ROUND(IF(M10="押一",J6/12*M11,IF(M10="押二",J6/12*2*M11,IF(M10="押三",J6/12*3*M11,J11*M11))),0)</f>
        <v>0</v>
      </c>
      <c r="K10" s="1550" t="s">
        <v>2854</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ROUND(F17*(F43+INDIRECT("'数据-取费表'!S"&amp;$G$1))/10000,0)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2.5000000000000001E-2</v>
      </c>
      <c r="G20" s="1580"/>
      <c r="H20" s="1113" t="s">
        <v>1354</v>
      </c>
      <c r="I20" s="160" t="s">
        <v>1406</v>
      </c>
      <c r="J20" s="25">
        <f ca="1">ROUND(M20*M21/10000,2)</f>
        <v>0</v>
      </c>
      <c r="K20" s="330" t="s">
        <v>1407</v>
      </c>
      <c r="L20" s="308" t="s">
        <v>1408</v>
      </c>
      <c r="M20" s="331">
        <f>'数据-取费表'!B52</f>
        <v>24</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2.5000000000000001E-2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3.85E-2</v>
      </c>
      <c r="G24" s="1580"/>
      <c r="H24" s="1249" t="s">
        <v>1358</v>
      </c>
      <c r="I24" s="1250" t="s">
        <v>1404</v>
      </c>
      <c r="J24" s="1251">
        <f ca="1">ROUND(J5*M24,1)</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3"/>
      <c r="I30" s="1582"/>
      <c r="J30" s="1583"/>
      <c r="K30" s="2698"/>
      <c r="L30" s="2924"/>
      <c r="M30" s="2925"/>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6" t="s">
        <v>3054</v>
      </c>
      <c r="I31" s="1582"/>
      <c r="J31" s="1583"/>
      <c r="K31" s="2698"/>
      <c r="L31" s="2924"/>
      <c r="M31" s="2925"/>
    </row>
    <row r="32" spans="1:37" ht="18" customHeight="1">
      <c r="A32" s="1113" t="s">
        <v>1002</v>
      </c>
      <c r="B32" s="308" t="s">
        <v>1398</v>
      </c>
      <c r="C32" s="24">
        <f ca="1">IF(项目基本情况!B11="自然人","——",ROUND(C6*F32/(1+'数据-取费表'!C42),2))</f>
        <v>0</v>
      </c>
      <c r="D32" s="1528" t="s">
        <v>1399</v>
      </c>
      <c r="E32" s="308" t="s">
        <v>1387</v>
      </c>
      <c r="F32" s="337">
        <f>'数据-取费表'!B41</f>
        <v>5.6000000000000001E-2</v>
      </c>
      <c r="G32" s="1568"/>
      <c r="H32" s="2923"/>
      <c r="I32" s="1582"/>
      <c r="J32" s="1583"/>
      <c r="K32" s="2698"/>
      <c r="L32" s="2924"/>
      <c r="M32" s="2925"/>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26"/>
      <c r="I33" s="1582"/>
      <c r="J33" s="1583"/>
      <c r="K33" s="2927"/>
      <c r="L33" s="2926"/>
      <c r="M33" s="2926"/>
    </row>
    <row r="34" spans="1:18" ht="18" customHeight="1">
      <c r="A34" s="1201" t="s">
        <v>1354</v>
      </c>
      <c r="B34" s="160" t="s">
        <v>1406</v>
      </c>
      <c r="C34" s="25">
        <f ca="1">IF(项目基本情况!B11="自然人","——",ROUND(F34*F35/10000,2))</f>
        <v>0</v>
      </c>
      <c r="D34" s="330" t="s">
        <v>1407</v>
      </c>
      <c r="E34" s="308" t="s">
        <v>1408</v>
      </c>
      <c r="F34" s="331">
        <f>'数据-取费表'!B52</f>
        <v>24</v>
      </c>
      <c r="G34" s="1568"/>
      <c r="H34" s="2923"/>
      <c r="I34" s="1582"/>
      <c r="J34" s="1583"/>
      <c r="K34" s="2928"/>
      <c r="L34" s="2929"/>
      <c r="M34" s="2929"/>
    </row>
    <row r="35" spans="1:18" ht="18" customHeight="1">
      <c r="A35" s="1263"/>
      <c r="B35" s="1261"/>
      <c r="C35" s="29"/>
      <c r="D35" s="333"/>
      <c r="E35" s="308" t="s">
        <v>1412</v>
      </c>
      <c r="F35" s="309">
        <f ca="1">INDIRECT("'数据-取费表'!r"&amp;$G$1)</f>
        <v>0</v>
      </c>
      <c r="G35" s="1568"/>
      <c r="H35" s="2923"/>
      <c r="I35" s="1582"/>
      <c r="J35" s="1583"/>
      <c r="K35" s="2927"/>
      <c r="L35" s="2926"/>
      <c r="M35" s="2926"/>
    </row>
    <row r="36" spans="1:18" ht="18" customHeight="1">
      <c r="A36" s="1262" t="s">
        <v>1007</v>
      </c>
      <c r="B36" s="308" t="s">
        <v>1414</v>
      </c>
      <c r="C36" s="24">
        <f ca="1">ROUND(C29*F36,1)</f>
        <v>0</v>
      </c>
      <c r="D36" s="1528" t="s">
        <v>1447</v>
      </c>
      <c r="E36" s="308" t="s">
        <v>1387</v>
      </c>
      <c r="F36" s="334">
        <f ca="1">INDIRECT("'数据-取费表'!Ak"&amp;$G$1)</f>
        <v>0</v>
      </c>
      <c r="G36" s="1568"/>
      <c r="H36" s="2926"/>
      <c r="I36" s="1582"/>
      <c r="J36" s="1583"/>
      <c r="K36" s="2767"/>
      <c r="L36" s="2926"/>
      <c r="M36" s="2926"/>
    </row>
    <row r="37" spans="1:18" ht="18" customHeight="1">
      <c r="A37" s="1113" t="s">
        <v>1043</v>
      </c>
      <c r="B37" s="308" t="s">
        <v>1418</v>
      </c>
      <c r="C37" s="24">
        <f ca="1">ROUND(C13*F37,1)</f>
        <v>0</v>
      </c>
      <c r="D37" s="1528" t="s">
        <v>1419</v>
      </c>
      <c r="E37" s="308" t="s">
        <v>1420</v>
      </c>
      <c r="F37" s="336">
        <f ca="1">INDIRECT("'数据-取费表'!Al"&amp;$G$1)</f>
        <v>0</v>
      </c>
      <c r="G37" s="1568"/>
      <c r="H37" s="2926"/>
      <c r="I37" s="1582"/>
      <c r="J37" s="1583"/>
      <c r="K37" s="2767"/>
      <c r="L37" s="2926"/>
      <c r="M37" s="2926"/>
    </row>
    <row r="38" spans="1:18" ht="18" customHeight="1" thickBot="1">
      <c r="A38" s="1249" t="s">
        <v>1358</v>
      </c>
      <c r="B38" s="1250" t="s">
        <v>1404</v>
      </c>
      <c r="C38" s="1251">
        <f ca="1">ROUND(C5*F38,1)</f>
        <v>0</v>
      </c>
      <c r="D38" s="1252" t="s">
        <v>1424</v>
      </c>
      <c r="E38" s="1250" t="s">
        <v>1420</v>
      </c>
      <c r="F38" s="1246">
        <f ca="1">INDIRECT("'数据-取费表'!Am"&amp;$G$1)</f>
        <v>0</v>
      </c>
      <c r="G38" s="1568"/>
      <c r="H38" s="2926"/>
      <c r="I38" s="1582"/>
      <c r="J38" s="1583"/>
      <c r="K38" s="2930"/>
      <c r="L38" s="2926"/>
      <c r="M38" s="2926"/>
    </row>
    <row r="39" spans="1:18" ht="24.6" customHeight="1" thickTop="1">
      <c r="A39" s="1239" t="s">
        <v>999</v>
      </c>
      <c r="B39" s="1254" t="s">
        <v>1448</v>
      </c>
      <c r="C39" s="316">
        <f ca="1">C5-C30</f>
        <v>0</v>
      </c>
      <c r="D39" s="1255" t="s">
        <v>1449</v>
      </c>
      <c r="E39" s="1256"/>
      <c r="F39" s="1257"/>
      <c r="G39" s="1568"/>
      <c r="H39" s="2926"/>
      <c r="I39" s="1582"/>
      <c r="J39" s="1583"/>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7"/>
      <c r="L41" s="1353"/>
      <c r="M41" s="1353"/>
    </row>
    <row r="42" spans="1:18" ht="18" customHeight="1">
      <c r="A42" s="314"/>
      <c r="B42" s="315"/>
      <c r="C42" s="316"/>
      <c r="D42" s="333"/>
      <c r="E42" s="308" t="s">
        <v>1442</v>
      </c>
      <c r="F42" s="318">
        <f ca="1">INDIRECT("'数据-取费表'!v"&amp;$G$1)</f>
        <v>0</v>
      </c>
      <c r="G42" s="1568"/>
      <c r="H42" s="1353"/>
      <c r="I42" s="1582"/>
      <c r="J42" s="1583"/>
      <c r="K42" s="2767"/>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8"/>
      <c r="H43" s="1353"/>
      <c r="I43" s="1353"/>
      <c r="J43" s="1353"/>
      <c r="K43" s="2767"/>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1"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ROUND(F49*F51*F50*(1-F52)/10000,0)</f>
        <v>0</v>
      </c>
      <c r="D49" s="1186" t="s">
        <v>2848</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278"/>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24.75" thickBot="1">
      <c r="A53" s="1314" t="s">
        <v>1105</v>
      </c>
      <c r="B53" s="1557" t="s">
        <v>1374</v>
      </c>
      <c r="C53" s="322">
        <f ca="1">ROUND(IF(F53="押一",C49/12*F11,IF(F53="押二",C49/12*2*F11,IF(F53="押三",C49/12*3*F11,C54*F11))),0)</f>
        <v>0</v>
      </c>
      <c r="D53" s="1550" t="s">
        <v>2854</v>
      </c>
      <c r="E53" s="319" t="s">
        <v>1375</v>
      </c>
      <c r="F53" s="1276"/>
      <c r="I53" s="1623" t="s">
        <v>1512</v>
      </c>
      <c r="J53" s="2386">
        <f ca="1">IF(M47="住宅",IF(D1="——",MAX(J51,L48),MAX(J51,L48-'数据-取费表'!B24)),IF(D1="——",MIN(J51,L48),MIN(J51,L48-'数据-取费表'!B24)))</f>
        <v>0</v>
      </c>
      <c r="K53" s="3295" t="s">
        <v>1513</v>
      </c>
      <c r="L53" s="3296"/>
      <c r="O53" s="1602" t="s">
        <v>1014</v>
      </c>
      <c r="P53" s="1603" t="s">
        <v>1514</v>
      </c>
      <c r="Q53" s="1604" t="e">
        <f ca="1">Q47+Q48</f>
        <v>#DIV/0!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24</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ROUND(C48*F66,1)</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c r="O70" s="1612" t="s">
        <v>1017</v>
      </c>
      <c r="P70" s="1651" t="s">
        <v>1550</v>
      </c>
      <c r="Q70" s="1604">
        <f ca="1">C13</f>
        <v>0</v>
      </c>
      <c r="R70" s="1604" t="s">
        <v>1494</v>
      </c>
    </row>
    <row r="71" spans="1:18" s="1568" customFormat="1" ht="13.5" thickBot="1">
      <c r="A71" s="1102" t="s">
        <v>1001</v>
      </c>
      <c r="B71" s="1103" t="s">
        <v>1452</v>
      </c>
      <c r="C71" s="342" t="e">
        <f ca="1">ROUND(C68*10000/F71,0)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5" priority="56">
      <formula>$L$48&gt;$J$51</formula>
    </cfRule>
  </conditionalFormatting>
  <conditionalFormatting sqref="I55 I60">
    <cfRule type="expression" dxfId="194" priority="57">
      <formula>$J$51&gt;$L$48</formula>
    </cfRule>
  </conditionalFormatting>
  <conditionalFormatting sqref="C11">
    <cfRule type="expression" dxfId="193" priority="3">
      <formula>$F$10="自定义"</formula>
    </cfRule>
  </conditionalFormatting>
  <conditionalFormatting sqref="J11">
    <cfRule type="expression" dxfId="192" priority="2">
      <formula>$M$10="自定义"</formula>
    </cfRule>
  </conditionalFormatting>
  <conditionalFormatting sqref="C54">
    <cfRule type="expression" dxfId="19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 zoomScaleNormal="100" zoomScaleSheetLayoutView="100" zoomScalePageLayoutView="80" workbookViewId="0">
      <selection activeCell="G20" sqref="G20"/>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3085</v>
      </c>
      <c r="D1" s="1933"/>
      <c r="E1" s="1933"/>
      <c r="F1" s="1935" t="s">
        <v>1949</v>
      </c>
      <c r="G1" s="1746" t="s">
        <v>3077</v>
      </c>
      <c r="H1" s="1936" t="str">
        <f>IF(G1="现房","——","估价对象范围")</f>
        <v>——</v>
      </c>
      <c r="I1" s="1937"/>
    </row>
    <row r="2" spans="1:12" ht="21.75" customHeight="1" thickBot="1">
      <c r="A2" s="3265" t="str">
        <f>项目基本情况!S2</f>
        <v>北京市西城区西直门外大街1号院2号楼17层19C5-19C13共9套办公用房房地产</v>
      </c>
      <c r="B2" s="3266"/>
      <c r="C2" s="3266"/>
      <c r="D2" s="3266"/>
      <c r="E2" s="3266"/>
      <c r="F2" s="3266"/>
      <c r="G2" s="3266"/>
      <c r="H2" s="3266"/>
      <c r="I2" s="3267"/>
    </row>
    <row r="3" spans="1:12" ht="12.75">
      <c r="A3" s="3269" t="s">
        <v>1950</v>
      </c>
      <c r="B3" s="3270"/>
      <c r="C3" s="3270"/>
      <c r="D3" s="3270"/>
      <c r="E3" s="3270"/>
      <c r="F3" s="3270"/>
      <c r="G3" s="3270"/>
      <c r="H3" s="3270"/>
      <c r="I3" s="3270"/>
    </row>
    <row r="4" spans="1:12" ht="14.25">
      <c r="A4" s="1940" t="s">
        <v>1951</v>
      </c>
      <c r="B4" s="1941" t="s">
        <v>1952</v>
      </c>
      <c r="C4" s="1942" t="s">
        <v>3107</v>
      </c>
      <c r="D4" s="1942" t="s">
        <v>3106</v>
      </c>
      <c r="E4" s="3274" t="s">
        <v>1953</v>
      </c>
      <c r="F4" s="3275"/>
      <c r="G4" s="3275"/>
      <c r="H4" s="3275"/>
      <c r="I4" s="3276"/>
      <c r="K4" s="151" t="str">
        <f>IF(ISNUMBER(FIND("比较法",'结果表 (17层19C5)'!C4)),"比较法",IF(ISNUMBER(FIND("成本法",'结果表 (17层19C5)'!C4)),"成本法",IF(ISNUMBER(FIND("假设开发法",'结果表 (17层19C5)'!C4)),"假设开发法",IF(ISNUMBER(FIND("收益法",'结果表 (17层19C5)'!C4)),"收益法","基准地价系数修正法"))))</f>
        <v>比较法</v>
      </c>
      <c r="L4" s="151" t="str">
        <f>IF(ISNUMBER(FIND("比较法",'结果表 (17层19C5)'!D4)),"比较法",IF(ISNUMBER(FIND("成本法",'结果表 (17层19C5)'!D4)),"成本法",IF(ISNUMBER(FIND("假设开发法",'结果表 (17层19C5)'!D4)),"假设开发法",IF(ISNUMBER(FIND("收益法",'结果表 (17层19C5)'!D4)),"收益法","基准地价系数修正法"))))</f>
        <v>收益法</v>
      </c>
    </row>
    <row r="5" spans="1:12" ht="12.75">
      <c r="A5" s="3210" t="s">
        <v>1954</v>
      </c>
      <c r="B5" s="3268">
        <v>25</v>
      </c>
      <c r="C5" s="3271"/>
      <c r="D5" s="3259"/>
      <c r="E5" s="136" t="s">
        <v>1955</v>
      </c>
      <c r="F5" s="1943"/>
      <c r="G5" s="1943"/>
      <c r="H5" s="1943"/>
      <c r="I5" s="1557"/>
    </row>
    <row r="6" spans="1:12" ht="12.75">
      <c r="A6" s="3210"/>
      <c r="B6" s="3268"/>
      <c r="C6" s="3273"/>
      <c r="D6" s="3259"/>
      <c r="E6" s="136" t="s">
        <v>1956</v>
      </c>
      <c r="F6" s="1943"/>
      <c r="G6" s="1943"/>
      <c r="H6" s="1943"/>
      <c r="I6" s="1557"/>
    </row>
    <row r="7" spans="1:12" ht="12.75">
      <c r="A7" s="3210"/>
      <c r="B7" s="3268"/>
      <c r="C7" s="3272"/>
      <c r="D7" s="3259"/>
      <c r="E7" s="136" t="s">
        <v>1957</v>
      </c>
      <c r="F7" s="1943"/>
      <c r="G7" s="1943"/>
      <c r="H7" s="1943"/>
      <c r="I7" s="1557"/>
    </row>
    <row r="8" spans="1:12" ht="12.75">
      <c r="A8" s="3210" t="s">
        <v>1958</v>
      </c>
      <c r="B8" s="3268">
        <v>15</v>
      </c>
      <c r="C8" s="3271"/>
      <c r="D8" s="3259"/>
      <c r="E8" s="136" t="s">
        <v>1959</v>
      </c>
      <c r="F8" s="1943"/>
      <c r="G8" s="1943"/>
      <c r="H8" s="1943"/>
      <c r="I8" s="1557"/>
    </row>
    <row r="9" spans="1:12" ht="12.75">
      <c r="A9" s="3210"/>
      <c r="B9" s="3268"/>
      <c r="C9" s="3272"/>
      <c r="D9" s="3259"/>
      <c r="E9" s="136" t="s">
        <v>1960</v>
      </c>
      <c r="F9" s="1943"/>
      <c r="G9" s="1943"/>
      <c r="H9" s="1943"/>
      <c r="I9" s="1557"/>
    </row>
    <row r="10" spans="1:12" ht="12.75">
      <c r="A10" s="3210" t="s">
        <v>1961</v>
      </c>
      <c r="B10" s="3268">
        <v>15</v>
      </c>
      <c r="C10" s="3271"/>
      <c r="D10" s="3259"/>
      <c r="E10" s="136" t="s">
        <v>1962</v>
      </c>
      <c r="F10" s="1943"/>
      <c r="G10" s="1943"/>
      <c r="H10" s="1943"/>
      <c r="I10" s="1557"/>
    </row>
    <row r="11" spans="1:12" ht="12.75">
      <c r="A11" s="3210"/>
      <c r="B11" s="3268"/>
      <c r="C11" s="3272"/>
      <c r="D11" s="3259"/>
      <c r="E11" s="136" t="s">
        <v>1963</v>
      </c>
      <c r="F11" s="1943"/>
      <c r="G11" s="1943"/>
      <c r="H11" s="1943"/>
      <c r="I11" s="1557"/>
    </row>
    <row r="12" spans="1:12" ht="12.75">
      <c r="A12" s="3210" t="s">
        <v>1964</v>
      </c>
      <c r="B12" s="3268">
        <v>15</v>
      </c>
      <c r="C12" s="3271"/>
      <c r="D12" s="3259"/>
      <c r="E12" s="136" t="s">
        <v>1965</v>
      </c>
      <c r="F12" s="1943"/>
      <c r="G12" s="1943"/>
      <c r="H12" s="1943"/>
      <c r="I12" s="1557"/>
    </row>
    <row r="13" spans="1:12" ht="12.75">
      <c r="A13" s="3210"/>
      <c r="B13" s="3268"/>
      <c r="C13" s="3272"/>
      <c r="D13" s="3259"/>
      <c r="E13" s="136" t="s">
        <v>1966</v>
      </c>
      <c r="F13" s="1943"/>
      <c r="G13" s="1943"/>
      <c r="H13" s="1943"/>
      <c r="I13" s="1557"/>
    </row>
    <row r="14" spans="1:12" ht="12.75">
      <c r="A14" s="3210" t="s">
        <v>1967</v>
      </c>
      <c r="B14" s="3268">
        <v>30</v>
      </c>
      <c r="C14" s="3271">
        <v>5</v>
      </c>
      <c r="D14" s="3259">
        <v>5</v>
      </c>
      <c r="E14" s="136" t="s">
        <v>1968</v>
      </c>
      <c r="F14" s="1943"/>
      <c r="G14" s="1943"/>
      <c r="H14" s="1943"/>
      <c r="I14" s="1557"/>
    </row>
    <row r="15" spans="1:12" ht="12.75">
      <c r="A15" s="3210"/>
      <c r="B15" s="3268"/>
      <c r="C15" s="3273"/>
      <c r="D15" s="3259"/>
      <c r="E15" s="136" t="s">
        <v>1969</v>
      </c>
      <c r="F15" s="1943"/>
      <c r="G15" s="1943"/>
      <c r="H15" s="1943"/>
      <c r="I15" s="1557"/>
    </row>
    <row r="16" spans="1:12" ht="12.75">
      <c r="A16" s="3210"/>
      <c r="B16" s="3268"/>
      <c r="C16" s="3272"/>
      <c r="D16" s="3259"/>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90" t="s">
        <v>2870</v>
      </c>
      <c r="F18" s="3291"/>
      <c r="G18" s="3291"/>
      <c r="H18" s="3291"/>
      <c r="I18" s="3291"/>
      <c r="K18" s="308" t="s">
        <v>1975</v>
      </c>
      <c r="L18" s="308">
        <f>IF(C1="",'数据-汇总表'!E3,SUMIF(项目类型,C1,'数据-汇总表'!E17:E26)+SUMIF(项目类型,C1,'数据-汇总表'!I17:I26))</f>
        <v>103.53</v>
      </c>
      <c r="M18" s="308">
        <f>IF(C1="",'数据-汇总表'!E3,SUMIF(项目类型,C1,'数据-汇总表'!E17:E26))</f>
        <v>103.53</v>
      </c>
    </row>
    <row r="19" spans="1:36" ht="15">
      <c r="A19" s="1947" t="s">
        <v>1976</v>
      </c>
      <c r="B19" s="1948" t="s">
        <v>1977</v>
      </c>
      <c r="C19" s="139">
        <f ca="1">SUMIF(INDIRECT("'"&amp;C4&amp;"'"&amp;"!A:A"),'结果表 (17层19C5)'!B19,INDIRECT("'"&amp;C4&amp;"'"&amp;"!B:B"))</f>
        <v>450</v>
      </c>
      <c r="D19" s="140">
        <f ca="1">SUMIF(INDIRECT("'"&amp;D4&amp;"'"&amp;"!A:A"),'结果表 (17层19C5)'!B19,INDIRECT("'"&amp;D4&amp;"'"&amp;"!B:B"))</f>
        <v>410</v>
      </c>
      <c r="E19" s="1947" t="s">
        <v>1978</v>
      </c>
      <c r="F19" s="1948" t="s">
        <v>1977</v>
      </c>
      <c r="G19" s="141">
        <f ca="1">ROUND(C19*$C$18+D19*$D$18,0)</f>
        <v>430</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 (17层19C5)'!B20,INDIRECT("'"&amp;C4&amp;"'"&amp;"!B:B"))</f>
        <v>43502</v>
      </c>
      <c r="D20" s="143">
        <f ca="1">SUMIF(INDIRECT("'"&amp;D4&amp;"'"&amp;"!A:A"),'结果表 (17层19C5)'!B20,INDIRECT("'"&amp;D4&amp;"'"&amp;"!B:B"))</f>
        <v>39612</v>
      </c>
      <c r="E20" s="1950"/>
      <c r="F20" s="1157" t="s">
        <v>1981</v>
      </c>
      <c r="G20" s="144">
        <f ca="1">ROUND(C20*$C$18+D20*$D$18,0)</f>
        <v>41557</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9.7560975609756184E-2</v>
      </c>
      <c r="E22" s="134"/>
      <c r="F22" s="134"/>
      <c r="G22" s="134"/>
      <c r="H22" s="134"/>
      <c r="I22" s="134"/>
    </row>
    <row r="23" spans="1:36" ht="13.5" thickBot="1">
      <c r="A23" s="1933"/>
      <c r="B23" s="1933"/>
      <c r="C23" s="1933"/>
      <c r="D23" s="1933"/>
      <c r="E23" s="134"/>
      <c r="F23" s="134"/>
      <c r="G23" s="134"/>
      <c r="H23" s="134"/>
      <c r="I23" s="134"/>
    </row>
    <row r="24" spans="1:36" ht="14.25">
      <c r="A24" s="3283" t="s">
        <v>1985</v>
      </c>
      <c r="B24" s="1948" t="s">
        <v>1977</v>
      </c>
      <c r="C24" s="141">
        <f>IF(B30=0,0,D30)</f>
        <v>0</v>
      </c>
      <c r="D24" s="1955"/>
      <c r="E24" s="134"/>
      <c r="F24" s="134"/>
      <c r="G24" s="134"/>
      <c r="H24" s="134"/>
      <c r="I24" s="134"/>
    </row>
    <row r="25" spans="1:36" ht="14.25">
      <c r="A25" s="328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2871</v>
      </c>
      <c r="F30" s="134"/>
      <c r="G30" s="134"/>
      <c r="H30" s="134"/>
      <c r="I30" s="134"/>
    </row>
    <row r="31" spans="1:36" s="2527" customFormat="1" ht="26.45" customHeight="1" thickTop="1" thickBot="1">
      <c r="A31" s="2522"/>
      <c r="B31" s="2523"/>
      <c r="C31" s="2523"/>
      <c r="D31" s="2523"/>
      <c r="E31" s="2523"/>
      <c r="F31" s="2523"/>
      <c r="G31" s="2523"/>
      <c r="H31" s="2523"/>
      <c r="I31" s="2524" t="s">
        <v>2872</v>
      </c>
      <c r="J31" s="2915"/>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430</v>
      </c>
      <c r="D32" s="1961" t="s">
        <v>3108</v>
      </c>
      <c r="E32" s="134"/>
      <c r="F32" s="134"/>
      <c r="G32" s="134"/>
      <c r="H32" s="134"/>
      <c r="I32" s="134"/>
    </row>
    <row r="33" spans="1:15" ht="15">
      <c r="A33" s="894" t="s">
        <v>1992</v>
      </c>
      <c r="B33" s="1962"/>
      <c r="C33" s="1963" t="s">
        <v>3109</v>
      </c>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260" t="s">
        <v>1998</v>
      </c>
      <c r="B36" s="1973" t="s">
        <v>1999</v>
      </c>
      <c r="C36" s="150"/>
      <c r="D36" s="1974"/>
      <c r="E36" s="1975"/>
      <c r="F36" s="1976"/>
      <c r="G36" s="134"/>
      <c r="H36" s="134"/>
      <c r="I36" s="134"/>
    </row>
    <row r="37" spans="1:15" ht="15.75" thickBot="1">
      <c r="A37" s="3261"/>
      <c r="B37" s="1860" t="s">
        <v>2000</v>
      </c>
      <c r="C37" s="152"/>
      <c r="D37" s="1301"/>
      <c r="E37" s="1301"/>
      <c r="F37" s="1976"/>
      <c r="G37" s="134"/>
      <c r="H37" s="134"/>
      <c r="I37" s="134"/>
    </row>
    <row r="38" spans="1:15" ht="15.75" thickBot="1">
      <c r="A38" s="3262"/>
      <c r="B38" s="1977" t="s">
        <v>2001</v>
      </c>
      <c r="C38" s="683"/>
      <c r="D38" s="1978" t="s">
        <v>2002</v>
      </c>
      <c r="E38" s="1301"/>
      <c r="F38" s="1976"/>
      <c r="G38" s="134"/>
      <c r="H38" s="134"/>
      <c r="I38" s="134"/>
    </row>
    <row r="39" spans="1:15" ht="15">
      <c r="A39" s="1950" t="s">
        <v>2003</v>
      </c>
      <c r="B39" s="1979" t="s">
        <v>1987</v>
      </c>
      <c r="C39" s="1980" t="s">
        <v>1988</v>
      </c>
      <c r="D39" s="1980" t="s">
        <v>2006</v>
      </c>
      <c r="E39" s="1981" t="s">
        <v>1989</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80" t="s">
        <v>2012</v>
      </c>
      <c r="B45" s="3281"/>
      <c r="C45" s="3282"/>
      <c r="D45" s="160">
        <f ca="1">ROUND(H101*F45,0)</f>
        <v>430</v>
      </c>
      <c r="E45" s="161" t="s">
        <v>2013</v>
      </c>
      <c r="F45" s="162">
        <v>1</v>
      </c>
      <c r="G45" s="163" t="s">
        <v>2014</v>
      </c>
      <c r="H45" s="134"/>
      <c r="I45" s="134"/>
      <c r="J45" s="3197" t="s">
        <v>2015</v>
      </c>
      <c r="K45" s="3197"/>
      <c r="L45" s="3197"/>
      <c r="M45" s="3197"/>
      <c r="N45" s="3197"/>
      <c r="O45" s="3197"/>
    </row>
    <row r="46" spans="1:15" ht="14.25" customHeight="1">
      <c r="A46" s="3277" t="s">
        <v>2016</v>
      </c>
      <c r="B46" s="3278"/>
      <c r="C46" s="3278"/>
      <c r="D46" s="3278"/>
      <c r="E46" s="3278"/>
      <c r="F46" s="3278"/>
      <c r="G46" s="3279"/>
      <c r="H46" s="1992"/>
      <c r="I46" s="164"/>
      <c r="J46" s="3063">
        <v>1</v>
      </c>
      <c r="K46" s="3198" t="s">
        <v>2017</v>
      </c>
      <c r="L46" s="3198"/>
      <c r="M46" s="3199"/>
      <c r="N46" s="3199"/>
      <c r="O46" s="3199"/>
    </row>
    <row r="47" spans="1:15" ht="12" customHeight="1">
      <c r="A47" s="165" t="s">
        <v>2018</v>
      </c>
      <c r="B47" s="166"/>
      <c r="C47" s="167"/>
      <c r="D47" s="1247" t="s">
        <v>2019</v>
      </c>
      <c r="E47" s="308" t="s">
        <v>2020</v>
      </c>
      <c r="F47" s="168" t="s">
        <v>2021</v>
      </c>
      <c r="G47" s="2769" t="s">
        <v>2022</v>
      </c>
      <c r="H47" s="2770"/>
      <c r="I47" s="164"/>
      <c r="J47" s="3063">
        <v>2</v>
      </c>
      <c r="K47" s="3198" t="s">
        <v>2023</v>
      </c>
      <c r="L47" s="3198"/>
      <c r="M47" s="3200">
        <f>'数据-取费表'!B2</f>
        <v>44370</v>
      </c>
      <c r="N47" s="3200"/>
      <c r="O47" s="3200"/>
    </row>
    <row r="48" spans="1:15" ht="25.5">
      <c r="A48" s="3263" t="s">
        <v>2024</v>
      </c>
      <c r="B48" s="3264"/>
      <c r="C48" s="3264"/>
      <c r="D48" s="3060" t="b">
        <f>IF(H48="情况1",0,IF(H48="情况2",D52,IF(H48="情况3",D53,IF(H48="情况4",D54))))</f>
        <v>0</v>
      </c>
      <c r="E48" s="3073" t="str">
        <f>IF(H48="情况4","(销售额-原购置价)×税（费）率","销售额×税（费）率")</f>
        <v>销售额×税（费）率</v>
      </c>
      <c r="F48" s="2771">
        <f>IF(H48="情况1","免征",'数据-取费表'!B41)</f>
        <v>5.6000000000000001E-2</v>
      </c>
      <c r="G48" s="2772" t="s">
        <v>2025</v>
      </c>
      <c r="H48" s="2773"/>
      <c r="I48" s="1992"/>
      <c r="J48" s="3063">
        <v>3</v>
      </c>
      <c r="K48" s="3198" t="s">
        <v>2026</v>
      </c>
      <c r="L48" s="3198"/>
      <c r="M48" s="3201">
        <f ca="1">H101</f>
        <v>430</v>
      </c>
      <c r="N48" s="3201"/>
      <c r="O48" s="3201"/>
    </row>
    <row r="49" spans="1:35" ht="25.5" customHeight="1">
      <c r="A49" s="3072" t="s">
        <v>2027</v>
      </c>
      <c r="B49" s="3246" t="s">
        <v>2028</v>
      </c>
      <c r="C49" s="3246"/>
      <c r="D49" s="1775">
        <v>0</v>
      </c>
      <c r="E49" s="330" t="s">
        <v>2029</v>
      </c>
      <c r="F49" s="3057" t="s">
        <v>34</v>
      </c>
      <c r="G49" s="3229"/>
      <c r="H49" s="2528" t="s">
        <v>2873</v>
      </c>
      <c r="I49" s="2529"/>
      <c r="J49" s="3063">
        <v>4</v>
      </c>
      <c r="K49" s="3198" t="str">
        <f>IF(项目基本情况!E8="房地产抵押价值","房地产抵押价值","抵押担保权已注销时的房地产抵押价值")</f>
        <v>房地产抵押价值</v>
      </c>
      <c r="L49" s="3198"/>
      <c r="M49" s="3201">
        <f ca="1">IF(项目基本情况!E8="房地产抵押价值",H107,H109)</f>
        <v>430</v>
      </c>
      <c r="N49" s="3201"/>
      <c r="O49" s="3201"/>
    </row>
    <row r="50" spans="1:35" ht="25.5" customHeight="1">
      <c r="A50" s="2774"/>
      <c r="B50" s="3246" t="s">
        <v>2030</v>
      </c>
      <c r="C50" s="3246"/>
      <c r="D50" s="2775"/>
      <c r="E50" s="338"/>
      <c r="F50" s="3057"/>
      <c r="G50" s="3230"/>
      <c r="H50" s="2530" t="s">
        <v>2874</v>
      </c>
      <c r="I50" s="2529"/>
      <c r="J50" s="3197" t="s">
        <v>2031</v>
      </c>
      <c r="K50" s="3197"/>
      <c r="L50" s="3197"/>
      <c r="M50" s="3197"/>
      <c r="N50" s="3197"/>
      <c r="O50" s="3197"/>
    </row>
    <row r="51" spans="1:35" ht="20.45" customHeight="1">
      <c r="A51" s="2776"/>
      <c r="B51" s="3246" t="s">
        <v>2032</v>
      </c>
      <c r="C51" s="3246"/>
      <c r="D51" s="1247"/>
      <c r="E51" s="333"/>
      <c r="F51" s="3057"/>
      <c r="G51" s="3231"/>
      <c r="H51" s="2530" t="s">
        <v>2875</v>
      </c>
      <c r="I51" s="2529"/>
      <c r="J51" s="3059" t="s">
        <v>2033</v>
      </c>
      <c r="K51" s="3198" t="s">
        <v>2034</v>
      </c>
      <c r="L51" s="3198"/>
      <c r="M51" s="3059" t="s">
        <v>2035</v>
      </c>
      <c r="N51" s="3059" t="s">
        <v>2036</v>
      </c>
      <c r="O51" s="3059" t="s">
        <v>2037</v>
      </c>
    </row>
    <row r="52" spans="1:35" ht="24" customHeight="1">
      <c r="A52" s="3075" t="s">
        <v>2038</v>
      </c>
      <c r="B52" s="3246" t="s">
        <v>2039</v>
      </c>
      <c r="C52" s="3246"/>
      <c r="D52" s="1247">
        <f ca="1">ROUND(D45*'数据-取费表'!B41/(1+'数据-取费表'!C42),0)</f>
        <v>23</v>
      </c>
      <c r="E52" s="3073" t="s">
        <v>2040</v>
      </c>
      <c r="F52" s="2777">
        <f>'数据-取费表'!B41</f>
        <v>5.6000000000000001E-2</v>
      </c>
      <c r="G52" s="2778"/>
      <c r="H52" s="2767"/>
      <c r="I52" s="1993"/>
      <c r="J52" s="3063">
        <v>1</v>
      </c>
      <c r="K52" s="3223" t="s">
        <v>2041</v>
      </c>
      <c r="L52" s="3223"/>
      <c r="M52" s="2748" t="b">
        <f>D48</f>
        <v>0</v>
      </c>
      <c r="N52" s="3063" t="str">
        <f>E48</f>
        <v>销售额×税（费）率</v>
      </c>
      <c r="O52" s="2749">
        <f>F48</f>
        <v>5.6000000000000001E-2</v>
      </c>
    </row>
    <row r="53" spans="1:35" ht="12" customHeight="1">
      <c r="A53" s="3075" t="s">
        <v>2042</v>
      </c>
      <c r="B53" s="3247" t="s">
        <v>3034</v>
      </c>
      <c r="C53" s="3248"/>
      <c r="D53" s="1247">
        <f ca="1">ROUND(D45*'数据-取费表'!B41/(1+'数据-取费表'!C42),0)</f>
        <v>23</v>
      </c>
      <c r="E53" s="3073" t="s">
        <v>2040</v>
      </c>
      <c r="F53" s="2777">
        <f>'数据-取费表'!B41</f>
        <v>5.6000000000000001E-2</v>
      </c>
      <c r="G53" s="2778"/>
      <c r="H53" s="2767"/>
      <c r="I53" s="1993"/>
      <c r="J53" s="3063">
        <v>2</v>
      </c>
      <c r="K53" s="3223" t="s">
        <v>2043</v>
      </c>
      <c r="L53" s="3223"/>
      <c r="M53" s="2748">
        <f t="shared" ref="M53:O54" ca="1" si="0">D55</f>
        <v>0</v>
      </c>
      <c r="N53" s="3063" t="str">
        <f t="shared" si="0"/>
        <v>销售额×税（费）率</v>
      </c>
      <c r="O53" s="2749" t="str">
        <f t="shared" si="0"/>
        <v>免征</v>
      </c>
    </row>
    <row r="54" spans="1:35" ht="12" customHeight="1">
      <c r="A54" s="3075" t="s">
        <v>2044</v>
      </c>
      <c r="B54" s="3247" t="s">
        <v>3035</v>
      </c>
      <c r="C54" s="3248"/>
      <c r="D54" s="1247">
        <f ca="1">C68</f>
        <v>23</v>
      </c>
      <c r="E54" s="333" t="s">
        <v>2045</v>
      </c>
      <c r="F54" s="2777">
        <f>'数据-取费表'!B41</f>
        <v>5.6000000000000001E-2</v>
      </c>
      <c r="G54" s="2778"/>
      <c r="H54" s="2779"/>
      <c r="I54" s="1993"/>
      <c r="J54" s="3063">
        <v>3</v>
      </c>
      <c r="K54" s="3223" t="s">
        <v>2046</v>
      </c>
      <c r="L54" s="3223"/>
      <c r="M54" s="2748">
        <f t="shared" ca="1" si="0"/>
        <v>244</v>
      </c>
      <c r="N54" s="3063" t="str">
        <f t="shared" si="0"/>
        <v>增值额×税（费）率</v>
      </c>
      <c r="O54" s="2750" t="str">
        <f t="shared" si="0"/>
        <v>免征</v>
      </c>
    </row>
    <row r="55" spans="1:35" ht="24" customHeight="1">
      <c r="A55" s="3286" t="s">
        <v>2047</v>
      </c>
      <c r="B55" s="3264"/>
      <c r="C55" s="3264"/>
      <c r="D55" s="3060">
        <f ca="1">IF(H55="个人住宅",0,ROUND(D45*I55,0))</f>
        <v>0</v>
      </c>
      <c r="E55" s="3073" t="s">
        <v>2048</v>
      </c>
      <c r="F55" s="2777" t="str">
        <f>IF(H55="正常",I55,"免征")</f>
        <v>免征</v>
      </c>
      <c r="G55" s="2778"/>
      <c r="H55" s="2773"/>
      <c r="I55" s="170">
        <f>'数据-取费表'!B49</f>
        <v>5.0000000000000001E-4</v>
      </c>
      <c r="J55" s="3063">
        <f>IF(H59="非个人房产","",4)</f>
        <v>4</v>
      </c>
      <c r="K55" s="3223" t="str">
        <f>IF(H59="非个人房产","——","个人所得税")</f>
        <v>个人所得税</v>
      </c>
      <c r="L55" s="3223"/>
      <c r="M55" s="2751">
        <f ca="1">D59</f>
        <v>4</v>
      </c>
      <c r="N55" s="3064" t="str">
        <f>E59</f>
        <v>差额计税</v>
      </c>
      <c r="O55" s="2752">
        <f>F59</f>
        <v>0.01</v>
      </c>
    </row>
    <row r="56" spans="1:35" ht="24.75">
      <c r="A56" s="3286" t="s">
        <v>2049</v>
      </c>
      <c r="B56" s="3264"/>
      <c r="C56" s="3264"/>
      <c r="D56" s="3060">
        <f ca="1">IF(H56="个人住宅",D57,D58)</f>
        <v>244</v>
      </c>
      <c r="E56" s="3073" t="s">
        <v>2050</v>
      </c>
      <c r="F56" s="2777" t="str">
        <f>IF(H56="正常",F58,"免征")</f>
        <v>免征</v>
      </c>
      <c r="G56" s="2780" t="s">
        <v>2051</v>
      </c>
      <c r="H56" s="2781"/>
      <c r="I56" s="1994"/>
      <c r="J56" s="3063" t="str">
        <f>IF(项目基本情况!K6="上海银行",IF(J55="",4,J55+1),"")</f>
        <v/>
      </c>
      <c r="K56" s="3204" t="str">
        <f>IF(项目基本情况!K6="上海银行","其他处置费用","")</f>
        <v/>
      </c>
      <c r="L56" s="3205"/>
      <c r="M56" s="2748" t="str">
        <f>IF(项目基本情况!K6="上海银行",M69,"")</f>
        <v/>
      </c>
      <c r="N56" s="3204" t="str">
        <f>IF(项目基本情况!K6="上海银行","包含处置中涉及的律师、诉讼、拍卖、评估等费用","")</f>
        <v/>
      </c>
      <c r="O56" s="3207"/>
    </row>
    <row r="57" spans="1:35" ht="12.75">
      <c r="A57" s="3075" t="s">
        <v>2027</v>
      </c>
      <c r="B57" s="3247" t="s">
        <v>2052</v>
      </c>
      <c r="C57" s="3248"/>
      <c r="D57" s="1775">
        <v>0</v>
      </c>
      <c r="E57" s="330" t="s">
        <v>2029</v>
      </c>
      <c r="F57" s="308"/>
      <c r="G57" s="2778"/>
      <c r="H57" s="2782"/>
      <c r="I57" s="1994"/>
      <c r="J57" s="3223">
        <f>IF(AND(J55="",J56=""),4,IF(项目基本情况!K6="上海银行",'结果表 (17层19C5)'!J56+1,'结果表 (17层19C5)'!J55+1))</f>
        <v>5</v>
      </c>
      <c r="K57" s="3223" t="s">
        <v>2053</v>
      </c>
      <c r="L57" s="2753" t="s">
        <v>2054</v>
      </c>
      <c r="M57" s="2754"/>
      <c r="N57" s="2755">
        <f ca="1">SUMIF(M52:M56,"&lt;9e307")</f>
        <v>248</v>
      </c>
      <c r="O57" s="2756"/>
      <c r="P57" s="2916">
        <f ca="1">N57/M49</f>
        <v>0.57674418604651168</v>
      </c>
    </row>
    <row r="58" spans="1:35" ht="24.75">
      <c r="A58" s="3075" t="s">
        <v>2038</v>
      </c>
      <c r="B58" s="3247" t="s">
        <v>2055</v>
      </c>
      <c r="C58" s="3246"/>
      <c r="D58" s="3060">
        <f ca="1">IF(H58="转让取得",C81,C97)</f>
        <v>244</v>
      </c>
      <c r="E58" s="3073" t="s">
        <v>2050</v>
      </c>
      <c r="F58" s="308" t="s">
        <v>34</v>
      </c>
      <c r="G58" s="2778"/>
      <c r="H58" s="2781"/>
      <c r="I58" s="1994"/>
      <c r="J58" s="3223"/>
      <c r="K58" s="3223"/>
      <c r="L58" s="2753" t="s">
        <v>2056</v>
      </c>
      <c r="M58" s="2757"/>
      <c r="N58" s="2758" t="str">
        <f ca="1">NUMBERSTRING(INT(N57*10000),2)&amp;"元整"</f>
        <v>贰佰肆拾捌万元整</v>
      </c>
      <c r="O58" s="2759"/>
    </row>
    <row r="59" spans="1:35" ht="24.75" thickBot="1">
      <c r="A59" s="3227" t="s">
        <v>2057</v>
      </c>
      <c r="B59" s="3228"/>
      <c r="C59" s="3228"/>
      <c r="D59" s="2783">
        <f ca="1">IF(H59="非个人房产","——",IF(H59="个人住宅（满五唯一有凭证）",0,IF(H59="个人其他（无凭证）",ROUND(D45*F59,0),ROUND(C67*F59,0))))</f>
        <v>4</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2051</v>
      </c>
      <c r="H59" s="2532"/>
      <c r="I59" s="2531" t="s">
        <v>2876</v>
      </c>
      <c r="J59" s="3225">
        <f>J57+1</f>
        <v>6</v>
      </c>
      <c r="K59" s="3223" t="s">
        <v>2058</v>
      </c>
      <c r="L59" s="3063" t="s">
        <v>2054</v>
      </c>
      <c r="M59" s="2760"/>
      <c r="N59" s="2761">
        <f ca="1">M49-N57</f>
        <v>182</v>
      </c>
      <c r="O59" s="2762"/>
    </row>
    <row r="60" spans="1:35" ht="12" customHeight="1">
      <c r="A60" s="1995"/>
      <c r="B60" s="1933"/>
      <c r="C60" s="1933"/>
      <c r="D60" s="1933"/>
      <c r="E60" s="1763"/>
      <c r="F60" s="1994"/>
      <c r="G60" s="1994"/>
      <c r="H60" s="1996"/>
      <c r="I60" s="134"/>
      <c r="J60" s="3226"/>
      <c r="K60" s="3223"/>
      <c r="L60" s="2753" t="s">
        <v>2056</v>
      </c>
      <c r="M60" s="2757"/>
      <c r="N60" s="2758" t="str">
        <f ca="1">NUMBERSTRING(INT(N59*10000),2)&amp;"元整"</f>
        <v>壹佰捌拾贰万元整</v>
      </c>
      <c r="O60" s="2759"/>
    </row>
    <row r="61" spans="1:35" ht="13.5" thickBot="1">
      <c r="A61" s="3285" t="s">
        <v>2059</v>
      </c>
      <c r="B61" s="3285"/>
      <c r="C61" s="3285"/>
      <c r="D61" s="3285"/>
      <c r="E61" s="3285"/>
      <c r="F61" s="1994"/>
      <c r="G61" s="1994"/>
      <c r="H61" s="1996"/>
      <c r="I61" s="134"/>
      <c r="J61" s="3063">
        <f>J59+1</f>
        <v>7</v>
      </c>
      <c r="K61" s="3223" t="s">
        <v>2060</v>
      </c>
      <c r="L61" s="3223"/>
      <c r="M61" s="2763"/>
      <c r="N61" s="2764">
        <f ca="1">ROUND(N59*10000/'数据-汇总表'!E3,0)</f>
        <v>1594</v>
      </c>
      <c r="O61" s="2765"/>
    </row>
    <row r="62" spans="1:35" ht="12.75">
      <c r="A62" s="3242" t="s">
        <v>2061</v>
      </c>
      <c r="B62" s="3243"/>
      <c r="C62" s="3068"/>
      <c r="D62" s="3068" t="s">
        <v>2062</v>
      </c>
      <c r="E62" s="171" t="s">
        <v>2063</v>
      </c>
      <c r="F62" s="1994"/>
      <c r="G62" s="1994"/>
      <c r="H62" s="1996"/>
      <c r="I62" s="134"/>
    </row>
    <row r="63" spans="1:35" ht="12.75">
      <c r="A63" s="178" t="s">
        <v>775</v>
      </c>
      <c r="B63" s="172" t="s">
        <v>2064</v>
      </c>
      <c r="C63" s="2787">
        <f ca="1">ROUND((C64+C65)/(1+'数据-取费表'!C42),0)</f>
        <v>410</v>
      </c>
      <c r="D63" s="172"/>
      <c r="E63" s="173"/>
      <c r="F63" s="1994"/>
      <c r="G63" s="1994"/>
      <c r="H63" s="1996"/>
      <c r="I63" s="134"/>
      <c r="J63" s="3206" t="s">
        <v>2065</v>
      </c>
      <c r="K63" s="3061" t="s">
        <v>2066</v>
      </c>
      <c r="L63" s="3061">
        <f ca="1">IF(M49&gt;10000,M49*0.5%,IF(AND(M49&gt;1000,M49&lt;=10000),M49*1%,IF(AND(M49&gt;100,M49&lt;=1000),M49*3%,IF(AND(M49&gt;10,M49&lt;=100),M49*5%,M49*8%))))</f>
        <v>12.9</v>
      </c>
      <c r="M63" s="308">
        <f ca="1">ROUND(L63,1)</f>
        <v>12.9</v>
      </c>
      <c r="N63" s="2766"/>
      <c r="Z63" s="1938"/>
      <c r="AI63" s="1939"/>
    </row>
    <row r="64" spans="1:35" ht="14.25" customHeight="1">
      <c r="A64" s="174" t="s">
        <v>770</v>
      </c>
      <c r="B64" s="175" t="s">
        <v>2067</v>
      </c>
      <c r="C64" s="2788">
        <f ca="1">D45</f>
        <v>430</v>
      </c>
      <c r="D64" s="175" t="s">
        <v>32</v>
      </c>
      <c r="E64" s="177"/>
      <c r="F64" s="1994"/>
      <c r="G64" s="1994"/>
      <c r="H64" s="1996"/>
      <c r="I64" s="134"/>
      <c r="J64" s="3206"/>
      <c r="K64" s="3061" t="s">
        <v>2068</v>
      </c>
      <c r="L64" s="3061">
        <f ca="1">IF(M49&gt;2000,M49*0.5%,IF(AND(M49&gt;1000,M49&lt;=2000),M49*0.6%,IF(AND(M49&gt;500,M49&lt;=1000),M49*0.7%,IF(AND(M49&gt;200,M49&lt;=500),M49*0.8%,IF(AND(M49&gt;100,M49&lt;=200),M49*0.9%,IF(AND(M49&gt;50,M49&lt;=100),M49*1%,IF(AND(M49&gt;20,M49&lt;=50),M49*1.5%,IF(AND(M49&gt;10,M49&lt;=20),M49*2%,IF(AND(M49&gt;1,M49&lt;=10),M49*2.5%)))))))))</f>
        <v>3.44</v>
      </c>
      <c r="M64" s="308">
        <f t="shared" ref="M64:M65" ca="1" si="1">ROUND(L64,1)</f>
        <v>3.4</v>
      </c>
      <c r="N64" s="2767" t="s">
        <v>2069</v>
      </c>
      <c r="Z64" s="1938"/>
      <c r="AI64" s="1939"/>
    </row>
    <row r="65" spans="1:35" ht="14.25" customHeight="1">
      <c r="A65" s="174" t="s">
        <v>771</v>
      </c>
      <c r="B65" s="175" t="s">
        <v>2070</v>
      </c>
      <c r="C65" s="2789"/>
      <c r="D65" s="175"/>
      <c r="E65" s="177"/>
      <c r="F65" s="1994"/>
      <c r="G65" s="1994"/>
      <c r="H65" s="1996"/>
      <c r="I65" s="134"/>
      <c r="J65" s="3206"/>
      <c r="K65" s="3061" t="s">
        <v>2071</v>
      </c>
      <c r="L65" s="3061">
        <f ca="1">IF(M49&gt;1000,M49*0.1%,IF(AND(M49&gt;500,M49&lt;=1000),M49*0.5%,IF(AND(M49&gt;50,M49&lt;=500),M49*1%,IF(AND(M49&gt;1,M49&lt;=50),M49*1.5%))))</f>
        <v>4.3</v>
      </c>
      <c r="M65" s="308">
        <f t="shared" ca="1" si="1"/>
        <v>4.3</v>
      </c>
      <c r="N65" s="2767" t="s">
        <v>2069</v>
      </c>
      <c r="Z65" s="1938"/>
      <c r="AI65" s="1939"/>
    </row>
    <row r="66" spans="1:35" ht="14.25" customHeight="1">
      <c r="A66" s="178" t="s">
        <v>772</v>
      </c>
      <c r="B66" s="179" t="s">
        <v>2072</v>
      </c>
      <c r="C66" s="2790"/>
      <c r="D66" s="179" t="s">
        <v>32</v>
      </c>
      <c r="E66" s="1509" t="s">
        <v>1337</v>
      </c>
      <c r="F66" s="1994"/>
      <c r="G66" s="1994"/>
      <c r="H66" s="1996"/>
      <c r="I66" s="134"/>
      <c r="J66" s="3206"/>
      <c r="K66" s="3061" t="s">
        <v>2073</v>
      </c>
      <c r="L66" s="3061">
        <f ca="1">M49*0.5%</f>
        <v>2.15</v>
      </c>
      <c r="M66" s="308">
        <f ca="1">IF(L66&gt;0.5,0.5,ROUND(L66,0))</f>
        <v>0.5</v>
      </c>
      <c r="N66" s="2767" t="s">
        <v>2074</v>
      </c>
      <c r="Z66" s="1938"/>
      <c r="AI66" s="1939"/>
    </row>
    <row r="67" spans="1:35" ht="14.25" customHeight="1">
      <c r="A67" s="178" t="s">
        <v>773</v>
      </c>
      <c r="B67" s="179" t="s">
        <v>2075</v>
      </c>
      <c r="C67" s="2791">
        <f ca="1">C63-C66</f>
        <v>410</v>
      </c>
      <c r="D67" s="175" t="s">
        <v>32</v>
      </c>
      <c r="E67" s="177"/>
      <c r="F67" s="1994"/>
      <c r="G67" s="1994"/>
      <c r="H67" s="1996"/>
      <c r="I67" s="134"/>
      <c r="J67" s="3206"/>
      <c r="K67" s="3061" t="s">
        <v>2076</v>
      </c>
      <c r="L67" s="3061">
        <f ca="1">IF(M49&gt;=10000,(8.25+(M49-10000)*0.01%),IF(AND(M49&gt;=8000,M49&lt;10000),(7.85+(M49-8000)*0.02%),IF(AND(M49&gt;=5000,M49&lt;8000),(6.65+(M49-5000)*0.04%),IF(AND(M49&gt;=2000,M49&lt;5000),(4.25+(PM49-2000)*0.08%),IF(AND(M49&gt;=1000,M49&lt;2000),(2.75+(M49-1000)*0.15%),IF(AND(M49&gt;=100,M49&lt;1000),(0.5+(M49-100)*0.25%),IF(AND(M49&gt;0,M49&lt;100),M49*0.5%)))))))</f>
        <v>1.3250000000000002</v>
      </c>
      <c r="M67" s="308">
        <f ca="1">ROUND(L67*0.9,1)</f>
        <v>1.2</v>
      </c>
      <c r="N67" s="2766"/>
      <c r="Z67" s="1938"/>
      <c r="AI67" s="1939"/>
    </row>
    <row r="68" spans="1:35" ht="14.25" customHeight="1" thickBot="1">
      <c r="A68" s="181" t="s">
        <v>774</v>
      </c>
      <c r="B68" s="182" t="s">
        <v>2077</v>
      </c>
      <c r="C68" s="2792">
        <f ca="1">IF(C67&lt;=0,0,ROUND(C67*D68,0))</f>
        <v>23</v>
      </c>
      <c r="D68" s="2793">
        <f>'数据-取费表'!B41</f>
        <v>5.6000000000000001E-2</v>
      </c>
      <c r="E68" s="184"/>
      <c r="F68" s="1994"/>
      <c r="G68" s="1994"/>
      <c r="H68" s="1996"/>
      <c r="I68" s="134"/>
      <c r="J68" s="3206"/>
      <c r="K68" s="3061" t="s">
        <v>2078</v>
      </c>
      <c r="L68" s="3061">
        <f ca="1">IF(M49&gt;10000,M49*0.5%,IF(AND(M49&gt;5000,M49&lt;=10000),M49*1%,IF(AND(M49&gt;1000,M49&lt;=5000),M49*2%,IF(AND(M49&gt;200,M49&lt;=1000),M49*3%,M49*5%))))</f>
        <v>12.9</v>
      </c>
      <c r="M68" s="308">
        <f ca="1">ROUND(L68,1)</f>
        <v>12.9</v>
      </c>
      <c r="N68" s="2766"/>
      <c r="Z68" s="1938"/>
      <c r="AI68" s="1939"/>
    </row>
    <row r="69" spans="1:35" s="1958" customFormat="1" ht="16.5" customHeight="1">
      <c r="A69" s="1997"/>
      <c r="B69" s="1998"/>
      <c r="C69" s="1999"/>
      <c r="D69" s="2000"/>
      <c r="E69" s="2001"/>
      <c r="F69" s="1763"/>
      <c r="G69" s="1763"/>
      <c r="H69" s="1762"/>
      <c r="I69" s="1933"/>
      <c r="J69" s="3206"/>
      <c r="K69" s="3061" t="s">
        <v>2079</v>
      </c>
      <c r="L69" s="3061"/>
      <c r="M69" s="308">
        <f ca="1">ROUND(SUM(M63:M68),0)</f>
        <v>35</v>
      </c>
      <c r="N69" s="2768">
        <f ca="1">M69/M49</f>
        <v>8.1395348837209308E-2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50" t="s">
        <v>2080</v>
      </c>
      <c r="B70" s="3251"/>
      <c r="C70" s="3251"/>
      <c r="D70" s="3251"/>
      <c r="E70" s="3251"/>
      <c r="F70" s="3251"/>
      <c r="G70" s="3251"/>
      <c r="H70" s="3251"/>
      <c r="I70" s="2002"/>
      <c r="J70" s="2917"/>
      <c r="K70" s="2917"/>
      <c r="L70" s="2917"/>
      <c r="M70" s="2917"/>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42" t="s">
        <v>2061</v>
      </c>
      <c r="B71" s="3243"/>
      <c r="C71" s="3068"/>
      <c r="D71" s="3068" t="s">
        <v>2062</v>
      </c>
      <c r="E71" s="185" t="s">
        <v>2063</v>
      </c>
      <c r="F71" s="186"/>
      <c r="G71" s="186"/>
      <c r="H71" s="187"/>
      <c r="I71" s="2006"/>
      <c r="J71" s="2917"/>
      <c r="K71" s="2917"/>
      <c r="L71" s="2917"/>
      <c r="M71" s="2917"/>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1">
        <f ca="1">ROUND(D45/(1+'数据-取费表'!C42),0)</f>
        <v>410</v>
      </c>
      <c r="D72" s="175" t="s">
        <v>32</v>
      </c>
      <c r="E72" s="3070"/>
      <c r="F72" s="3069"/>
      <c r="G72" s="3069"/>
      <c r="H72" s="188"/>
      <c r="I72" s="2006"/>
      <c r="J72" s="2917"/>
      <c r="K72" s="2917"/>
      <c r="L72" s="2917"/>
      <c r="M72" s="2917"/>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1">
        <f ca="1">C74+C78</f>
        <v>2</v>
      </c>
      <c r="D73" s="175" t="s">
        <v>32</v>
      </c>
      <c r="E73" s="3070"/>
      <c r="F73" s="3069"/>
      <c r="G73" s="3069"/>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3070"/>
      <c r="F74" s="3069"/>
      <c r="G74" s="3069"/>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4"/>
      <c r="D75" s="175" t="s">
        <v>32</v>
      </c>
      <c r="E75" s="190" t="s">
        <v>2085</v>
      </c>
      <c r="F75" s="2795"/>
      <c r="G75" s="190" t="s">
        <v>2086</v>
      </c>
      <c r="H75" s="2796"/>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7">
        <v>0.05</v>
      </c>
      <c r="E76" s="3247" t="s">
        <v>2088</v>
      </c>
      <c r="F76" s="3246"/>
      <c r="G76" s="3246"/>
      <c r="H76" s="324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8">
        <f>'数据-取费表'!B48+'数据-取费表'!B49</f>
        <v>3.0499999999999999E-2</v>
      </c>
      <c r="E77" s="3060" t="s">
        <v>2090</v>
      </c>
      <c r="F77" s="192"/>
      <c r="G77" s="2008"/>
      <c r="H77" s="3071"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9">
        <f ca="1">ROUND(D45*D78/(1+'数据-取费表'!C42),0)</f>
        <v>2</v>
      </c>
      <c r="D78" s="2800">
        <f>'数据-取费表'!B43</f>
        <v>6.000000000000001E-3</v>
      </c>
      <c r="E78" s="3239" t="s">
        <v>2092</v>
      </c>
      <c r="F78" s="3240"/>
      <c r="G78" s="3240"/>
      <c r="H78" s="3241"/>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773</v>
      </c>
      <c r="B79" s="179" t="s">
        <v>2093</v>
      </c>
      <c r="C79" s="2791">
        <f ca="1">C72-C73</f>
        <v>408</v>
      </c>
      <c r="D79" s="175" t="s">
        <v>32</v>
      </c>
      <c r="E79" s="3070"/>
      <c r="F79" s="3069"/>
      <c r="G79" s="3069"/>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1">
        <f ca="1">IF(C79&lt;=0,0,C79/C73)</f>
        <v>204</v>
      </c>
      <c r="D80" s="175" t="s">
        <v>32</v>
      </c>
      <c r="E80" s="3060" t="str">
        <f ca="1">IF(C80&gt;=200%,"增值额超过扣除项目金额200%",IF(C80&gt;=100%,"增值额超过扣除项目金额100%，未超过200%",IF(C80&gt;=50%,"增值额超过扣除项目金额50%，未超过100%",IF(C80&lt;50%,"增值额未超过扣除项目金额50%"))))</f>
        <v>增值额超过扣除项目金额200%</v>
      </c>
      <c r="F80" s="3069"/>
      <c r="G80" s="3069"/>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2">
        <f ca="1">ROUND(IF(C79&lt;=0,0,IF(C80&gt;=200%,C79*60%-C73*35%,IF(C80&gt;=100%,C79*50%-C73*15%,IF(C80&gt;=50%,C79*40%-C73*5%,IF(C80&lt;50%,C79*30%,0))))),0)</f>
        <v>244</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0" t="s">
        <v>2096</v>
      </c>
      <c r="B83" s="3251"/>
      <c r="C83" s="3251"/>
      <c r="D83" s="3251"/>
      <c r="E83" s="3251"/>
      <c r="F83" s="3251"/>
      <c r="G83" s="3251"/>
      <c r="H83" s="325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42" t="s">
        <v>2061</v>
      </c>
      <c r="B84" s="3243"/>
      <c r="C84" s="3068"/>
      <c r="D84" s="3068"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1">
        <f ca="1">ROUND(D45/(1+'数据-取费表'!C42),0)</f>
        <v>410</v>
      </c>
      <c r="D85" s="175" t="s">
        <v>32</v>
      </c>
      <c r="E85" s="3070"/>
      <c r="F85" s="3069"/>
      <c r="G85" s="3069"/>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1">
        <f ca="1">IF(H88="仅含出让金",C87+C90+C91+C92+C93+C94,C87+C91+C92+C93+C94)</f>
        <v>2</v>
      </c>
      <c r="D86" s="2804"/>
      <c r="E86" s="3070"/>
      <c r="F86" s="3069"/>
      <c r="G86" s="3069"/>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9">
        <f>C88+C89</f>
        <v>0</v>
      </c>
      <c r="D87" s="2800"/>
      <c r="E87" s="3065"/>
      <c r="F87" s="3066"/>
      <c r="G87" s="3066"/>
      <c r="H87" s="3067"/>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5"/>
      <c r="D88" s="2800"/>
      <c r="E88" s="199" t="s">
        <v>2099</v>
      </c>
      <c r="F88" s="3066"/>
      <c r="G88" s="200" t="s">
        <v>2100</v>
      </c>
      <c r="H88" s="2010"/>
      <c r="I88" s="2007"/>
      <c r="J88" s="2744"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9">
        <f>ROUND(C88*D89,0)</f>
        <v>0</v>
      </c>
      <c r="D89" s="2800">
        <f>'数据-取费表'!B48+'数据-取费表'!B49</f>
        <v>3.0499999999999999E-2</v>
      </c>
      <c r="E89" s="199" t="s">
        <v>2101</v>
      </c>
      <c r="F89" s="3066"/>
      <c r="G89" s="3066"/>
      <c r="H89" s="3067"/>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5"/>
      <c r="D90" s="2800"/>
      <c r="E90" s="199" t="str">
        <f>IF(H88="-","土地取得成本中已包含该笔费用"," ")</f>
        <v xml:space="preserve"> </v>
      </c>
      <c r="F90" s="3066"/>
      <c r="G90" s="3208" t="s">
        <v>2868</v>
      </c>
      <c r="H90" s="3209"/>
      <c r="I90" s="2007"/>
      <c r="J90" s="2744"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9">
        <f>IF(H91="——",成本法!C33,I91)</f>
        <v>0</v>
      </c>
      <c r="D91" s="2800"/>
      <c r="E91" s="3239" t="s">
        <v>2105</v>
      </c>
      <c r="F91" s="3240"/>
      <c r="G91" s="3240"/>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9">
        <f>ROUND((C87+C90+C91)*D92,0)</f>
        <v>0</v>
      </c>
      <c r="D92" s="2806"/>
      <c r="E92" s="3239" t="s">
        <v>2108</v>
      </c>
      <c r="F92" s="3240"/>
      <c r="G92" s="3240"/>
      <c r="H92" s="3241"/>
      <c r="I92" s="2007"/>
      <c r="J92" s="2745"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9">
        <f ca="1">ROUND(D45*D93/(1+'数据-取费表'!C42),0)</f>
        <v>2</v>
      </c>
      <c r="D93" s="2800">
        <f>'数据-取费表'!B43</f>
        <v>6.000000000000001E-3</v>
      </c>
      <c r="E93" s="3239" t="s">
        <v>2092</v>
      </c>
      <c r="F93" s="3240"/>
      <c r="G93" s="3240"/>
      <c r="H93" s="3241"/>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5">
        <f>ROUND((C87+C90+C91)*D94,0)</f>
        <v>0</v>
      </c>
      <c r="D94" s="2800">
        <v>0.2</v>
      </c>
      <c r="E94" s="3287" t="s">
        <v>2112</v>
      </c>
      <c r="F94" s="3288"/>
      <c r="G94" s="3288"/>
      <c r="H94" s="3289"/>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773</v>
      </c>
      <c r="B95" s="179" t="s">
        <v>2093</v>
      </c>
      <c r="C95" s="2791">
        <f ca="1">ROUND(C85-C86,0)</f>
        <v>408</v>
      </c>
      <c r="D95" s="175" t="s">
        <v>32</v>
      </c>
      <c r="E95" s="3070"/>
      <c r="F95" s="3069"/>
      <c r="G95" s="3069"/>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1">
        <f ca="1">IF(C95&lt;=0,0,C95/C86)</f>
        <v>204</v>
      </c>
      <c r="D96" s="175" t="s">
        <v>32</v>
      </c>
      <c r="E96" s="3060" t="str">
        <f ca="1">IF(C96&gt;=200%,"增值额超过扣除项目金额200%",IF(C96&gt;=100%,"增值额超过扣除项目金额100%，未超过200%",IF(C96&gt;=50%,"增值额超过扣除项目金额50%，未超过100%",IF(C96&lt;50%,"增值额未超过扣除项目金额50%"))))</f>
        <v>增值额超过扣除项目金额200%</v>
      </c>
      <c r="F96" s="3069"/>
      <c r="G96" s="3069"/>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2">
        <f ca="1">ROUND(IF(C95&lt;=0,0,IF(C96&gt;=200%,C95*60%-C86*35%,IF(C96&gt;=100%,C95*50%-C86*15%,IF(C96&gt;=50%,C95*40%-C86*5%,IF(C96&lt;50%,C95*30%,0))))),0)</f>
        <v>244</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89" t="s">
        <v>2114</v>
      </c>
      <c r="B100" s="3190"/>
      <c r="C100" s="3190"/>
      <c r="D100" s="3224"/>
      <c r="E100" s="3190" t="s">
        <v>2115</v>
      </c>
      <c r="F100" s="3190"/>
      <c r="G100" s="3190"/>
      <c r="H100" s="3224"/>
      <c r="I100" s="134"/>
    </row>
    <row r="101" spans="1:35" ht="18.75" customHeight="1">
      <c r="A101" s="3232" t="s">
        <v>2116</v>
      </c>
      <c r="B101" s="3233"/>
      <c r="C101" s="2808" t="str">
        <f>C4</f>
        <v>比较法-办公</v>
      </c>
      <c r="D101" s="2809" t="str">
        <f>D4</f>
        <v>收益法 (元)</v>
      </c>
      <c r="E101" s="3202" t="s">
        <v>2117</v>
      </c>
      <c r="F101" s="3203"/>
      <c r="G101" s="2013" t="s">
        <v>2118</v>
      </c>
      <c r="H101" s="2818">
        <f ca="1">H118</f>
        <v>430</v>
      </c>
      <c r="I101" s="134"/>
    </row>
    <row r="102" spans="1:35" ht="18.75" customHeight="1">
      <c r="A102" s="3234" t="s">
        <v>2119</v>
      </c>
      <c r="B102" s="2807" t="s">
        <v>2118</v>
      </c>
      <c r="C102" s="2808">
        <f ca="1">C19</f>
        <v>450</v>
      </c>
      <c r="D102" s="2809">
        <f ca="1">D19</f>
        <v>410</v>
      </c>
      <c r="E102" s="3202"/>
      <c r="F102" s="3203"/>
      <c r="G102" s="2013" t="s">
        <v>2120</v>
      </c>
      <c r="H102" s="2778">
        <f ca="1">I118</f>
        <v>41534</v>
      </c>
      <c r="I102" s="134"/>
    </row>
    <row r="103" spans="1:35" ht="42.75" customHeight="1">
      <c r="A103" s="3234"/>
      <c r="B103" s="2807" t="s">
        <v>2120</v>
      </c>
      <c r="C103" s="2810">
        <f ca="1">C20</f>
        <v>43502</v>
      </c>
      <c r="D103" s="2811">
        <f ca="1">D20</f>
        <v>39612</v>
      </c>
      <c r="E103" s="3195" t="s">
        <v>2121</v>
      </c>
      <c r="F103" s="3196"/>
      <c r="G103" s="2014" t="s">
        <v>2122</v>
      </c>
      <c r="H103" s="2818">
        <f>IF(D36="正常操作",H104+H105+H106,H105+H106)</f>
        <v>0</v>
      </c>
      <c r="I103" s="134"/>
    </row>
    <row r="104" spans="1:35" ht="18.75" customHeight="1">
      <c r="A104" s="3234" t="s">
        <v>2123</v>
      </c>
      <c r="B104" s="2812" t="s">
        <v>2118</v>
      </c>
      <c r="C104" s="2813">
        <f ca="1">H118</f>
        <v>430</v>
      </c>
      <c r="D104" s="2814"/>
      <c r="E104" s="1860" t="s">
        <v>2124</v>
      </c>
      <c r="F104" s="1851"/>
      <c r="G104" s="2014" t="s">
        <v>2122</v>
      </c>
      <c r="H104" s="2819">
        <f>IF(D36="同一抵押权人同一抵押物续贷",C36&amp;"（续贷，未扣减，详见特别提示）",C36)</f>
        <v>0</v>
      </c>
      <c r="I104" s="134"/>
    </row>
    <row r="105" spans="1:35" ht="18.75" customHeight="1" thickBot="1">
      <c r="A105" s="3244"/>
      <c r="B105" s="2815" t="s">
        <v>2120</v>
      </c>
      <c r="C105" s="2816">
        <f ca="1">I118</f>
        <v>41534</v>
      </c>
      <c r="D105" s="2817"/>
      <c r="E105" s="1860" t="s">
        <v>2125</v>
      </c>
      <c r="F105" s="1851"/>
      <c r="G105" s="2014" t="s">
        <v>2122</v>
      </c>
      <c r="H105" s="2820">
        <f>C37</f>
        <v>0</v>
      </c>
      <c r="I105" s="134"/>
    </row>
    <row r="106" spans="1:35" ht="18.75" customHeight="1">
      <c r="A106" s="1933" t="s">
        <v>2126</v>
      </c>
      <c r="B106" s="1933"/>
      <c r="C106" s="1933"/>
      <c r="D106" s="1933"/>
      <c r="E106" s="2015" t="s">
        <v>2127</v>
      </c>
      <c r="F106" s="1851"/>
      <c r="G106" s="2014" t="s">
        <v>2122</v>
      </c>
      <c r="H106" s="2820">
        <f>C38</f>
        <v>0</v>
      </c>
      <c r="I106" s="134"/>
    </row>
    <row r="107" spans="1:35" ht="18.75" customHeight="1">
      <c r="A107" s="134"/>
      <c r="B107" s="134"/>
      <c r="C107" s="134"/>
      <c r="D107" s="134"/>
      <c r="E107" s="3235" t="str">
        <f>IF(项目基本情况!E8="已注销","——","3.房地产抵押价值")</f>
        <v>3.房地产抵押价值</v>
      </c>
      <c r="F107" s="3203"/>
      <c r="G107" s="2013" t="s">
        <v>2118</v>
      </c>
      <c r="H107" s="2818">
        <f ca="1">IF(E107="——","——",H101-H103)</f>
        <v>430</v>
      </c>
      <c r="I107" s="134"/>
    </row>
    <row r="108" spans="1:35" ht="18.75" customHeight="1">
      <c r="A108" s="134"/>
      <c r="B108" s="134"/>
      <c r="C108" s="134"/>
      <c r="D108" s="134"/>
      <c r="E108" s="3235"/>
      <c r="F108" s="3203"/>
      <c r="G108" s="2013" t="s">
        <v>2120</v>
      </c>
      <c r="H108" s="2778">
        <f ca="1">ROUND(H107*10000/'数据-汇总表'!E3,0)</f>
        <v>3766</v>
      </c>
      <c r="I108" s="134"/>
    </row>
    <row r="109" spans="1:35" ht="18.75" customHeight="1">
      <c r="A109" s="134"/>
      <c r="B109" s="134"/>
      <c r="C109" s="134"/>
      <c r="D109" s="134"/>
      <c r="E109" s="3235" t="str">
        <f>IF(项目基本情况!E8="已注销及未注销","4.抵押担保权已注销时的房地产抵押价值",IF(项目基本情况!E8="已注销","3.抵押担保权已注销时的房地产抵押价值","——"))</f>
        <v>——</v>
      </c>
      <c r="F109" s="3203"/>
      <c r="G109" s="2013" t="s">
        <v>2118</v>
      </c>
      <c r="H109" s="2821" t="str">
        <f>IF(E109="——","——",H101-H105-H106)</f>
        <v>——</v>
      </c>
      <c r="I109" s="134"/>
    </row>
    <row r="110" spans="1:35" ht="18.75" customHeight="1">
      <c r="A110" s="134"/>
      <c r="B110" s="134"/>
      <c r="C110" s="134"/>
      <c r="D110" s="134"/>
      <c r="E110" s="3235"/>
      <c r="F110" s="3203"/>
      <c r="G110" s="2013" t="s">
        <v>2120</v>
      </c>
      <c r="H110" s="2778" t="str">
        <f>IF(H109="——","——",ROUND(H109*10000/'数据-汇总表'!E3,0))</f>
        <v>——</v>
      </c>
      <c r="I110" s="134"/>
    </row>
    <row r="111" spans="1:35" ht="18.75" customHeight="1">
      <c r="A111" s="134"/>
      <c r="B111" s="134"/>
      <c r="C111" s="134"/>
      <c r="D111" s="134"/>
      <c r="E111" s="3236" t="str">
        <f>IF(项目基本情况!E9="抵押净值",IF(OR(项目基本情况!E8="已注销",项目基本情况!E8="房地产抵押价值"),"4.抵押净值","5.抵押净值"),"——")</f>
        <v>——</v>
      </c>
      <c r="F111" s="3222"/>
      <c r="G111" s="2013" t="s">
        <v>2118</v>
      </c>
      <c r="H111" s="2818" t="str">
        <f>IF(E111="——","——",N59)</f>
        <v>——</v>
      </c>
      <c r="I111" s="134"/>
    </row>
    <row r="112" spans="1:35" ht="18.75" customHeight="1" thickBot="1">
      <c r="A112" s="134"/>
      <c r="B112" s="134"/>
      <c r="C112" s="134"/>
      <c r="D112" s="134"/>
      <c r="E112" s="3237"/>
      <c r="F112" s="3238"/>
      <c r="G112" s="2016" t="s">
        <v>2120</v>
      </c>
      <c r="H112" s="2822" t="str">
        <f>IF(E111="——","——",N61)</f>
        <v>——</v>
      </c>
      <c r="I112" s="134"/>
    </row>
    <row r="113" spans="1:27" ht="18.75" customHeight="1">
      <c r="A113" s="134"/>
      <c r="B113" s="134"/>
      <c r="C113" s="134"/>
      <c r="D113" s="134"/>
      <c r="E113" s="3245" t="s">
        <v>2126</v>
      </c>
      <c r="F113" s="3245"/>
      <c r="G113" s="3245"/>
      <c r="H113" s="3245"/>
      <c r="I113" s="134"/>
    </row>
    <row r="114" spans="1:27" ht="3.75" customHeight="1">
      <c r="A114" s="1933"/>
      <c r="B114" s="1933"/>
      <c r="C114" s="1933"/>
      <c r="D114" s="1933"/>
      <c r="E114" s="1995"/>
      <c r="F114" s="1995"/>
      <c r="G114" s="1995"/>
      <c r="H114" s="1995"/>
      <c r="I114" s="1933"/>
    </row>
    <row r="115" spans="1:27" ht="18.75" customHeight="1">
      <c r="A115" s="3256" t="s">
        <v>2128</v>
      </c>
      <c r="B115" s="3257"/>
      <c r="C115" s="3257"/>
      <c r="D115" s="3257"/>
      <c r="E115" s="3257"/>
      <c r="F115" s="3257"/>
      <c r="G115" s="3257"/>
      <c r="H115" s="3257"/>
      <c r="I115" s="3258"/>
    </row>
    <row r="116" spans="1:27" ht="27" customHeight="1">
      <c r="A116" s="3210" t="s">
        <v>2129</v>
      </c>
      <c r="B116" s="3214" t="s">
        <v>3112</v>
      </c>
      <c r="C116" s="3214" t="s">
        <v>3110</v>
      </c>
      <c r="D116" s="3220" t="s">
        <v>2130</v>
      </c>
      <c r="E116" s="3221"/>
      <c r="F116" s="3252" t="s">
        <v>3111</v>
      </c>
      <c r="G116" s="3252"/>
      <c r="H116" s="3210" t="s">
        <v>2131</v>
      </c>
      <c r="I116" s="3210"/>
    </row>
    <row r="117" spans="1:27" ht="18.75" customHeight="1">
      <c r="A117" s="3210"/>
      <c r="B117" s="3215"/>
      <c r="C117" s="3215"/>
      <c r="D117" s="3062" t="s">
        <v>2132</v>
      </c>
      <c r="E117" s="3062" t="s">
        <v>2133</v>
      </c>
      <c r="F117" s="3062" t="s">
        <v>2132</v>
      </c>
      <c r="G117" s="3062" t="s">
        <v>2134</v>
      </c>
      <c r="H117" s="3062" t="s">
        <v>2132</v>
      </c>
      <c r="I117" s="3062" t="s">
        <v>2134</v>
      </c>
    </row>
    <row r="118" spans="1:27" ht="24.75" customHeight="1">
      <c r="A118" s="2823" t="str">
        <f>项目基本情况!S2</f>
        <v>北京市西城区西直门外大街1号院2号楼17层19C5-19C13共9套办公用房房地产</v>
      </c>
      <c r="B118" s="3062">
        <f>M18</f>
        <v>103.53</v>
      </c>
      <c r="C118" s="3062">
        <f>M19</f>
        <v>0</v>
      </c>
      <c r="D118" s="3062" t="e">
        <f ca="1">ROUND(IF(D32="总价",C34,E118*B118/10000),0)</f>
        <v>#REF!</v>
      </c>
      <c r="E118" s="3062" t="e">
        <f ca="1">ROUND(IF(C33="自定义",IF(D32="楼面单价",C34,D118*10000/B118),I118-G118),0)</f>
        <v>#REF!</v>
      </c>
      <c r="F118" s="3062" t="e">
        <f ca="1">ROUND(IF(D32="总价",C35,G118*B118/10000),0)</f>
        <v>#REF!</v>
      </c>
      <c r="G118" s="3062" t="e">
        <f ca="1">ROUND(IF(D32="楼面单价",C35,F118*10000/B118),0)</f>
        <v>#REF!</v>
      </c>
      <c r="H118" s="3062">
        <f ca="1">ROUND(IF(D32="总价",C32,I118*B118/10000),0)</f>
        <v>430</v>
      </c>
      <c r="I118" s="3062">
        <f ca="1">ROUND(IF(D32="楼面单价",C32,H118*10000/B118),0)</f>
        <v>41534</v>
      </c>
    </row>
    <row r="119" spans="1:27" ht="18.75" customHeight="1">
      <c r="A119" s="3210" t="s">
        <v>2135</v>
      </c>
      <c r="B119" s="3210"/>
      <c r="C119" s="3210"/>
      <c r="D119" s="3216" t="e">
        <f ca="1">NUMBERSTRING(INT(D118*10000),2)&amp;"元整"</f>
        <v>#REF!</v>
      </c>
      <c r="E119" s="3217"/>
      <c r="F119" s="3216" t="e">
        <f ca="1">NUMBERSTRING(INT(F118*10000),2)&amp;"元整"</f>
        <v>#REF!</v>
      </c>
      <c r="G119" s="3217"/>
      <c r="H119" s="3216" t="str">
        <f ca="1">NUMBERSTRING(INT(H118*10000),2)&amp;"元整"</f>
        <v>肆佰叁拾万元整</v>
      </c>
      <c r="I119" s="3217"/>
    </row>
    <row r="120" spans="1:27" ht="18.75" customHeight="1">
      <c r="A120" s="3211" t="str">
        <f>IF(项目基本情况!B9="房地产市场价值","",MID(E103,3,LEN(E103)-2))</f>
        <v>估价师知悉的法定优先受偿款</v>
      </c>
      <c r="B120" s="3212"/>
      <c r="C120" s="3213"/>
      <c r="D120" s="3211">
        <f>H103</f>
        <v>0</v>
      </c>
      <c r="E120" s="3212"/>
      <c r="F120" s="3212"/>
      <c r="G120" s="3212"/>
      <c r="H120" s="3212"/>
      <c r="I120" s="321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53" t="s">
        <v>2135</v>
      </c>
      <c r="B121" s="3254"/>
      <c r="C121" s="3255"/>
      <c r="D121" s="3216" t="str">
        <f>IF(D120=0,"零元整",NUMBERSTRING(INT(D120*10000),2)&amp;"元整")</f>
        <v>零元整</v>
      </c>
      <c r="E121" s="3218"/>
      <c r="F121" s="3218"/>
      <c r="G121" s="3218"/>
      <c r="H121" s="3218"/>
      <c r="I121" s="3217"/>
      <c r="AA121" s="734"/>
    </row>
    <row r="122" spans="1:27" ht="18.75" customHeight="1">
      <c r="A122" s="3222" t="str">
        <f>IF(项目基本情况!B9="房地产市场价值","",MID(E107,3,LEN(E107)-2))</f>
        <v>房地产抵押价值</v>
      </c>
      <c r="B122" s="3222"/>
      <c r="C122" s="3222"/>
      <c r="D122" s="3211">
        <f ca="1">H107</f>
        <v>430</v>
      </c>
      <c r="E122" s="3212"/>
      <c r="F122" s="3212"/>
      <c r="G122" s="3212"/>
      <c r="H122" s="3212"/>
      <c r="I122" s="3213"/>
      <c r="AA122" s="734"/>
    </row>
    <row r="123" spans="1:27" ht="18.75" customHeight="1">
      <c r="A123" s="3210" t="s">
        <v>2135</v>
      </c>
      <c r="B123" s="3210"/>
      <c r="C123" s="3210"/>
      <c r="D123" s="3216" t="str">
        <f ca="1">NUMBERSTRING(INT(D122*10000),2)&amp;"元整"</f>
        <v>肆佰叁拾万元整</v>
      </c>
      <c r="E123" s="3218"/>
      <c r="F123" s="3218"/>
      <c r="G123" s="3218"/>
      <c r="H123" s="3218"/>
      <c r="I123" s="3217"/>
      <c r="AA123" s="734"/>
    </row>
    <row r="124" spans="1:27" ht="18.75" customHeight="1">
      <c r="A124" s="3222" t="str">
        <f>IF(项目基本情况!B9="房地产市场价值","",MID(E109,3,LEN(E109)-2))</f>
        <v/>
      </c>
      <c r="B124" s="3222"/>
      <c r="C124" s="3222"/>
      <c r="D124" s="3211" t="str">
        <f>H109</f>
        <v>——</v>
      </c>
      <c r="E124" s="3212"/>
      <c r="F124" s="3212"/>
      <c r="G124" s="3212"/>
      <c r="H124" s="3212"/>
      <c r="I124" s="3213"/>
      <c r="AA124" s="734"/>
    </row>
    <row r="125" spans="1:27" ht="18.75" customHeight="1">
      <c r="A125" s="3210" t="s">
        <v>2135</v>
      </c>
      <c r="B125" s="3210"/>
      <c r="C125" s="3210"/>
      <c r="D125" s="3216" t="e">
        <f>NUMBERSTRING(INT(D124*10000),2)&amp;"元整"</f>
        <v>#VALUE!</v>
      </c>
      <c r="E125" s="3218"/>
      <c r="F125" s="3218"/>
      <c r="G125" s="3218"/>
      <c r="H125" s="3218"/>
      <c r="I125" s="3217"/>
      <c r="AA125" s="734"/>
    </row>
    <row r="126" spans="1:27" ht="18.75" customHeight="1">
      <c r="A126" s="3222" t="str">
        <f>IF(项目基本情况!B9="房地产市场价值","",MID(E111,3,LEN(E111)-2))</f>
        <v/>
      </c>
      <c r="B126" s="3222"/>
      <c r="C126" s="3222"/>
      <c r="D126" s="3211" t="str">
        <f>H111</f>
        <v>——</v>
      </c>
      <c r="E126" s="3212"/>
      <c r="F126" s="3212"/>
      <c r="G126" s="3212"/>
      <c r="H126" s="3212"/>
      <c r="I126" s="3213"/>
      <c r="AA126" s="734"/>
    </row>
    <row r="127" spans="1:27" ht="18.75" customHeight="1">
      <c r="A127" s="3210" t="s">
        <v>2135</v>
      </c>
      <c r="B127" s="3210"/>
      <c r="C127" s="3210"/>
      <c r="D127" s="3216" t="e">
        <f>NUMBERSTRING(INT(D126*10000),2)&amp;"元整"</f>
        <v>#VALUE!</v>
      </c>
      <c r="E127" s="3218"/>
      <c r="F127" s="3218"/>
      <c r="G127" s="3218"/>
      <c r="H127" s="3218"/>
      <c r="I127" s="3217"/>
      <c r="AA127" s="734"/>
    </row>
    <row r="128" spans="1:27" ht="21.75" customHeight="1">
      <c r="A128" s="3219" t="s">
        <v>2136</v>
      </c>
      <c r="B128" s="3219"/>
      <c r="C128" s="3219"/>
      <c r="D128" s="3219"/>
      <c r="E128" s="3219"/>
      <c r="F128" s="3219"/>
      <c r="G128" s="3219"/>
      <c r="H128" s="3219"/>
      <c r="I128" s="3219"/>
      <c r="AA128" s="734"/>
    </row>
    <row r="129" spans="1:35" ht="21.75" customHeight="1">
      <c r="A129" s="2017" t="s">
        <v>2137</v>
      </c>
      <c r="B129" s="2018"/>
      <c r="C129" s="2019" t="s">
        <v>2138</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2139</v>
      </c>
      <c r="G135" s="2034"/>
      <c r="H135" s="2034"/>
      <c r="I135" s="2035" t="s">
        <v>2140</v>
      </c>
    </row>
    <row r="136" spans="1:35" ht="21.75" customHeight="1">
      <c r="A136" s="734"/>
      <c r="B136" s="2036"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2142</v>
      </c>
    </row>
    <row r="139" spans="1:35" ht="21.75" customHeight="1">
      <c r="A139" s="734"/>
      <c r="B139" s="2036" t="s">
        <v>2143</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2142</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90" priority="10" stopIfTrue="1" operator="equal">
      <formula>25</formula>
    </cfRule>
  </conditionalFormatting>
  <conditionalFormatting sqref="C8:C9">
    <cfRule type="cellIs" dxfId="189" priority="9" stopIfTrue="1" operator="equal">
      <formula>15</formula>
    </cfRule>
  </conditionalFormatting>
  <conditionalFormatting sqref="C14:C16">
    <cfRule type="cellIs" dxfId="188" priority="8" stopIfTrue="1" operator="equal">
      <formula>30</formula>
    </cfRule>
  </conditionalFormatting>
  <conditionalFormatting sqref="D5:D7">
    <cfRule type="cellIs" dxfId="187" priority="7" stopIfTrue="1" operator="equal">
      <formula>25</formula>
    </cfRule>
  </conditionalFormatting>
  <conditionalFormatting sqref="D8:D9">
    <cfRule type="cellIs" dxfId="186" priority="6" stopIfTrue="1" operator="equal">
      <formula>15</formula>
    </cfRule>
  </conditionalFormatting>
  <conditionalFormatting sqref="C10:D13">
    <cfRule type="cellIs" dxfId="185" priority="5" stopIfTrue="1" operator="equal">
      <formula>15</formula>
    </cfRule>
  </conditionalFormatting>
  <conditionalFormatting sqref="D14:D16">
    <cfRule type="cellIs" dxfId="184" priority="4"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43" sqref="C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3085</v>
      </c>
      <c r="D1" s="1546" t="s">
        <v>70</v>
      </c>
      <c r="E1" s="1547" t="s">
        <v>1352</v>
      </c>
      <c r="F1" s="1193">
        <f ca="1">J53</f>
        <v>33.18</v>
      </c>
      <c r="G1" s="1562">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410</v>
      </c>
      <c r="C2" s="1571" t="s">
        <v>1556</v>
      </c>
      <c r="D2" s="1655">
        <f ca="1">C40+J29+L46</f>
        <v>4100987</v>
      </c>
      <c r="E2" s="1572" t="s">
        <v>1557</v>
      </c>
      <c r="F2" s="1573"/>
      <c r="G2" s="2932"/>
      <c r="H2" s="2921"/>
      <c r="I2" s="2921"/>
      <c r="J2" s="2921"/>
      <c r="K2" s="2922"/>
      <c r="L2" s="2921"/>
      <c r="M2" s="2921"/>
    </row>
    <row r="3" spans="1:37" ht="18" customHeight="1" thickBot="1">
      <c r="A3" s="1574" t="s">
        <v>1558</v>
      </c>
      <c r="B3" s="1575">
        <f ca="1">IF(ISERROR(D2/F43),0,ROUND(D2/F43,0))</f>
        <v>39612</v>
      </c>
      <c r="C3" s="1571" t="s">
        <v>1559</v>
      </c>
      <c r="D3" s="1571"/>
      <c r="E3" s="1572"/>
      <c r="F3" s="1573"/>
      <c r="G3" s="2932"/>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248891</v>
      </c>
      <c r="D5" s="1548" t="s">
        <v>1566</v>
      </c>
      <c r="E5" s="1203"/>
      <c r="F5" s="1204"/>
      <c r="G5" s="1568"/>
      <c r="H5" s="305">
        <v>1</v>
      </c>
      <c r="I5" s="306" t="s">
        <v>1565</v>
      </c>
      <c r="J5" s="1202">
        <f ca="1">J6+J10+J12</f>
        <v>0</v>
      </c>
      <c r="K5" s="1548" t="s">
        <v>1566</v>
      </c>
      <c r="L5" s="1203"/>
      <c r="M5" s="1204"/>
    </row>
    <row r="6" spans="1:37" ht="18" customHeight="1">
      <c r="A6" s="1201" t="s">
        <v>1003</v>
      </c>
      <c r="B6" s="3297" t="s">
        <v>1368</v>
      </c>
      <c r="C6" s="1206">
        <f ca="1">ROUND(F6*F8*F7*(1-F9),0)</f>
        <v>248270</v>
      </c>
      <c r="D6" s="160" t="s">
        <v>2844</v>
      </c>
      <c r="E6" s="308" t="s">
        <v>1370</v>
      </c>
      <c r="F6" s="309">
        <f ca="1">INDIRECT("'数据-取费表'!u"&amp;$G$1)</f>
        <v>7.3</v>
      </c>
      <c r="G6" s="1568"/>
      <c r="H6" s="1201" t="s">
        <v>1003</v>
      </c>
      <c r="I6" s="3297" t="s">
        <v>1368</v>
      </c>
      <c r="J6" s="307">
        <f ca="1">ROUND(M6*M8*M7*(1-M9),0)</f>
        <v>0</v>
      </c>
      <c r="K6" s="1560" t="s">
        <v>2845</v>
      </c>
      <c r="L6" s="308" t="s">
        <v>1370</v>
      </c>
      <c r="M6" s="309">
        <f ca="1">INDIRECT("'数据-取费表'!z"&amp;$G$1)</f>
        <v>0</v>
      </c>
    </row>
    <row r="7" spans="1:37" ht="18" customHeight="1">
      <c r="A7" s="1205"/>
      <c r="B7" s="3298"/>
      <c r="C7" s="1207"/>
      <c r="D7" s="313"/>
      <c r="E7" s="1208" t="s">
        <v>1371</v>
      </c>
      <c r="F7" s="309">
        <f ca="1">IF(INDIRECT("'数据-取费表'!ah"&amp;$G$1)="",INDIRECT("'数据-取费表'!k"&amp;$G$1),INDIRECT("'数据-取费表'!ah"&amp;$G$1))</f>
        <v>103.53</v>
      </c>
      <c r="G7" s="1568"/>
      <c r="H7" s="310"/>
      <c r="I7" s="3298"/>
      <c r="J7" s="312"/>
      <c r="K7" s="313"/>
      <c r="L7" s="308" t="s">
        <v>1371</v>
      </c>
      <c r="M7" s="309">
        <f ca="1">F7</f>
        <v>103.53</v>
      </c>
    </row>
    <row r="8" spans="1:37" ht="18" customHeight="1">
      <c r="A8" s="310"/>
      <c r="B8" s="3298"/>
      <c r="C8" s="312"/>
      <c r="D8" s="313"/>
      <c r="E8" s="308" t="s">
        <v>1372</v>
      </c>
      <c r="F8" s="309">
        <f ca="1">INDIRECT("'数据-取费表'!ai"&amp;$G$1)</f>
        <v>365</v>
      </c>
      <c r="G8" s="1568"/>
      <c r="H8" s="310"/>
      <c r="I8" s="3298"/>
      <c r="J8" s="312"/>
      <c r="K8" s="313"/>
      <c r="L8" s="308" t="s">
        <v>1372</v>
      </c>
      <c r="M8" s="309">
        <f ca="1">INDIRECT("'数据-取费表'!ai"&amp;$G$1)</f>
        <v>365</v>
      </c>
    </row>
    <row r="9" spans="1:37" ht="18" customHeight="1">
      <c r="A9" s="310"/>
      <c r="B9" s="3299"/>
      <c r="C9" s="312"/>
      <c r="D9" s="313"/>
      <c r="E9" s="308" t="s">
        <v>1373</v>
      </c>
      <c r="F9" s="318">
        <f ca="1">INDIRECT("'数据-取费表'!w"&amp;$G$1)</f>
        <v>0.1</v>
      </c>
      <c r="G9" s="1568"/>
      <c r="H9" s="310"/>
      <c r="I9" s="3299"/>
      <c r="J9" s="312"/>
      <c r="K9" s="313"/>
      <c r="L9" s="319" t="s">
        <v>1373</v>
      </c>
      <c r="M9" s="320">
        <f ca="1">INDIRECT("'数据-取费表'!ab"&amp;$G$1)</f>
        <v>0</v>
      </c>
    </row>
    <row r="10" spans="1:37" ht="18" customHeight="1">
      <c r="A10" s="1201" t="s">
        <v>1007</v>
      </c>
      <c r="B10" s="1549" t="s">
        <v>1374</v>
      </c>
      <c r="C10" s="322">
        <f ca="1">ROUND(IF(F10="押一",C6/12*F11,IF(F10="押二",C6/12*2*F11,IF(F10="押三",C6/12*3*F11,C11*F11))),0)</f>
        <v>621</v>
      </c>
      <c r="D10" s="1550" t="s">
        <v>2854</v>
      </c>
      <c r="E10" s="319" t="s">
        <v>1375</v>
      </c>
      <c r="F10" s="1276" t="s">
        <v>3116</v>
      </c>
      <c r="G10" s="1568"/>
      <c r="H10" s="1201" t="s">
        <v>1007</v>
      </c>
      <c r="I10" s="1549" t="s">
        <v>1374</v>
      </c>
      <c r="J10" s="307">
        <f ca="1">ROUND(IF(M10="押一",J6/12*M11,IF(M10="押二",J6/12*2*M11,IF(M10="押三",J6/12*3*M11,J11*M11))),0)</f>
        <v>0</v>
      </c>
      <c r="K10" s="1561" t="s">
        <v>2856</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566080</v>
      </c>
      <c r="D13" s="1241" t="s">
        <v>1380</v>
      </c>
      <c r="E13" s="1241" t="s">
        <v>1381</v>
      </c>
      <c r="F13" s="1242">
        <f ca="1">INDIRECT("'数据-取费表'!y"&amp;$G$1)</f>
        <v>0.79</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465885</v>
      </c>
      <c r="D14" s="1529" t="s">
        <v>1383</v>
      </c>
      <c r="E14" s="1526"/>
      <c r="F14" s="325"/>
      <c r="G14" s="1568"/>
      <c r="H14" s="1113" t="s">
        <v>1003</v>
      </c>
      <c r="I14" s="308" t="s">
        <v>1384</v>
      </c>
      <c r="J14" s="24">
        <f ca="1">C29</f>
        <v>716557</v>
      </c>
      <c r="K14" s="15"/>
      <c r="L14" s="916"/>
      <c r="M14" s="917"/>
    </row>
    <row r="15" spans="1:37" s="1581" customFormat="1" ht="18" customHeight="1" thickBot="1">
      <c r="A15" s="1113" t="s">
        <v>1004</v>
      </c>
      <c r="B15" s="308" t="s">
        <v>1385</v>
      </c>
      <c r="C15" s="24">
        <f ca="1">ROUND(C14*F15,0)</f>
        <v>23294</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20350</v>
      </c>
      <c r="K16" s="1247" t="s">
        <v>1390</v>
      </c>
      <c r="L16" s="1248"/>
      <c r="M16" s="1204"/>
    </row>
    <row r="17" spans="1:37" s="1581" customFormat="1" ht="18" customHeight="1">
      <c r="A17" s="1113" t="s">
        <v>1355</v>
      </c>
      <c r="B17" s="308" t="s">
        <v>1391</v>
      </c>
      <c r="C17" s="24">
        <f ca="1">ROUND(F17*(F43+INDIRECT("'数据-取费表'!S"&amp;$G$1)),0)</f>
        <v>20706</v>
      </c>
      <c r="D17" s="308" t="s">
        <v>1392</v>
      </c>
      <c r="E17" s="308" t="s">
        <v>1393</v>
      </c>
      <c r="F17" s="26">
        <f>'数据-取费表'!B35</f>
        <v>200</v>
      </c>
      <c r="G17" s="1580"/>
      <c r="H17" s="1113" t="s">
        <v>1003</v>
      </c>
      <c r="I17" s="308" t="s">
        <v>1394</v>
      </c>
      <c r="J17" s="2534">
        <f ca="1">ROUND(IF(AND(项目基本情况!B11="自然人",项目基本情况!B10="北京市"),J6*M17/(1+'数据-取费表'!C42),J18+J19+J20),0)</f>
        <v>6019</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6988</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516873</v>
      </c>
      <c r="D19" s="136" t="s">
        <v>1401</v>
      </c>
      <c r="E19" s="1544"/>
      <c r="F19" s="26"/>
      <c r="G19" s="1568"/>
      <c r="H19" s="1113" t="s">
        <v>1004</v>
      </c>
      <c r="I19" s="308" t="s">
        <v>1402</v>
      </c>
      <c r="J19" s="24">
        <f ca="1">IF(K19="按租金收入计税",ROUND(J6*M19/(1+'数据-取费表'!C42),0),ROUND(C29*M19*0.7,0))</f>
        <v>6019</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12922</v>
      </c>
      <c r="D20" s="329" t="s">
        <v>1405</v>
      </c>
      <c r="E20" s="308" t="s">
        <v>1387</v>
      </c>
      <c r="F20" s="328">
        <f>'数据-取费表'!B37</f>
        <v>2.5000000000000001E-2</v>
      </c>
      <c r="G20" s="1580"/>
      <c r="H20" s="1113" t="s">
        <v>1354</v>
      </c>
      <c r="I20" s="160" t="s">
        <v>1406</v>
      </c>
      <c r="J20" s="25">
        <f ca="1">ROUND(M20*M21,0)</f>
        <v>0</v>
      </c>
      <c r="K20" s="330" t="s">
        <v>1407</v>
      </c>
      <c r="L20" s="308" t="s">
        <v>1408</v>
      </c>
      <c r="M20" s="331">
        <f>'数据-取费表'!B52</f>
        <v>24</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2.5000000000000001E-2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14331</v>
      </c>
      <c r="K22" s="1528" t="s">
        <v>1415</v>
      </c>
      <c r="L22" s="308" t="s">
        <v>1387</v>
      </c>
      <c r="M22" s="334">
        <f ca="1">INDIRECT("'数据-取费表'!Ak"&amp;$G$1)</f>
        <v>0.02</v>
      </c>
    </row>
    <row r="23" spans="1:37" s="1581" customFormat="1" ht="18" customHeight="1">
      <c r="A23" s="1113" t="s">
        <v>1002</v>
      </c>
      <c r="B23" s="308" t="s">
        <v>1416</v>
      </c>
      <c r="C23" s="24">
        <f ca="1">IF('数据-取费表'!B22&lt;=1,ROUND(C19*F24*F23/2,0)+ROUND(C20*F24*F23/2,0),ROUND(C19*(POWER((1+F24),F23/2)-1),0)+ROUND(C20*(POWER((1+F24),F23/2)-1),0))</f>
        <v>20397</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2E-3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3.85E-2</v>
      </c>
      <c r="G24" s="1580"/>
      <c r="H24" s="1249" t="s">
        <v>1358</v>
      </c>
      <c r="I24" s="1250" t="s">
        <v>1404</v>
      </c>
      <c r="J24" s="1251">
        <f ca="1">ROUND(J5*M24,0)</f>
        <v>0</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-20350</v>
      </c>
      <c r="K25" s="1255" t="s">
        <v>1429</v>
      </c>
      <c r="L25" s="1256"/>
      <c r="M25" s="1257"/>
    </row>
    <row r="26" spans="1:37" ht="18" customHeight="1">
      <c r="A26" s="1113" t="s">
        <v>1002</v>
      </c>
      <c r="B26" s="308" t="s">
        <v>1430</v>
      </c>
      <c r="C26" s="24">
        <f ca="1">ROUND((C19+C20)*F26,0)</f>
        <v>105959</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716557</v>
      </c>
      <c r="D29" s="1252"/>
      <c r="E29" s="1250"/>
      <c r="F29" s="1253"/>
      <c r="G29" s="1580"/>
      <c r="H29" s="340" t="s">
        <v>1001</v>
      </c>
      <c r="I29" s="341" t="s">
        <v>1444</v>
      </c>
      <c r="J29" s="342">
        <f ca="1">ROUND(J26/(1+F40)^F41,0)</f>
        <v>0</v>
      </c>
      <c r="K29" s="343" t="s">
        <v>1445</v>
      </c>
      <c r="L29" s="344"/>
      <c r="M29" s="345">
        <f ca="1">INDIRECT("'数据-取费表'!k"&amp;$G$1)</f>
        <v>103.53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62056</v>
      </c>
      <c r="D30" s="1247" t="s">
        <v>1390</v>
      </c>
      <c r="E30" s="1248"/>
      <c r="F30" s="1204"/>
      <c r="G30" s="1568"/>
      <c r="H30" s="2923"/>
      <c r="I30" s="1582"/>
      <c r="J30" s="1583"/>
      <c r="K30" s="2698"/>
      <c r="L30" s="2924"/>
      <c r="M30" s="2925"/>
    </row>
    <row r="31" spans="1:37" ht="18" customHeight="1">
      <c r="A31" s="1113" t="s">
        <v>1003</v>
      </c>
      <c r="B31" s="308" t="s">
        <v>1394</v>
      </c>
      <c r="C31" s="2534">
        <f ca="1">ROUND(IF(AND(项目基本情况!B11="自然人",项目基本情况!B10="北京市"),C6*F31/(1+'数据-取费表'!C42),C32+C33+C34),0)</f>
        <v>41615</v>
      </c>
      <c r="D31" s="1529" t="s">
        <v>1395</v>
      </c>
      <c r="E31" s="1528" t="s">
        <v>1446</v>
      </c>
      <c r="F31" s="2533" t="str">
        <f>IF(项目基本情况!B11="企业","——",IF('数据-取费表'!B10="住宅",IF(F6*F7*F8/12/(1+'数据-取费表'!F30)&gt;100000,4%,2.5%),IF(F6*F7*F8/12/(1+'数据-取费表'!F30)&gt;100000,12%,7%)))</f>
        <v>——</v>
      </c>
      <c r="G31" s="1568"/>
      <c r="H31" s="3036" t="s">
        <v>3054</v>
      </c>
      <c r="I31" s="1582"/>
      <c r="J31" s="1583"/>
      <c r="K31" s="2698"/>
      <c r="L31" s="2924"/>
      <c r="M31" s="2925"/>
    </row>
    <row r="32" spans="1:37" ht="18" customHeight="1">
      <c r="A32" s="1113" t="s">
        <v>1002</v>
      </c>
      <c r="B32" s="308" t="s">
        <v>1398</v>
      </c>
      <c r="C32" s="24">
        <f ca="1">IF(项目基本情况!B11="自然人","——",ROUND(C6*F32/(1+'数据-取费表'!C42),0))</f>
        <v>13241</v>
      </c>
      <c r="D32" s="1528" t="s">
        <v>1399</v>
      </c>
      <c r="E32" s="308" t="s">
        <v>1387</v>
      </c>
      <c r="F32" s="337">
        <f>'数据-取费表'!B41</f>
        <v>5.6000000000000001E-2</v>
      </c>
      <c r="G32" s="1568"/>
      <c r="H32" s="2923"/>
      <c r="I32" s="1582"/>
      <c r="J32" s="1583"/>
      <c r="K32" s="2698"/>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28374</v>
      </c>
      <c r="D33" s="1554" t="s">
        <v>3113</v>
      </c>
      <c r="E33" s="308" t="s">
        <v>1387</v>
      </c>
      <c r="F33" s="328">
        <f>IF(D33="按票据","——",IF(D33="按租金收入计税",'数据-取费表'!B51,'数据-取费表'!B50))</f>
        <v>0.12</v>
      </c>
      <c r="G33" s="1568"/>
      <c r="H33" s="2926"/>
      <c r="I33" s="1582"/>
      <c r="J33" s="1583"/>
      <c r="K33" s="2927"/>
      <c r="L33" s="2926"/>
      <c r="M33" s="2926"/>
    </row>
    <row r="34" spans="1:18" ht="18" customHeight="1">
      <c r="A34" s="1201" t="s">
        <v>1354</v>
      </c>
      <c r="B34" s="160" t="s">
        <v>1406</v>
      </c>
      <c r="C34" s="25">
        <f ca="1">IF(项目基本情况!B11="自然人","——",ROUND(F34*F35,))</f>
        <v>0</v>
      </c>
      <c r="D34" s="330" t="s">
        <v>1407</v>
      </c>
      <c r="E34" s="308" t="s">
        <v>1408</v>
      </c>
      <c r="F34" s="331">
        <f>'数据-取费表'!B52</f>
        <v>24</v>
      </c>
      <c r="G34" s="1568"/>
      <c r="H34" s="2923"/>
      <c r="I34" s="1582"/>
      <c r="J34" s="1583"/>
      <c r="K34" s="2928"/>
      <c r="L34" s="2929"/>
      <c r="M34" s="2929"/>
    </row>
    <row r="35" spans="1:18" ht="18" customHeight="1">
      <c r="A35" s="1263"/>
      <c r="B35" s="1261"/>
      <c r="C35" s="29"/>
      <c r="D35" s="333"/>
      <c r="E35" s="308" t="s">
        <v>1412</v>
      </c>
      <c r="F35" s="309">
        <f ca="1">INDIRECT("'数据-取费表'!r"&amp;$G$1)</f>
        <v>0</v>
      </c>
      <c r="G35" s="1568"/>
      <c r="H35" s="2923"/>
      <c r="I35" s="1582"/>
      <c r="J35" s="1583"/>
      <c r="K35" s="2927"/>
      <c r="L35" s="2926"/>
      <c r="M35" s="2926"/>
    </row>
    <row r="36" spans="1:18" ht="18" customHeight="1">
      <c r="A36" s="1262" t="s">
        <v>1007</v>
      </c>
      <c r="B36" s="308" t="s">
        <v>1414</v>
      </c>
      <c r="C36" s="24">
        <f ca="1">ROUND(C29*F36,0)</f>
        <v>14331</v>
      </c>
      <c r="D36" s="1528" t="s">
        <v>1447</v>
      </c>
      <c r="E36" s="308" t="s">
        <v>1387</v>
      </c>
      <c r="F36" s="334">
        <f ca="1">INDIRECT("'数据-取费表'!Ak"&amp;$G$1)</f>
        <v>0.02</v>
      </c>
      <c r="G36" s="1568"/>
      <c r="H36" s="2926"/>
      <c r="I36" s="1582"/>
      <c r="J36" s="1583"/>
      <c r="K36" s="2767"/>
      <c r="L36" s="2926"/>
      <c r="M36" s="2926"/>
    </row>
    <row r="37" spans="1:18" ht="18" customHeight="1">
      <c r="A37" s="1113" t="s">
        <v>1043</v>
      </c>
      <c r="B37" s="308" t="s">
        <v>1418</v>
      </c>
      <c r="C37" s="24">
        <f ca="1">ROUND(C13*F37,0)</f>
        <v>1132</v>
      </c>
      <c r="D37" s="1528" t="s">
        <v>1419</v>
      </c>
      <c r="E37" s="308" t="s">
        <v>1420</v>
      </c>
      <c r="F37" s="336">
        <f ca="1">INDIRECT("'数据-取费表'!Al"&amp;$G$1)</f>
        <v>2E-3</v>
      </c>
      <c r="G37" s="1568"/>
      <c r="H37" s="2926"/>
      <c r="I37" s="1582"/>
      <c r="J37" s="1583"/>
      <c r="K37" s="2767"/>
      <c r="L37" s="2926"/>
      <c r="M37" s="2926"/>
    </row>
    <row r="38" spans="1:18" ht="18" customHeight="1" thickBot="1">
      <c r="A38" s="1249" t="s">
        <v>1358</v>
      </c>
      <c r="B38" s="1250" t="s">
        <v>1404</v>
      </c>
      <c r="C38" s="1251">
        <f ca="1">ROUND(C5*F38,1)</f>
        <v>4977.8</v>
      </c>
      <c r="D38" s="1252" t="s">
        <v>1424</v>
      </c>
      <c r="E38" s="1250" t="s">
        <v>1420</v>
      </c>
      <c r="F38" s="1246">
        <f ca="1">INDIRECT("'数据-取费表'!Am"&amp;$G$1)</f>
        <v>0.02</v>
      </c>
      <c r="G38" s="1568"/>
      <c r="H38" s="2926"/>
      <c r="I38" s="1582"/>
      <c r="J38" s="1583"/>
      <c r="K38" s="2930"/>
      <c r="L38" s="2926"/>
      <c r="M38" s="2926"/>
    </row>
    <row r="39" spans="1:18" ht="24.6" customHeight="1" thickTop="1">
      <c r="A39" s="1239" t="s">
        <v>999</v>
      </c>
      <c r="B39" s="1254" t="s">
        <v>1448</v>
      </c>
      <c r="C39" s="316">
        <f ca="1">C5-C30</f>
        <v>186835</v>
      </c>
      <c r="D39" s="1255" t="s">
        <v>1449</v>
      </c>
      <c r="E39" s="1256"/>
      <c r="F39" s="1257"/>
      <c r="G39" s="1568"/>
      <c r="H39" s="2926"/>
      <c r="I39" s="1582"/>
      <c r="J39" s="1583"/>
      <c r="K39" s="2930"/>
      <c r="L39" s="2926"/>
      <c r="M39" s="2926"/>
    </row>
    <row r="40" spans="1:18" ht="18" customHeight="1">
      <c r="A40" s="305" t="s">
        <v>1000</v>
      </c>
      <c r="B40" s="306" t="s">
        <v>1450</v>
      </c>
      <c r="C40" s="307">
        <f ca="1">ROUND(C39*(1-((1+F42)/(1+F40))^F41)/(F40-F42),0)</f>
        <v>4100987</v>
      </c>
      <c r="D40" s="330" t="s">
        <v>1434</v>
      </c>
      <c r="E40" s="308" t="s">
        <v>1435</v>
      </c>
      <c r="F40" s="318">
        <f ca="1">INDIRECT("'数据-取费表'!I"&amp;$G$1)</f>
        <v>5.5E-2</v>
      </c>
      <c r="G40" s="1568"/>
      <c r="H40" s="1645"/>
      <c r="I40" s="1582"/>
      <c r="J40" s="1583"/>
      <c r="K40" s="2930"/>
      <c r="L40" s="1645"/>
      <c r="M40" s="1645"/>
    </row>
    <row r="41" spans="1:18" ht="18" customHeight="1">
      <c r="A41" s="310"/>
      <c r="B41" s="311"/>
      <c r="C41" s="312"/>
      <c r="D41" s="338" t="s">
        <v>1451</v>
      </c>
      <c r="E41" s="308" t="s">
        <v>1439</v>
      </c>
      <c r="F41" s="339">
        <f ca="1">IF(INDIRECT("'数据-取费表'!af"&amp;$G$1)=0,INDIRECT("'数据-取费表'!ae"&amp;$G$1),INDIRECT("'数据-取费表'!af"&amp;$G$1))</f>
        <v>33.18</v>
      </c>
      <c r="G41" s="1568"/>
      <c r="H41" s="1353"/>
      <c r="I41" s="1582"/>
      <c r="J41" s="1583"/>
      <c r="K41" s="2767"/>
      <c r="L41" s="1353"/>
      <c r="M41" s="1353"/>
    </row>
    <row r="42" spans="1:18" ht="18" customHeight="1">
      <c r="A42" s="314"/>
      <c r="B42" s="315"/>
      <c r="C42" s="316"/>
      <c r="D42" s="333"/>
      <c r="E42" s="308" t="s">
        <v>1442</v>
      </c>
      <c r="F42" s="318">
        <f ca="1">INDIRECT("'数据-取费表'!v"&amp;$G$1)</f>
        <v>0.03</v>
      </c>
      <c r="G42" s="1568"/>
      <c r="H42" s="1353"/>
      <c r="I42" s="1582"/>
      <c r="J42" s="1583"/>
      <c r="K42" s="2767"/>
      <c r="L42" s="1353"/>
      <c r="M42" s="1353"/>
    </row>
    <row r="43" spans="1:18" ht="18" customHeight="1" thickBot="1">
      <c r="A43" s="340" t="s">
        <v>1001</v>
      </c>
      <c r="B43" s="341" t="s">
        <v>1452</v>
      </c>
      <c r="C43" s="342">
        <f ca="1">ROUND(C40/F43,0)</f>
        <v>39612</v>
      </c>
      <c r="D43" s="343" t="s">
        <v>1453</v>
      </c>
      <c r="E43" s="344" t="s">
        <v>1454</v>
      </c>
      <c r="F43" s="345">
        <f ca="1">INDIRECT("'数据-取费表'!k"&amp;$G$1)</f>
        <v>103.53</v>
      </c>
      <c r="G43" s="1568"/>
      <c r="H43" s="1353"/>
      <c r="I43" s="1353"/>
      <c r="J43" s="1353"/>
      <c r="K43" s="2767"/>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-5761576</v>
      </c>
      <c r="D45" s="1657" t="s">
        <v>1569</v>
      </c>
      <c r="E45" s="1584"/>
      <c r="F45" s="1584"/>
      <c r="O45" s="1587" t="s">
        <v>1484</v>
      </c>
      <c r="P45" s="1645"/>
      <c r="Q45" s="1645"/>
      <c r="R45" s="1645"/>
    </row>
    <row r="46" spans="1:18" s="1568" customFormat="1" ht="13.5" thickBot="1">
      <c r="A46" s="1588" t="s">
        <v>1485</v>
      </c>
      <c r="C46" s="1589">
        <f ca="1">ROUND(C45/10000,0)</f>
        <v>-576</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3114</v>
      </c>
      <c r="K47" s="1600" t="s">
        <v>1492</v>
      </c>
      <c r="L47" s="1601">
        <f ca="1">INDIRECT("'数据-取费表'!d"&amp;$G$1)</f>
        <v>50</v>
      </c>
      <c r="M47" s="1564" t="str">
        <f>IF(ISNUMBER(FIND("住宅",C1)),"住宅","非住宅")</f>
        <v>非住宅</v>
      </c>
      <c r="O47" s="1602" t="s">
        <v>1008</v>
      </c>
      <c r="P47" s="1603" t="s">
        <v>1493</v>
      </c>
      <c r="Q47" s="1604">
        <f ca="1">C40+J29</f>
        <v>4100987</v>
      </c>
      <c r="R47" s="1604" t="s">
        <v>1494</v>
      </c>
    </row>
    <row r="48" spans="1:18" s="1568" customFormat="1" ht="28.5" thickBot="1">
      <c r="A48" s="1270" t="s">
        <v>1103</v>
      </c>
      <c r="B48" s="306" t="s">
        <v>1366</v>
      </c>
      <c r="C48" s="1543">
        <f ca="1">C49+C53+C55</f>
        <v>0</v>
      </c>
      <c r="D48" s="1272"/>
      <c r="E48" s="1273"/>
      <c r="F48" s="1093"/>
      <c r="G48" s="731"/>
      <c r="H48" s="732"/>
      <c r="I48" s="1605" t="s">
        <v>1495</v>
      </c>
      <c r="J48" s="1606" t="s">
        <v>3115</v>
      </c>
      <c r="K48" s="1607" t="s">
        <v>1496</v>
      </c>
      <c r="L48" s="1608">
        <f ca="1">INDIRECT("'数据-取费表'!f"&amp;$G$1)</f>
        <v>33.18</v>
      </c>
      <c r="O48" s="1602" t="s">
        <v>1009</v>
      </c>
      <c r="P48" s="1603" t="s">
        <v>1497</v>
      </c>
      <c r="Q48" s="1604" t="str">
        <f ca="1">J60</f>
        <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v>2005</v>
      </c>
      <c r="K49" s="1607" t="s">
        <v>1500</v>
      </c>
      <c r="L49" s="1611"/>
      <c r="O49" s="1612" t="s">
        <v>1010</v>
      </c>
      <c r="P49" s="1603" t="s">
        <v>1501</v>
      </c>
      <c r="Q49" s="1604">
        <f ca="1">C29</f>
        <v>716557</v>
      </c>
      <c r="R49" s="1604" t="s">
        <v>1494</v>
      </c>
    </row>
    <row r="50" spans="1:18" s="1568" customFormat="1" ht="13.5" thickBot="1">
      <c r="A50" s="1107"/>
      <c r="B50" s="1110"/>
      <c r="C50" s="1111"/>
      <c r="D50" s="1084"/>
      <c r="E50" s="1187" t="s">
        <v>1371</v>
      </c>
      <c r="F50" s="1188">
        <f ca="1">F7</f>
        <v>103.53</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44</v>
      </c>
      <c r="K51" s="1618" t="s">
        <v>1506</v>
      </c>
      <c r="L51" s="1619">
        <f ca="1">ROUND(-PV(INDIRECT("'数据-取费表'!h"&amp;$G$1),J51,(C39-C13*C76),0),0)</f>
        <v>2638196</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33.18</v>
      </c>
      <c r="R52" s="1604" t="s">
        <v>1511</v>
      </c>
    </row>
    <row r="53" spans="1:18" s="1568" customFormat="1" ht="30.75" customHeight="1" thickBot="1">
      <c r="A53" s="1271" t="s">
        <v>1105</v>
      </c>
      <c r="B53" s="329"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33.18</v>
      </c>
      <c r="K53" s="3295" t="s">
        <v>1513</v>
      </c>
      <c r="L53" s="3296"/>
      <c r="O53" s="1602" t="s">
        <v>1014</v>
      </c>
      <c r="P53" s="1603" t="s">
        <v>1514</v>
      </c>
      <c r="Q53" s="1604">
        <f ca="1">Q47+Q48</f>
        <v>4100987</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566080</v>
      </c>
      <c r="D56" s="1631"/>
      <c r="E56" s="1632"/>
      <c r="F56" s="1624"/>
      <c r="I56" s="1633" t="s">
        <v>1519</v>
      </c>
      <c r="J56" s="1634" t="s">
        <v>3073</v>
      </c>
      <c r="K56" s="1605" t="s">
        <v>1520</v>
      </c>
      <c r="L56" s="1608" t="str">
        <f ca="1">IF(L48&lt;J51,"——",L48-J51)</f>
        <v>——</v>
      </c>
      <c r="O56" s="1602" t="s">
        <v>1008</v>
      </c>
      <c r="P56" s="1603" t="s">
        <v>1493</v>
      </c>
      <c r="Q56" s="1604">
        <f ca="1">C40+J29</f>
        <v>4100987</v>
      </c>
      <c r="R56" s="1604" t="s">
        <v>1494</v>
      </c>
    </row>
    <row r="57" spans="1:18" s="1568" customFormat="1" ht="24.75" thickBot="1">
      <c r="A57" s="1635"/>
      <c r="B57" s="1081" t="s">
        <v>1443</v>
      </c>
      <c r="C57" s="244">
        <f ca="1">C29</f>
        <v>716557</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75654</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60191</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60191</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24</v>
      </c>
      <c r="I62" s="1646" t="s">
        <v>1535</v>
      </c>
      <c r="J62" s="1647" t="s">
        <v>1536</v>
      </c>
      <c r="K62" s="1647" t="s">
        <v>1537</v>
      </c>
      <c r="L62" s="1647" t="s">
        <v>1538</v>
      </c>
      <c r="M62" s="1648" t="s">
        <v>1539</v>
      </c>
      <c r="O62" s="1602" t="s">
        <v>1014</v>
      </c>
      <c r="P62" s="1603" t="s">
        <v>1540</v>
      </c>
      <c r="Q62" s="1604">
        <f ca="1">Q56+Q57</f>
        <v>4100987</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14331</v>
      </c>
      <c r="D64" s="1095" t="s">
        <v>1467</v>
      </c>
      <c r="E64" s="1081" t="s">
        <v>1459</v>
      </c>
      <c r="F64" s="334">
        <f t="shared" ca="1" si="0"/>
        <v>0.02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1132</v>
      </c>
      <c r="D65" s="1095" t="s">
        <v>1419</v>
      </c>
      <c r="E65" s="1081" t="s">
        <v>1420</v>
      </c>
      <c r="F65" s="336">
        <f t="shared" ca="1" si="0"/>
        <v>2E-3</v>
      </c>
      <c r="I65" s="1646" t="s">
        <v>1544</v>
      </c>
      <c r="J65" s="1647">
        <v>40</v>
      </c>
      <c r="K65" s="1647">
        <v>30</v>
      </c>
      <c r="L65" s="1647">
        <v>50</v>
      </c>
      <c r="M65" s="1649">
        <v>0.02</v>
      </c>
      <c r="O65" s="1602" t="s">
        <v>1008</v>
      </c>
      <c r="P65" s="1603" t="s">
        <v>1545</v>
      </c>
      <c r="Q65" s="1604">
        <f ca="1">C40+J29</f>
        <v>4100987</v>
      </c>
      <c r="R65" s="1604" t="s">
        <v>1494</v>
      </c>
    </row>
    <row r="66" spans="1:18" s="1568" customFormat="1" ht="16.5" thickBot="1">
      <c r="A66" s="1113" t="s">
        <v>1469</v>
      </c>
      <c r="B66" s="1081" t="s">
        <v>1404</v>
      </c>
      <c r="C66" s="24">
        <f ca="1">ROUND(C48*F66,0)</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-75654</v>
      </c>
      <c r="D67" s="1094" t="s">
        <v>1429</v>
      </c>
      <c r="E67" s="1099"/>
      <c r="F67" s="1100"/>
      <c r="O67" s="1612" t="s">
        <v>1010</v>
      </c>
      <c r="P67" s="1603" t="s">
        <v>1527</v>
      </c>
      <c r="Q67" s="1650">
        <f ca="1">L51</f>
        <v>2638196</v>
      </c>
      <c r="R67" s="1604" t="s">
        <v>1547</v>
      </c>
    </row>
    <row r="68" spans="1:18" s="1568" customFormat="1" ht="16.5" thickBot="1">
      <c r="A68" s="1078" t="s">
        <v>1000</v>
      </c>
      <c r="B68" s="1079" t="s">
        <v>1450</v>
      </c>
      <c r="C68" s="307">
        <f ca="1">ROUND(C67*(1-((1+F70)/(1+F68))^F69)/(F68-F70),0)</f>
        <v>-1660589</v>
      </c>
      <c r="D68" s="1096" t="s">
        <v>1434</v>
      </c>
      <c r="E68" s="1081" t="s">
        <v>1435</v>
      </c>
      <c r="F68" s="318">
        <f ca="1">F40</f>
        <v>5.5E-2</v>
      </c>
      <c r="O68" s="1612" t="s">
        <v>1011</v>
      </c>
      <c r="P68" s="1651" t="s">
        <v>1548</v>
      </c>
      <c r="Q68" s="1604">
        <f ca="1">ROUND(Q69-Q70*Q71,0)</f>
        <v>138718</v>
      </c>
      <c r="R68" s="1604" t="s">
        <v>1019</v>
      </c>
    </row>
    <row r="69" spans="1:18" s="1568" customFormat="1" ht="13.5" thickBot="1">
      <c r="A69" s="1082"/>
      <c r="B69" s="1083"/>
      <c r="C69" s="312"/>
      <c r="D69" s="1101" t="s">
        <v>1438</v>
      </c>
      <c r="E69" s="1081" t="s">
        <v>1439</v>
      </c>
      <c r="F69" s="339">
        <f ca="1">F41</f>
        <v>33.18</v>
      </c>
      <c r="O69" s="1612" t="s">
        <v>1016</v>
      </c>
      <c r="P69" s="1651" t="s">
        <v>1549</v>
      </c>
      <c r="Q69" s="1604">
        <f ca="1">C39</f>
        <v>186835</v>
      </c>
      <c r="R69" s="1604" t="s">
        <v>1494</v>
      </c>
    </row>
    <row r="70" spans="1:18" s="1568" customFormat="1" ht="13.5" thickBot="1">
      <c r="A70" s="1085"/>
      <c r="B70" s="1086"/>
      <c r="C70" s="316"/>
      <c r="D70" s="1097"/>
      <c r="E70" s="1081" t="s">
        <v>1442</v>
      </c>
      <c r="F70" s="1185">
        <f ca="1">F42</f>
        <v>0.03</v>
      </c>
      <c r="O70" s="1612" t="s">
        <v>1017</v>
      </c>
      <c r="P70" s="1651" t="s">
        <v>1550</v>
      </c>
      <c r="Q70" s="1604">
        <f ca="1">C13</f>
        <v>566080</v>
      </c>
      <c r="R70" s="1604" t="s">
        <v>1494</v>
      </c>
    </row>
    <row r="71" spans="1:18" s="1568" customFormat="1" ht="13.5" thickBot="1">
      <c r="A71" s="1102" t="s">
        <v>1001</v>
      </c>
      <c r="B71" s="1103" t="s">
        <v>1452</v>
      </c>
      <c r="C71" s="342">
        <f ca="1">ROUND(C68/F71,0)</f>
        <v>-16040</v>
      </c>
      <c r="D71" s="1104" t="s">
        <v>1453</v>
      </c>
      <c r="E71" s="1105" t="s">
        <v>1454</v>
      </c>
      <c r="F71" s="345">
        <f ca="1">F43</f>
        <v>103.53</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48117</v>
      </c>
      <c r="D75" s="1568"/>
      <c r="E75" s="1568"/>
      <c r="F75" s="1568"/>
      <c r="K75" s="1586"/>
      <c r="L75" s="1568"/>
      <c r="O75" s="1602" t="s">
        <v>1014</v>
      </c>
      <c r="P75" s="1603" t="s">
        <v>1514</v>
      </c>
      <c r="Q75" s="1604">
        <f ca="1">Q65+Q66</f>
        <v>4100987</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0.74199999999999999</v>
      </c>
    </row>
    <row r="80" spans="1:18">
      <c r="B80" s="346" t="s">
        <v>1476</v>
      </c>
      <c r="C80" s="280">
        <f ca="1">ROUND(C75/C39,3)</f>
        <v>0.25800000000000001</v>
      </c>
    </row>
    <row r="81" spans="2:3">
      <c r="B81" s="276" t="s">
        <v>1477</v>
      </c>
      <c r="C81" s="244"/>
    </row>
    <row r="82" spans="2:3">
      <c r="B82" s="279" t="s">
        <v>1478</v>
      </c>
      <c r="C82" s="281">
        <f ca="1">1-C83</f>
        <v>0.86199999999999999</v>
      </c>
    </row>
    <row r="83" spans="2:3">
      <c r="B83" s="279" t="s">
        <v>1479</v>
      </c>
      <c r="C83" s="280">
        <f ca="1">ROUND(C13/C40,3)</f>
        <v>0.13800000000000001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2344</v>
      </c>
      <c r="B1" s="2054"/>
      <c r="C1" s="2054"/>
      <c r="D1" s="2054"/>
      <c r="E1" s="2055"/>
      <c r="F1" s="2933"/>
      <c r="G1" s="1674"/>
      <c r="H1" s="1674"/>
      <c r="I1" s="1674"/>
      <c r="J1" s="1674"/>
      <c r="K1" s="1674"/>
      <c r="L1" s="1674"/>
      <c r="M1" s="1674"/>
      <c r="N1" s="1674"/>
      <c r="O1" s="1674"/>
      <c r="P1" s="1674"/>
      <c r="Q1" s="1674"/>
      <c r="R1" s="1674"/>
      <c r="S1" s="1674"/>
    </row>
    <row r="2" spans="1:22" ht="15.75">
      <c r="A2" s="2056" t="s">
        <v>2145</v>
      </c>
      <c r="B2" s="2057">
        <f ca="1">SUMIF(B6:B13,"&lt;&gt;#ref!",B6:B13)</f>
        <v>410</v>
      </c>
      <c r="C2" s="2058" t="s">
        <v>2337</v>
      </c>
      <c r="D2" s="2059" t="s">
        <v>2338</v>
      </c>
      <c r="E2" s="2830">
        <f>SUM(E6:E13)</f>
        <v>103.53</v>
      </c>
      <c r="F2" s="2933"/>
      <c r="G2" s="1674"/>
      <c r="H2" s="1674"/>
      <c r="I2" s="1674"/>
      <c r="J2" s="1674"/>
      <c r="K2" s="1674"/>
      <c r="L2" s="1674"/>
      <c r="M2" s="1674"/>
      <c r="N2" s="1674"/>
      <c r="O2" s="1674"/>
      <c r="P2" s="1674"/>
      <c r="Q2" s="1674"/>
      <c r="R2" s="1674"/>
      <c r="S2" s="1674"/>
    </row>
    <row r="3" spans="1:22" ht="15.75">
      <c r="A3" s="2056" t="s">
        <v>1360</v>
      </c>
      <c r="B3" s="2824">
        <f ca="1">ROUND(B2*10000/E2,0)</f>
        <v>39602</v>
      </c>
      <c r="C3" s="2058" t="s">
        <v>2345</v>
      </c>
      <c r="D3" s="2935"/>
      <c r="E3" s="2937"/>
      <c r="F3" s="2933"/>
      <c r="G3" s="1674"/>
      <c r="H3" s="1674"/>
      <c r="I3" s="1674"/>
      <c r="J3" s="1674"/>
      <c r="K3" s="1674"/>
      <c r="L3" s="1674"/>
      <c r="M3" s="1674"/>
      <c r="N3" s="1674"/>
      <c r="O3" s="1674"/>
      <c r="P3" s="1674"/>
      <c r="Q3" s="1674"/>
      <c r="R3" s="1674"/>
      <c r="S3" s="1674"/>
    </row>
    <row r="4" spans="1:22" ht="15.75">
      <c r="A4" s="2938"/>
      <c r="B4" s="2935"/>
      <c r="C4" s="2935"/>
      <c r="D4" s="2935"/>
      <c r="E4" s="2937"/>
      <c r="F4" s="2933"/>
      <c r="G4" s="1674"/>
      <c r="H4" s="1674"/>
      <c r="I4" s="1674"/>
      <c r="J4" s="1674"/>
      <c r="K4" s="1674"/>
      <c r="L4" s="1674"/>
      <c r="M4" s="1674"/>
      <c r="N4" s="1674"/>
      <c r="O4" s="1674"/>
      <c r="P4" s="1674"/>
      <c r="Q4" s="1674"/>
      <c r="R4" s="1674"/>
      <c r="S4" s="1674"/>
    </row>
    <row r="5" spans="1:22" ht="15">
      <c r="A5" s="2826" t="s">
        <v>2339</v>
      </c>
      <c r="B5" s="3300" t="s">
        <v>2340</v>
      </c>
      <c r="C5" s="3301"/>
      <c r="D5" s="2934"/>
      <c r="E5" s="2060" t="s">
        <v>2341</v>
      </c>
      <c r="F5" s="2061" t="s">
        <v>2342</v>
      </c>
      <c r="G5" s="1674"/>
      <c r="H5" s="1674"/>
      <c r="I5" s="1674"/>
      <c r="J5" s="1674"/>
      <c r="K5" s="1674"/>
      <c r="L5" s="1674"/>
      <c r="M5" s="1674"/>
      <c r="N5" s="1674"/>
      <c r="O5" s="1674"/>
      <c r="P5" s="1674"/>
      <c r="Q5" s="1674"/>
      <c r="R5" s="1674"/>
      <c r="S5" s="1674"/>
    </row>
    <row r="6" spans="1:22">
      <c r="A6" s="2827" t="str">
        <f>'数据-取费表'!AN6</f>
        <v>收益法 (元)</v>
      </c>
      <c r="B6" s="2825">
        <f ca="1">IF(F6="是",'数据-取费表'!AO6,0)</f>
        <v>410</v>
      </c>
      <c r="C6" s="2058" t="s">
        <v>2337</v>
      </c>
      <c r="D6" s="2935"/>
      <c r="E6" s="2829">
        <f>IF(OR(A6=0,F6="否"),0,'数据-取费表'!K6+'数据-取费表'!S6)</f>
        <v>103.53</v>
      </c>
      <c r="F6" s="2062" t="s">
        <v>2343</v>
      </c>
      <c r="G6" s="1674"/>
      <c r="H6" s="1674"/>
      <c r="I6" s="1674"/>
      <c r="J6" s="1674"/>
      <c r="K6" s="1674"/>
      <c r="L6" s="1674"/>
      <c r="M6" s="1674"/>
      <c r="N6" s="1674"/>
      <c r="O6" s="1674"/>
      <c r="P6" s="1674"/>
      <c r="Q6" s="1674"/>
      <c r="R6" s="1674"/>
      <c r="S6" s="1674"/>
    </row>
    <row r="7" spans="1:22">
      <c r="A7" s="2827">
        <f>'数据-取费表'!AN7</f>
        <v>0</v>
      </c>
      <c r="B7" s="2825" t="e">
        <f ca="1">IF(F7="是",'数据-取费表'!AO7,0)</f>
        <v>#REF!</v>
      </c>
      <c r="C7" s="2058" t="s">
        <v>2337</v>
      </c>
      <c r="D7" s="2935"/>
      <c r="E7" s="2829">
        <f>IF(OR(A7=0,F7="否"),0,'数据-取费表'!K7+'数据-取费表'!S7)</f>
        <v>0</v>
      </c>
      <c r="F7" s="2062" t="s">
        <v>2343</v>
      </c>
      <c r="G7" s="1674"/>
      <c r="H7" s="1674"/>
      <c r="I7" s="1674"/>
      <c r="J7" s="1674"/>
      <c r="K7" s="1674"/>
      <c r="L7" s="1674"/>
      <c r="M7" s="1674"/>
      <c r="N7" s="1674"/>
      <c r="O7" s="1674"/>
      <c r="P7" s="1674"/>
      <c r="Q7" s="1674"/>
      <c r="R7" s="1674"/>
      <c r="S7" s="1674"/>
    </row>
    <row r="8" spans="1:22">
      <c r="A8" s="2827">
        <f>'数据-取费表'!AN8</f>
        <v>0</v>
      </c>
      <c r="B8" s="2825" t="e">
        <f ca="1">IF(F8="是",'数据-取费表'!AO8,0)</f>
        <v>#REF!</v>
      </c>
      <c r="C8" s="2058" t="s">
        <v>2337</v>
      </c>
      <c r="D8" s="2935"/>
      <c r="E8" s="2829">
        <f>IF(OR(A8=0,F8="否"),0,'数据-取费表'!K8+'数据-取费表'!S8)</f>
        <v>0</v>
      </c>
      <c r="F8" s="2062" t="s">
        <v>2343</v>
      </c>
      <c r="G8" s="1674"/>
      <c r="H8" s="1674"/>
      <c r="I8" s="1674"/>
      <c r="J8" s="1674"/>
      <c r="K8" s="1674"/>
      <c r="L8" s="1674"/>
      <c r="M8" s="1674"/>
      <c r="N8" s="1674"/>
      <c r="O8" s="1674"/>
      <c r="P8" s="1674"/>
      <c r="Q8" s="1674"/>
      <c r="R8" s="1674"/>
      <c r="S8" s="1674"/>
    </row>
    <row r="9" spans="1:22">
      <c r="A9" s="2827">
        <f>'数据-取费表'!AN9</f>
        <v>0</v>
      </c>
      <c r="B9" s="2825" t="e">
        <f ca="1">IF(F9="是",'数据-取费表'!AO9,0)</f>
        <v>#REF!</v>
      </c>
      <c r="C9" s="2058" t="s">
        <v>2337</v>
      </c>
      <c r="D9" s="2935"/>
      <c r="E9" s="2829">
        <f>IF(OR(A9=0,F9="否"),0,'数据-取费表'!K9+'数据-取费表'!S9)</f>
        <v>0</v>
      </c>
      <c r="F9" s="2062" t="s">
        <v>2343</v>
      </c>
      <c r="G9" s="1674"/>
      <c r="H9" s="1674"/>
      <c r="I9" s="1674"/>
      <c r="J9" s="1674"/>
      <c r="K9" s="1674"/>
      <c r="L9" s="1674"/>
      <c r="M9" s="1674"/>
      <c r="N9" s="1674"/>
      <c r="O9" s="1674"/>
      <c r="P9" s="1674"/>
      <c r="Q9" s="1674"/>
      <c r="R9" s="1674"/>
      <c r="S9" s="1674"/>
    </row>
    <row r="10" spans="1:22">
      <c r="A10" s="2827">
        <f>'数据-取费表'!AN10</f>
        <v>0</v>
      </c>
      <c r="B10" s="2825" t="e">
        <f ca="1">IF(F10="是",'数据-取费表'!AO10,0)</f>
        <v>#REF!</v>
      </c>
      <c r="C10" s="2058" t="s">
        <v>2337</v>
      </c>
      <c r="D10" s="2935"/>
      <c r="E10" s="2829">
        <f>IF(OR(A10=0,F10="否"),0,'数据-取费表'!K10+'数据-取费表'!S10)</f>
        <v>0</v>
      </c>
      <c r="F10" s="2062" t="s">
        <v>2343</v>
      </c>
      <c r="G10" s="1674"/>
      <c r="H10" s="1674"/>
      <c r="I10" s="1674"/>
      <c r="J10" s="1674"/>
      <c r="K10" s="1674"/>
      <c r="L10" s="1674"/>
      <c r="M10" s="1674"/>
      <c r="N10" s="1674"/>
      <c r="O10" s="1674"/>
      <c r="P10" s="1674"/>
      <c r="Q10" s="1674"/>
      <c r="R10" s="1674"/>
      <c r="S10" s="1674"/>
    </row>
    <row r="11" spans="1:22">
      <c r="A11" s="2827">
        <f>'数据-取费表'!AN11</f>
        <v>0</v>
      </c>
      <c r="B11" s="2825" t="e">
        <f ca="1">IF(F11="是",'数据-取费表'!AO11,0)</f>
        <v>#REF!</v>
      </c>
      <c r="C11" s="2058" t="s">
        <v>2337</v>
      </c>
      <c r="D11" s="2935"/>
      <c r="E11" s="2829">
        <f>IF(OR(A11=0,F11="否"),0,'数据-取费表'!K11+'数据-取费表'!S11)</f>
        <v>0</v>
      </c>
      <c r="F11" s="2062" t="s">
        <v>2343</v>
      </c>
      <c r="G11" s="1674"/>
      <c r="H11" s="1674"/>
      <c r="I11" s="1674"/>
      <c r="J11" s="1674"/>
      <c r="K11" s="1674"/>
      <c r="L11" s="1674"/>
      <c r="M11" s="1674"/>
      <c r="N11" s="1674"/>
      <c r="O11" s="1674"/>
      <c r="P11" s="1674"/>
      <c r="Q11" s="1674"/>
      <c r="R11" s="1674"/>
      <c r="S11" s="1674"/>
    </row>
    <row r="12" spans="1:22">
      <c r="A12" s="2827">
        <f>'数据-取费表'!AN12</f>
        <v>0</v>
      </c>
      <c r="B12" s="2825" t="e">
        <f ca="1">IF(F12="是",'数据-取费表'!AO12,0)</f>
        <v>#REF!</v>
      </c>
      <c r="C12" s="2058" t="s">
        <v>2337</v>
      </c>
      <c r="D12" s="2935"/>
      <c r="E12" s="2829">
        <f>IF(OR(A12=0,F12="否"),0,'数据-取费表'!K12+'数据-取费表'!S12)</f>
        <v>0</v>
      </c>
      <c r="F12" s="2062" t="s">
        <v>2343</v>
      </c>
      <c r="G12" s="1674"/>
      <c r="H12" s="1674"/>
      <c r="I12" s="1674"/>
      <c r="J12" s="1674"/>
      <c r="K12" s="1674"/>
      <c r="L12" s="1674"/>
      <c r="M12" s="1674"/>
      <c r="N12" s="1674"/>
      <c r="O12" s="1674"/>
      <c r="P12" s="1674"/>
      <c r="Q12" s="1674"/>
      <c r="R12" s="1674"/>
      <c r="S12" s="1674"/>
    </row>
    <row r="13" spans="1:22" ht="15" thickBot="1">
      <c r="A13" s="2828">
        <f>'数据-取费表'!AN13</f>
        <v>0</v>
      </c>
      <c r="B13" s="2825" t="e">
        <f ca="1">IF(F13="是",'数据-取费表'!AO13,0)</f>
        <v>#REF!</v>
      </c>
      <c r="C13" s="2063" t="s">
        <v>2337</v>
      </c>
      <c r="D13" s="2936"/>
      <c r="E13" s="2829">
        <f>IF(OR(A13=0,F13="否"),0,'数据-取费表'!K13+'数据-取费表'!S13)</f>
        <v>0</v>
      </c>
      <c r="F13" s="2062" t="s">
        <v>2343</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2" t="s">
        <v>1044</v>
      </c>
      <c r="B1" s="3303"/>
      <c r="C1" s="3304"/>
      <c r="D1" s="3305">
        <f>SUM(I10,I15,I20,I21,I23)</f>
        <v>0</v>
      </c>
      <c r="E1" s="3305"/>
      <c r="F1" s="3305"/>
      <c r="G1" s="3305"/>
      <c r="H1" s="3305"/>
      <c r="I1" s="3306"/>
    </row>
    <row r="2" spans="1:9">
      <c r="A2" s="3307" t="s">
        <v>1045</v>
      </c>
      <c r="B2" s="3308" t="s">
        <v>1046</v>
      </c>
      <c r="C2" s="3308"/>
      <c r="D2" s="1211" t="s">
        <v>1047</v>
      </c>
      <c r="E2" s="1211" t="s">
        <v>1048</v>
      </c>
      <c r="F2" s="1211" t="s">
        <v>1049</v>
      </c>
      <c r="G2" s="1211" t="s">
        <v>1050</v>
      </c>
      <c r="H2" s="1211" t="s">
        <v>1051</v>
      </c>
      <c r="I2" s="1212" t="s">
        <v>1052</v>
      </c>
    </row>
    <row r="3" spans="1:9">
      <c r="A3" s="3307"/>
      <c r="B3" s="3308" t="s">
        <v>1053</v>
      </c>
      <c r="C3" s="3308"/>
      <c r="D3" s="1213"/>
      <c r="E3" s="1211"/>
      <c r="F3" s="1214"/>
      <c r="G3" s="1214"/>
      <c r="H3" s="1215"/>
      <c r="I3" s="1216">
        <f>ROUND(D3*E3*F3*G3*H3/10000,0)</f>
        <v>0</v>
      </c>
    </row>
    <row r="4" spans="1:9">
      <c r="A4" s="3307"/>
      <c r="B4" s="3308" t="s">
        <v>1054</v>
      </c>
      <c r="C4" s="3308"/>
      <c r="D4" s="1213"/>
      <c r="E4" s="1211"/>
      <c r="F4" s="1214"/>
      <c r="G4" s="1214"/>
      <c r="H4" s="1215"/>
      <c r="I4" s="1216">
        <f t="shared" ref="I4:I9" si="0">ROUND(D4*E4*F4*G4*H4/10000,0)</f>
        <v>0</v>
      </c>
    </row>
    <row r="5" spans="1:9">
      <c r="A5" s="3307"/>
      <c r="B5" s="3308" t="s">
        <v>1055</v>
      </c>
      <c r="C5" s="3308"/>
      <c r="D5" s="1213"/>
      <c r="E5" s="1211"/>
      <c r="F5" s="1214"/>
      <c r="G5" s="1214"/>
      <c r="H5" s="1215"/>
      <c r="I5" s="1216">
        <f t="shared" si="0"/>
        <v>0</v>
      </c>
    </row>
    <row r="6" spans="1:9">
      <c r="A6" s="3307"/>
      <c r="B6" s="3308" t="s">
        <v>1056</v>
      </c>
      <c r="C6" s="3308"/>
      <c r="D6" s="1213"/>
      <c r="E6" s="1211"/>
      <c r="F6" s="1214"/>
      <c r="G6" s="1214"/>
      <c r="H6" s="1215"/>
      <c r="I6" s="1216">
        <f t="shared" si="0"/>
        <v>0</v>
      </c>
    </row>
    <row r="7" spans="1:9">
      <c r="A7" s="3307"/>
      <c r="B7" s="3308" t="s">
        <v>1057</v>
      </c>
      <c r="C7" s="3308"/>
      <c r="D7" s="1213"/>
      <c r="E7" s="1211"/>
      <c r="F7" s="1214"/>
      <c r="G7" s="1214"/>
      <c r="H7" s="1215"/>
      <c r="I7" s="1216">
        <f t="shared" si="0"/>
        <v>0</v>
      </c>
    </row>
    <row r="8" spans="1:9">
      <c r="A8" s="3307"/>
      <c r="B8" s="3308" t="s">
        <v>1058</v>
      </c>
      <c r="C8" s="3308"/>
      <c r="D8" s="1213"/>
      <c r="E8" s="1211"/>
      <c r="F8" s="1214"/>
      <c r="G8" s="1214"/>
      <c r="H8" s="1215"/>
      <c r="I8" s="1216">
        <f t="shared" si="0"/>
        <v>0</v>
      </c>
    </row>
    <row r="9" spans="1:9">
      <c r="A9" s="3307"/>
      <c r="B9" s="3308" t="s">
        <v>1059</v>
      </c>
      <c r="C9" s="3308"/>
      <c r="D9" s="1213"/>
      <c r="E9" s="1211"/>
      <c r="F9" s="1214"/>
      <c r="G9" s="1214"/>
      <c r="H9" s="1215"/>
      <c r="I9" s="1216">
        <f t="shared" si="0"/>
        <v>0</v>
      </c>
    </row>
    <row r="10" spans="1:9">
      <c r="A10" s="3307"/>
      <c r="B10" s="3309" t="s">
        <v>1060</v>
      </c>
      <c r="C10" s="3309"/>
      <c r="D10" s="1217"/>
      <c r="E10" s="1217" t="e">
        <f>ROUND(D1*10000/D10/H9,0)</f>
        <v>#DIV/0!</v>
      </c>
      <c r="F10" s="1218"/>
      <c r="G10" s="1218"/>
      <c r="H10" s="1219"/>
      <c r="I10" s="1220">
        <f>SUM(I3:I9)</f>
        <v>0</v>
      </c>
    </row>
    <row r="11" spans="1:9" ht="14.25">
      <c r="A11" s="3307" t="s">
        <v>1061</v>
      </c>
      <c r="B11" s="3308" t="s">
        <v>1062</v>
      </c>
      <c r="C11" s="3308"/>
      <c r="D11" s="1213" t="s">
        <v>1063</v>
      </c>
      <c r="E11" s="1213" t="s">
        <v>1064</v>
      </c>
      <c r="F11" s="1214" t="s">
        <v>1065</v>
      </c>
      <c r="G11" s="1214" t="s">
        <v>1051</v>
      </c>
      <c r="H11" s="1221" t="s">
        <v>1066</v>
      </c>
      <c r="I11" s="1212" t="s">
        <v>1052</v>
      </c>
    </row>
    <row r="12" spans="1:9">
      <c r="A12" s="3307"/>
      <c r="B12" s="3308" t="s">
        <v>1067</v>
      </c>
      <c r="C12" s="3308"/>
      <c r="D12" s="1213"/>
      <c r="E12" s="1213"/>
      <c r="F12" s="1214"/>
      <c r="G12" s="1215"/>
      <c r="H12" s="1222"/>
      <c r="I12" s="1212">
        <f>ROUND(D12*E12*F12*G12/10000,0)</f>
        <v>0</v>
      </c>
    </row>
    <row r="13" spans="1:9">
      <c r="A13" s="3307"/>
      <c r="B13" s="3308" t="s">
        <v>1068</v>
      </c>
      <c r="C13" s="3308"/>
      <c r="D13" s="1213"/>
      <c r="E13" s="1213"/>
      <c r="F13" s="1214"/>
      <c r="G13" s="1215"/>
      <c r="H13" s="1222"/>
      <c r="I13" s="1212">
        <f>ROUND(D13*E13*F13*G13/10000,0)</f>
        <v>0</v>
      </c>
    </row>
    <row r="14" spans="1:9">
      <c r="A14" s="3307"/>
      <c r="B14" s="3308" t="s">
        <v>1069</v>
      </c>
      <c r="C14" s="3308"/>
      <c r="D14" s="1213"/>
      <c r="E14" s="1213"/>
      <c r="F14" s="1214"/>
      <c r="G14" s="1215"/>
      <c r="H14" s="1222"/>
      <c r="I14" s="1212">
        <f>ROUND(D14*E14*F14*G14/10000,0)</f>
        <v>0</v>
      </c>
    </row>
    <row r="15" spans="1:9">
      <c r="A15" s="3307"/>
      <c r="B15" s="3309" t="s">
        <v>1060</v>
      </c>
      <c r="C15" s="3309"/>
      <c r="D15" s="1217"/>
      <c r="E15" s="1217">
        <f>SUM(E12:E14)</f>
        <v>0</v>
      </c>
      <c r="F15" s="1218"/>
      <c r="G15" s="1215"/>
      <c r="H15" s="1222"/>
      <c r="I15" s="1223">
        <f>SUM(I12:I14)</f>
        <v>0</v>
      </c>
    </row>
    <row r="16" spans="1:9" ht="24">
      <c r="A16" s="3307" t="s">
        <v>1070</v>
      </c>
      <c r="B16" s="3308" t="s">
        <v>1071</v>
      </c>
      <c r="C16" s="3308"/>
      <c r="D16" s="1213" t="s">
        <v>1047</v>
      </c>
      <c r="E16" s="1224" t="s">
        <v>1072</v>
      </c>
      <c r="F16" s="1214" t="s">
        <v>1073</v>
      </c>
      <c r="G16" s="1215" t="s">
        <v>1051</v>
      </c>
      <c r="H16" s="1221" t="s">
        <v>1066</v>
      </c>
      <c r="I16" s="1212" t="s">
        <v>1052</v>
      </c>
    </row>
    <row r="17" spans="1:9" ht="14.25">
      <c r="A17" s="3307"/>
      <c r="B17" s="3308" t="s">
        <v>1074</v>
      </c>
      <c r="C17" s="3308"/>
      <c r="D17" s="1213"/>
      <c r="E17" s="1213"/>
      <c r="F17" s="1214"/>
      <c r="G17" s="1215"/>
      <c r="H17" s="1225"/>
      <c r="I17" s="1226">
        <f>ROUND(D17*E17*F17*G17/10000,0)</f>
        <v>0</v>
      </c>
    </row>
    <row r="18" spans="1:9" ht="14.25">
      <c r="A18" s="3307"/>
      <c r="B18" s="3308" t="s">
        <v>1075</v>
      </c>
      <c r="C18" s="3308"/>
      <c r="D18" s="1213"/>
      <c r="E18" s="1213"/>
      <c r="F18" s="1214"/>
      <c r="G18" s="1215"/>
      <c r="H18" s="1225"/>
      <c r="I18" s="1226">
        <f>ROUND(D18*E18*F18*G18/10000,0)</f>
        <v>0</v>
      </c>
    </row>
    <row r="19" spans="1:9" ht="14.25">
      <c r="A19" s="3307"/>
      <c r="B19" s="3308" t="s">
        <v>1076</v>
      </c>
      <c r="C19" s="3308"/>
      <c r="D19" s="1213"/>
      <c r="E19" s="1213"/>
      <c r="F19" s="1214"/>
      <c r="G19" s="1215"/>
      <c r="H19" s="1225"/>
      <c r="I19" s="1226">
        <f>ROUND(D19*E19*F19*G19/10000,0)</f>
        <v>0</v>
      </c>
    </row>
    <row r="20" spans="1:9">
      <c r="A20" s="3307"/>
      <c r="B20" s="3309" t="s">
        <v>1060</v>
      </c>
      <c r="C20" s="3309"/>
      <c r="D20" s="1217">
        <f>SUM(D17:D19)</f>
        <v>0</v>
      </c>
      <c r="E20" s="1217"/>
      <c r="F20" s="1218"/>
      <c r="G20" s="1215"/>
      <c r="H20" s="1222"/>
      <c r="I20" s="1223">
        <f>SUM(I17:I19)</f>
        <v>0</v>
      </c>
    </row>
    <row r="21" spans="1:9">
      <c r="A21" s="3307" t="s">
        <v>1077</v>
      </c>
      <c r="B21" s="3311"/>
      <c r="C21" s="3311"/>
      <c r="D21" s="3311"/>
      <c r="E21" s="3311"/>
      <c r="F21" s="3311"/>
      <c r="G21" s="3311"/>
      <c r="H21" s="1502">
        <v>0.1</v>
      </c>
      <c r="I21" s="1220">
        <f>ROUND(I10*H21,0)</f>
        <v>0</v>
      </c>
    </row>
    <row r="22" spans="1:9" ht="14.25">
      <c r="A22" s="3312" t="s">
        <v>1078</v>
      </c>
      <c r="B22" s="3313"/>
      <c r="C22" s="3314"/>
      <c r="D22" s="1227" t="s">
        <v>1079</v>
      </c>
      <c r="E22" s="1227" t="s">
        <v>1080</v>
      </c>
      <c r="F22" s="1228" t="s">
        <v>1081</v>
      </c>
      <c r="G22" s="1228" t="s">
        <v>1082</v>
      </c>
      <c r="H22" s="1221" t="s">
        <v>1083</v>
      </c>
      <c r="I22" s="1212" t="s">
        <v>1084</v>
      </c>
    </row>
    <row r="23" spans="1:9" ht="14.25" thickBot="1">
      <c r="A23" s="3315"/>
      <c r="B23" s="3316"/>
      <c r="C23" s="3317"/>
      <c r="D23" s="1229"/>
      <c r="E23" s="1229"/>
      <c r="F23" s="1229"/>
      <c r="G23" s="1230"/>
      <c r="H23" s="1231"/>
      <c r="I23" s="1232">
        <f>ROUND(E23*D23*F23*(1-G23)/10000,0)</f>
        <v>0</v>
      </c>
    </row>
    <row r="26" spans="1:9">
      <c r="A26" s="1233" t="s">
        <v>1085</v>
      </c>
      <c r="B26" s="1233"/>
      <c r="C26" s="1233"/>
      <c r="D26" s="1233"/>
      <c r="E26" s="3318">
        <f>C27-C30-C31-C32</f>
        <v>0</v>
      </c>
      <c r="F26" s="3318"/>
      <c r="G26" s="3318"/>
      <c r="H26" s="1499" t="s">
        <v>1306</v>
      </c>
    </row>
    <row r="27" spans="1:9">
      <c r="A27" s="1234">
        <v>1</v>
      </c>
      <c r="B27" s="1235" t="s">
        <v>1086</v>
      </c>
      <c r="C27" s="1235">
        <f>C28+C29</f>
        <v>0</v>
      </c>
      <c r="D27" s="1235"/>
      <c r="E27" s="3319"/>
      <c r="F27" s="3319"/>
      <c r="G27" s="3319"/>
    </row>
    <row r="28" spans="1:9">
      <c r="A28" s="1236" t="s">
        <v>1087</v>
      </c>
      <c r="B28" s="1235" t="s">
        <v>1088</v>
      </c>
      <c r="C28" s="1235"/>
      <c r="D28" s="1235"/>
      <c r="E28" s="3319"/>
      <c r="F28" s="3319"/>
      <c r="G28" s="331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0"/>
      <c r="F32" s="3310"/>
      <c r="G32" s="3310"/>
    </row>
    <row r="33" spans="1:7" hidden="1">
      <c r="A33" s="3320" t="s">
        <v>1097</v>
      </c>
      <c r="B33" s="3321"/>
      <c r="C33" s="3321"/>
      <c r="D33" s="3322"/>
      <c r="E33" s="3318"/>
      <c r="F33" s="3318"/>
      <c r="G33" s="3318"/>
    </row>
    <row r="34" spans="1:7" hidden="1">
      <c r="A34" s="1238">
        <v>1</v>
      </c>
      <c r="B34" s="1235" t="s">
        <v>1098</v>
      </c>
      <c r="C34" s="1235"/>
      <c r="D34" s="1235"/>
      <c r="E34" s="3319"/>
      <c r="F34" s="3319"/>
      <c r="G34" s="3319"/>
    </row>
    <row r="35" spans="1:7" hidden="1">
      <c r="A35" s="1238">
        <v>2</v>
      </c>
      <c r="B35" s="1235" t="s">
        <v>1099</v>
      </c>
      <c r="C35" s="1235"/>
      <c r="D35" s="1235"/>
      <c r="E35" s="3319"/>
      <c r="F35" s="3319"/>
      <c r="G35" s="3319"/>
    </row>
    <row r="36" spans="1:7" hidden="1">
      <c r="A36" s="1238">
        <v>3</v>
      </c>
      <c r="B36" s="1235" t="s">
        <v>1100</v>
      </c>
      <c r="C36" s="1235"/>
      <c r="D36" s="1235"/>
      <c r="E36" s="3319"/>
      <c r="F36" s="3319"/>
      <c r="G36" s="3319"/>
    </row>
    <row r="37" spans="1:7" hidden="1">
      <c r="A37" s="1238">
        <v>4</v>
      </c>
      <c r="B37" s="1235" t="s">
        <v>1101</v>
      </c>
      <c r="C37" s="1235"/>
      <c r="D37" s="1235"/>
      <c r="E37" s="3319"/>
      <c r="F37" s="3319"/>
      <c r="G37" s="3319"/>
    </row>
    <row r="38" spans="1:7" hidden="1">
      <c r="A38" s="3320" t="s">
        <v>1102</v>
      </c>
      <c r="B38" s="3321"/>
      <c r="C38" s="3321"/>
      <c r="D38" s="3322"/>
      <c r="E38" s="3318"/>
      <c r="F38" s="3318"/>
      <c r="G38" s="33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064" t="s">
        <v>2347</v>
      </c>
      <c r="C1" s="1406" t="s">
        <v>2348</v>
      </c>
      <c r="D1" s="1393"/>
      <c r="E1" s="2544"/>
      <c r="F1" s="2065" t="s">
        <v>2349</v>
      </c>
      <c r="G1" s="1403" t="s">
        <v>2350</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2351</v>
      </c>
      <c r="F2" s="2069"/>
      <c r="G2" s="1038"/>
      <c r="H2" s="1038"/>
      <c r="I2" s="1038"/>
      <c r="J2" s="1038"/>
      <c r="K2" s="2070"/>
      <c r="L2" s="2939"/>
      <c r="M2" s="2940"/>
      <c r="N2" s="2940"/>
      <c r="O2" s="2940"/>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2352</v>
      </c>
      <c r="D3" s="359">
        <f>IF(D1="",'数据-汇总表'!E3,SUMIF('数据-汇总表'!$C19:$C33,D1,'数据-汇总表'!$E19:$E33))</f>
        <v>1141.77</v>
      </c>
      <c r="E3" s="1038"/>
      <c r="F3" s="2074"/>
      <c r="G3" s="1038"/>
      <c r="H3" s="1038"/>
      <c r="I3" s="1038"/>
      <c r="J3" s="1038"/>
      <c r="K3" s="2070"/>
      <c r="L3" s="2939"/>
      <c r="M3" s="2940"/>
      <c r="N3" s="2940"/>
      <c r="O3" s="2940"/>
      <c r="P3" s="2071"/>
      <c r="Q3" s="2072"/>
      <c r="R3" s="2072"/>
      <c r="S3" s="2072"/>
      <c r="T3" s="2072"/>
      <c r="U3" s="2072"/>
      <c r="V3" s="2072"/>
      <c r="W3" s="2072"/>
      <c r="X3" s="2072"/>
      <c r="Y3" s="2072"/>
      <c r="Z3" s="2072"/>
      <c r="AA3" s="2072"/>
      <c r="AB3" s="2072"/>
      <c r="AC3" s="1192"/>
    </row>
    <row r="4" spans="1:29" ht="15">
      <c r="A4" s="361" t="s">
        <v>2353</v>
      </c>
      <c r="B4" s="362"/>
      <c r="C4" s="3341" t="s">
        <v>2354</v>
      </c>
      <c r="D4" s="3342"/>
      <c r="E4" s="3343" t="s">
        <v>2355</v>
      </c>
      <c r="F4" s="3344"/>
      <c r="G4" s="3341" t="s">
        <v>2356</v>
      </c>
      <c r="H4" s="3342"/>
      <c r="I4" s="3341" t="s">
        <v>2357</v>
      </c>
      <c r="J4" s="3342"/>
      <c r="K4" s="2075" t="s">
        <v>2358</v>
      </c>
      <c r="L4" s="2941"/>
      <c r="M4" s="2942"/>
      <c r="N4" s="2942"/>
      <c r="O4" s="2942"/>
      <c r="P4" s="3345" t="s">
        <v>2359</v>
      </c>
      <c r="Q4" s="3346"/>
      <c r="R4" s="3328" t="s">
        <v>2355</v>
      </c>
      <c r="S4" s="3329"/>
      <c r="T4" s="3328" t="s">
        <v>2356</v>
      </c>
      <c r="U4" s="3329"/>
      <c r="V4" s="3353" t="s">
        <v>2357</v>
      </c>
      <c r="W4" s="3353"/>
      <c r="X4" s="1539"/>
      <c r="Y4" s="3328" t="s">
        <v>2359</v>
      </c>
      <c r="Z4" s="3329"/>
      <c r="AA4" s="3323" t="s">
        <v>2355</v>
      </c>
      <c r="AB4" s="3323" t="s">
        <v>2356</v>
      </c>
      <c r="AC4" s="3323" t="s">
        <v>2357</v>
      </c>
    </row>
    <row r="5" spans="1:29" ht="15">
      <c r="A5" s="364"/>
      <c r="B5" s="365"/>
      <c r="C5" s="3334" t="s">
        <v>2360</v>
      </c>
      <c r="D5" s="3335"/>
      <c r="E5" s="3332" t="s">
        <v>2361</v>
      </c>
      <c r="F5" s="3333"/>
      <c r="G5" s="3334" t="s">
        <v>2362</v>
      </c>
      <c r="H5" s="3335"/>
      <c r="I5" s="3334" t="s">
        <v>2363</v>
      </c>
      <c r="J5" s="3335"/>
      <c r="K5" s="2076"/>
      <c r="L5" s="2941"/>
      <c r="M5" s="2942"/>
      <c r="N5" s="2942"/>
      <c r="O5" s="2942"/>
      <c r="P5" s="3347"/>
      <c r="Q5" s="3348"/>
      <c r="R5" s="3330"/>
      <c r="S5" s="3331"/>
      <c r="T5" s="3330"/>
      <c r="U5" s="3331"/>
      <c r="V5" s="3353"/>
      <c r="W5" s="3353"/>
      <c r="X5" s="1539"/>
      <c r="Y5" s="3330"/>
      <c r="Z5" s="3331"/>
      <c r="AA5" s="3324"/>
      <c r="AB5" s="3324"/>
      <c r="AC5" s="3324"/>
    </row>
    <row r="6" spans="1:29" ht="15.75" thickBot="1">
      <c r="A6" s="366"/>
      <c r="B6" s="367"/>
      <c r="C6" s="3336" t="s">
        <v>2364</v>
      </c>
      <c r="D6" s="3337"/>
      <c r="E6" s="3338" t="s">
        <v>2364</v>
      </c>
      <c r="F6" s="3339"/>
      <c r="G6" s="3336" t="s">
        <v>2364</v>
      </c>
      <c r="H6" s="3337"/>
      <c r="I6" s="3336" t="s">
        <v>2364</v>
      </c>
      <c r="J6" s="3337"/>
      <c r="K6" s="2076" t="s">
        <v>2365</v>
      </c>
      <c r="L6" s="2941"/>
      <c r="M6" s="2942"/>
      <c r="N6" s="2942"/>
      <c r="O6" s="2942"/>
      <c r="P6" s="3349"/>
      <c r="Q6" s="3350"/>
      <c r="R6" s="3330"/>
      <c r="S6" s="3331"/>
      <c r="T6" s="3351"/>
      <c r="U6" s="3352"/>
      <c r="V6" s="3353"/>
      <c r="W6" s="3353"/>
      <c r="X6" s="1539"/>
      <c r="Y6" s="3351"/>
      <c r="Z6" s="3352"/>
      <c r="AA6" s="3325"/>
      <c r="AB6" s="3325"/>
      <c r="AC6" s="3325"/>
    </row>
    <row r="7" spans="1:29" s="113" customFormat="1" ht="15.75" thickBot="1">
      <c r="A7" s="368" t="s">
        <v>2366</v>
      </c>
      <c r="B7" s="369"/>
      <c r="C7" s="370">
        <f>'数据-取费表'!B2</f>
        <v>44370</v>
      </c>
      <c r="D7" s="371">
        <v>100</v>
      </c>
      <c r="E7" s="372"/>
      <c r="F7" s="373">
        <f>SUMIF(58:58,YEAR(E7)&amp;"-"&amp;MONTH(E7),59:59)</f>
        <v>0</v>
      </c>
      <c r="G7" s="372"/>
      <c r="H7" s="371">
        <f>SUMIF(58:58,YEAR(G7)&amp;"-"&amp;MONTH(G7),59:59)</f>
        <v>0</v>
      </c>
      <c r="I7" s="372"/>
      <c r="J7" s="371">
        <f>SUMIF(58:58,YEAR(I7)&amp;"-"&amp;MONTH(I7),59:59)</f>
        <v>0</v>
      </c>
      <c r="K7" s="2077"/>
      <c r="L7" s="2943"/>
      <c r="M7" s="2944"/>
      <c r="N7" s="2944"/>
      <c r="O7" s="2944"/>
      <c r="P7" s="3326" t="s">
        <v>2367</v>
      </c>
      <c r="Q7" s="3354"/>
      <c r="R7" s="710" t="s">
        <v>23</v>
      </c>
      <c r="S7" s="711">
        <f t="shared" ref="S7:S15" si="0">F7</f>
        <v>0</v>
      </c>
      <c r="T7" s="710" t="s">
        <v>23</v>
      </c>
      <c r="U7" s="711">
        <f t="shared" ref="U7:U15" si="1">H7</f>
        <v>0</v>
      </c>
      <c r="V7" s="710" t="s">
        <v>23</v>
      </c>
      <c r="W7" s="711">
        <f t="shared" ref="W7:W15" si="2">J7</f>
        <v>0</v>
      </c>
      <c r="X7" s="712"/>
      <c r="Y7" s="3326" t="s">
        <v>2367</v>
      </c>
      <c r="Z7" s="3327"/>
      <c r="AA7" s="713" t="e">
        <f>D7/F7</f>
        <v>#DIV/0!</v>
      </c>
      <c r="AB7" s="713" t="e">
        <f>D7/H7</f>
        <v>#DIV/0!</v>
      </c>
      <c r="AC7" s="713" t="e">
        <f>D7/J7</f>
        <v>#DIV/0!</v>
      </c>
    </row>
    <row r="8" spans="1:29" s="113" customFormat="1" ht="15.75" thickBot="1">
      <c r="A8" s="368" t="s">
        <v>2368</v>
      </c>
      <c r="B8" s="369"/>
      <c r="C8" s="374" t="s">
        <v>2369</v>
      </c>
      <c r="D8" s="371">
        <v>100</v>
      </c>
      <c r="E8" s="2078"/>
      <c r="F8" s="373">
        <f>SUMIF(61:61,E8,62:62)-SUMIF(61:61,C8,62:62)+100</f>
        <v>0</v>
      </c>
      <c r="G8" s="374"/>
      <c r="H8" s="371">
        <f>SUMIF(61:61,G8,62:62)-SUMIF(61:61,C8,62:62)+100</f>
        <v>0</v>
      </c>
      <c r="I8" s="2078"/>
      <c r="J8" s="371">
        <f>SUMIF(61:61,I8,62:62)-SUMIF(61:61,C8,62:62)+100</f>
        <v>0</v>
      </c>
      <c r="K8" s="2077"/>
      <c r="L8" s="2943"/>
      <c r="M8" s="2944"/>
      <c r="N8" s="2944"/>
      <c r="O8" s="2944"/>
      <c r="P8" s="3326" t="s">
        <v>2370</v>
      </c>
      <c r="Q8" s="3327"/>
      <c r="R8" s="710" t="s">
        <v>23</v>
      </c>
      <c r="S8" s="711">
        <f t="shared" si="0"/>
        <v>0</v>
      </c>
      <c r="T8" s="710" t="s">
        <v>23</v>
      </c>
      <c r="U8" s="711">
        <f t="shared" si="1"/>
        <v>0</v>
      </c>
      <c r="V8" s="710" t="s">
        <v>23</v>
      </c>
      <c r="W8" s="711">
        <f t="shared" si="2"/>
        <v>0</v>
      </c>
      <c r="X8" s="712"/>
      <c r="Y8" s="3326" t="s">
        <v>2370</v>
      </c>
      <c r="Z8" s="3327"/>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7"/>
      <c r="L9" s="2943"/>
      <c r="M9" s="2944"/>
      <c r="N9" s="2944"/>
      <c r="O9" s="2944"/>
      <c r="P9" s="3340" t="s">
        <v>2373</v>
      </c>
      <c r="Q9" s="1527" t="str">
        <f t="shared" ref="Q9:Q15" si="6">B9</f>
        <v>用途</v>
      </c>
      <c r="R9" s="710" t="s">
        <v>17</v>
      </c>
      <c r="S9" s="711">
        <f t="shared" si="0"/>
        <v>100</v>
      </c>
      <c r="T9" s="710" t="s">
        <v>17</v>
      </c>
      <c r="U9" s="711">
        <f t="shared" si="1"/>
        <v>100</v>
      </c>
      <c r="V9" s="710" t="s">
        <v>17</v>
      </c>
      <c r="W9" s="711">
        <f t="shared" si="2"/>
        <v>100</v>
      </c>
      <c r="X9" s="712"/>
      <c r="Y9" s="3268"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40"/>
      <c r="Q10" s="1527" t="str">
        <f t="shared" si="6"/>
        <v>土地使用年限（年）</v>
      </c>
      <c r="R10" s="710" t="s">
        <v>17</v>
      </c>
      <c r="S10" s="711">
        <f t="shared" si="0"/>
        <v>100</v>
      </c>
      <c r="T10" s="710" t="s">
        <v>17</v>
      </c>
      <c r="U10" s="711">
        <f t="shared" si="1"/>
        <v>100</v>
      </c>
      <c r="V10" s="710" t="s">
        <v>17</v>
      </c>
      <c r="W10" s="711">
        <f t="shared" si="2"/>
        <v>100</v>
      </c>
      <c r="X10" s="712"/>
      <c r="Y10" s="3268"/>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340"/>
      <c r="Q11" s="1527" t="str">
        <f t="shared" si="6"/>
        <v>容积率</v>
      </c>
      <c r="R11" s="710" t="s">
        <v>21</v>
      </c>
      <c r="S11" s="711" t="e">
        <f t="shared" si="0"/>
        <v>#N/A</v>
      </c>
      <c r="T11" s="710" t="s">
        <v>21</v>
      </c>
      <c r="U11" s="711" t="e">
        <f t="shared" si="1"/>
        <v>#N/A</v>
      </c>
      <c r="V11" s="710" t="s">
        <v>21</v>
      </c>
      <c r="W11" s="711" t="e">
        <f t="shared" si="2"/>
        <v>#N/A</v>
      </c>
      <c r="X11" s="712"/>
      <c r="Y11" s="3268"/>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3"/>
      <c r="M12" s="2944"/>
      <c r="N12" s="2944"/>
      <c r="O12" s="2944"/>
      <c r="P12" s="3340"/>
      <c r="Q12" s="1527">
        <f t="shared" si="6"/>
        <v>111</v>
      </c>
      <c r="R12" s="710" t="s">
        <v>21</v>
      </c>
      <c r="S12" s="711">
        <f t="shared" si="0"/>
        <v>100</v>
      </c>
      <c r="T12" s="710" t="s">
        <v>21</v>
      </c>
      <c r="U12" s="711">
        <f t="shared" si="1"/>
        <v>100</v>
      </c>
      <c r="V12" s="710" t="s">
        <v>21</v>
      </c>
      <c r="W12" s="711">
        <f t="shared" si="2"/>
        <v>100</v>
      </c>
      <c r="X12" s="712"/>
      <c r="Y12" s="326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8"/>
      <c r="M13" s="2942"/>
      <c r="N13" s="2942"/>
      <c r="O13" s="2942"/>
      <c r="P13" s="3340"/>
      <c r="Q13" s="1527">
        <f t="shared" si="6"/>
        <v>111</v>
      </c>
      <c r="R13" s="710" t="s">
        <v>21</v>
      </c>
      <c r="S13" s="711">
        <f t="shared" si="0"/>
        <v>100</v>
      </c>
      <c r="T13" s="710" t="s">
        <v>21</v>
      </c>
      <c r="U13" s="711">
        <f t="shared" si="1"/>
        <v>100</v>
      </c>
      <c r="V13" s="710" t="s">
        <v>21</v>
      </c>
      <c r="W13" s="711">
        <f t="shared" si="2"/>
        <v>100</v>
      </c>
      <c r="X13" s="712"/>
      <c r="Y13" s="3268"/>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8"/>
      <c r="M14" s="2942"/>
      <c r="N14" s="2942"/>
      <c r="O14" s="2942"/>
      <c r="P14" s="3340"/>
      <c r="Q14" s="1527">
        <f t="shared" si="6"/>
        <v>111</v>
      </c>
      <c r="R14" s="710" t="s">
        <v>21</v>
      </c>
      <c r="S14" s="711">
        <f t="shared" si="0"/>
        <v>100</v>
      </c>
      <c r="T14" s="710" t="s">
        <v>21</v>
      </c>
      <c r="U14" s="711">
        <f t="shared" si="1"/>
        <v>100</v>
      </c>
      <c r="V14" s="710" t="s">
        <v>21</v>
      </c>
      <c r="W14" s="711">
        <f t="shared" si="2"/>
        <v>100</v>
      </c>
      <c r="X14" s="712"/>
      <c r="Y14" s="3268"/>
      <c r="Z14" s="55">
        <f t="shared" si="7"/>
        <v>111</v>
      </c>
      <c r="AA14" s="713">
        <f t="shared" si="3"/>
        <v>1</v>
      </c>
      <c r="AB14" s="713">
        <f t="shared" si="4"/>
        <v>1</v>
      </c>
      <c r="AC14" s="713">
        <f t="shared" si="5"/>
        <v>1</v>
      </c>
    </row>
    <row r="15" spans="1:29" ht="99.75">
      <c r="A15" s="399" t="s">
        <v>2377</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367" t="s">
        <v>2378</v>
      </c>
      <c r="Q15" s="1536" t="str">
        <f t="shared" si="6"/>
        <v>居住社区成熟度</v>
      </c>
      <c r="R15" s="714" t="s">
        <v>21</v>
      </c>
      <c r="S15" s="715">
        <f t="shared" si="0"/>
        <v>100</v>
      </c>
      <c r="T15" s="714" t="s">
        <v>21</v>
      </c>
      <c r="U15" s="715">
        <f t="shared" si="1"/>
        <v>100</v>
      </c>
      <c r="V15" s="714" t="s">
        <v>21</v>
      </c>
      <c r="W15" s="715">
        <f t="shared" si="2"/>
        <v>100</v>
      </c>
      <c r="X15" s="1539"/>
      <c r="Y15" s="3360" t="s">
        <v>2378</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8"/>
      <c r="M16" s="2942"/>
      <c r="N16" s="2942"/>
      <c r="O16" s="2942"/>
      <c r="P16" s="3368"/>
      <c r="Q16" s="1536"/>
      <c r="R16" s="714"/>
      <c r="S16" s="715"/>
      <c r="T16" s="714"/>
      <c r="U16" s="715"/>
      <c r="V16" s="714"/>
      <c r="W16" s="715"/>
      <c r="X16" s="1539"/>
      <c r="Y16" s="3361"/>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368"/>
      <c r="Q17" s="1536" t="str">
        <f>B17</f>
        <v>交通便捷度</v>
      </c>
      <c r="R17" s="714" t="s">
        <v>21</v>
      </c>
      <c r="S17" s="715">
        <f>F17</f>
        <v>100</v>
      </c>
      <c r="T17" s="714" t="s">
        <v>21</v>
      </c>
      <c r="U17" s="715">
        <f>H17</f>
        <v>100</v>
      </c>
      <c r="V17" s="714" t="s">
        <v>21</v>
      </c>
      <c r="W17" s="715">
        <f>J17</f>
        <v>100</v>
      </c>
      <c r="X17" s="1539"/>
      <c r="Y17" s="3361"/>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8"/>
      <c r="M18" s="2942"/>
      <c r="N18" s="2942"/>
      <c r="O18" s="2942"/>
      <c r="P18" s="3368"/>
      <c r="Q18" s="1536"/>
      <c r="R18" s="714"/>
      <c r="S18" s="715"/>
      <c r="T18" s="714"/>
      <c r="U18" s="715"/>
      <c r="V18" s="714"/>
      <c r="W18" s="715"/>
      <c r="X18" s="1539"/>
      <c r="Y18" s="3361"/>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368"/>
      <c r="Q19" s="1536" t="str">
        <f>B19</f>
        <v>公共配套设施</v>
      </c>
      <c r="R19" s="714" t="s">
        <v>21</v>
      </c>
      <c r="S19" s="715">
        <f>F19</f>
        <v>100</v>
      </c>
      <c r="T19" s="714" t="s">
        <v>21</v>
      </c>
      <c r="U19" s="715">
        <f>H19</f>
        <v>100</v>
      </c>
      <c r="V19" s="714" t="s">
        <v>21</v>
      </c>
      <c r="W19" s="715">
        <f>J19</f>
        <v>100</v>
      </c>
      <c r="X19" s="1539"/>
      <c r="Y19" s="3361"/>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8"/>
      <c r="M20" s="2942"/>
      <c r="N20" s="2942"/>
      <c r="O20" s="2942"/>
      <c r="P20" s="3368"/>
      <c r="Q20" s="1536"/>
      <c r="R20" s="714"/>
      <c r="S20" s="715"/>
      <c r="T20" s="714"/>
      <c r="U20" s="715"/>
      <c r="V20" s="714"/>
      <c r="W20" s="715"/>
      <c r="X20" s="1539"/>
      <c r="Y20" s="3361"/>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368"/>
      <c r="Q21" s="1536" t="str">
        <f>B21</f>
        <v>基础设施水平</v>
      </c>
      <c r="R21" s="714" t="s">
        <v>17</v>
      </c>
      <c r="S21" s="715">
        <f>F21</f>
        <v>100</v>
      </c>
      <c r="T21" s="714" t="s">
        <v>17</v>
      </c>
      <c r="U21" s="715">
        <f>H21</f>
        <v>100</v>
      </c>
      <c r="V21" s="714" t="s">
        <v>17</v>
      </c>
      <c r="W21" s="715">
        <f>J21</f>
        <v>100</v>
      </c>
      <c r="X21" s="1539"/>
      <c r="Y21" s="336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8"/>
      <c r="M22" s="2942"/>
      <c r="N22" s="2942"/>
      <c r="O22" s="2942"/>
      <c r="P22" s="3368"/>
      <c r="Q22" s="1536"/>
      <c r="R22" s="714"/>
      <c r="S22" s="715"/>
      <c r="T22" s="714"/>
      <c r="U22" s="715"/>
      <c r="V22" s="714"/>
      <c r="W22" s="715"/>
      <c r="X22" s="1539"/>
      <c r="Y22" s="3361"/>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368"/>
      <c r="Q23" s="1536" t="str">
        <f>B23</f>
        <v>自然及人文环境</v>
      </c>
      <c r="R23" s="714" t="s">
        <v>21</v>
      </c>
      <c r="S23" s="715">
        <f>F23</f>
        <v>100</v>
      </c>
      <c r="T23" s="714" t="s">
        <v>21</v>
      </c>
      <c r="U23" s="715">
        <f>H23</f>
        <v>100</v>
      </c>
      <c r="V23" s="714" t="s">
        <v>21</v>
      </c>
      <c r="W23" s="715">
        <f>J23</f>
        <v>100</v>
      </c>
      <c r="X23" s="1539"/>
      <c r="Y23" s="3361"/>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8"/>
      <c r="M24" s="2942"/>
      <c r="N24" s="2942"/>
      <c r="O24" s="2942"/>
      <c r="P24" s="3368"/>
      <c r="Q24" s="1536"/>
      <c r="R24" s="714"/>
      <c r="S24" s="715"/>
      <c r="T24" s="714"/>
      <c r="U24" s="715"/>
      <c r="V24" s="714"/>
      <c r="W24" s="715"/>
      <c r="X24" s="1539"/>
      <c r="Y24" s="3361"/>
      <c r="Z24" s="1540"/>
      <c r="AA24" s="1537">
        <v>1</v>
      </c>
      <c r="AB24" s="1537">
        <v>1</v>
      </c>
      <c r="AC24" s="1537">
        <v>1</v>
      </c>
    </row>
    <row r="25" spans="1:29" ht="15">
      <c r="A25" s="387"/>
      <c r="B25" s="381" t="s">
        <v>2379</v>
      </c>
      <c r="C25" s="419"/>
      <c r="D25" s="394">
        <v>100</v>
      </c>
      <c r="E25" s="2092"/>
      <c r="F25" s="394">
        <f>SUMIF(86:86,E25,87:87)-SUMIF(86:86,C25,87:87)+100</f>
        <v>100</v>
      </c>
      <c r="G25" s="2093"/>
      <c r="H25" s="394">
        <f>SUMIF(86:86,G25,87:87)-SUMIF(86:86,C25,87:87)+100</f>
        <v>100</v>
      </c>
      <c r="I25" s="2093"/>
      <c r="J25" s="394">
        <f>SUMIF(86:86,I25,87:87)-SUMIF(86:86,C25,87:87)+100</f>
        <v>100</v>
      </c>
      <c r="K25" s="385"/>
      <c r="L25" s="2948"/>
      <c r="M25" s="2942"/>
      <c r="N25" s="2942"/>
      <c r="O25" s="2942"/>
      <c r="P25" s="336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61"/>
      <c r="Z25" s="1540" t="str">
        <f>Q25</f>
        <v>楼层-1</v>
      </c>
      <c r="AA25" s="1537">
        <f t="shared" ref="AA25:AA46" si="15">D25/F25</f>
        <v>1</v>
      </c>
      <c r="AB25" s="1537">
        <f t="shared" ref="AB25:AB46" si="16">D25/H25</f>
        <v>1</v>
      </c>
      <c r="AC25" s="1537">
        <f t="shared" ref="AC25:AC46" si="17">D25/J25</f>
        <v>1</v>
      </c>
    </row>
    <row r="26" spans="1:29" ht="15">
      <c r="A26" s="387"/>
      <c r="B26" s="381" t="s">
        <v>2380</v>
      </c>
      <c r="C26" s="419"/>
      <c r="D26" s="394">
        <v>100</v>
      </c>
      <c r="E26" s="2092"/>
      <c r="F26" s="394">
        <f>SUMIF(88:88,E26,89:89)-SUMIF(88:88,C26,89:89)+100</f>
        <v>100</v>
      </c>
      <c r="G26" s="2093"/>
      <c r="H26" s="394">
        <f>SUMIF(88:88,G26,89:89)-SUMIF(88:88,C26,89:89)+100</f>
        <v>100</v>
      </c>
      <c r="I26" s="2093"/>
      <c r="J26" s="394">
        <f>SUMIF(88:88,I26,89:89)-SUMIF(88:88,C26,89:89)+100</f>
        <v>100</v>
      </c>
      <c r="K26" s="385"/>
      <c r="L26" s="2948"/>
      <c r="M26" s="2942"/>
      <c r="N26" s="2942"/>
      <c r="O26" s="2942"/>
      <c r="P26" s="3368"/>
      <c r="Q26" s="1536" t="str">
        <f t="shared" si="11"/>
        <v>朝向</v>
      </c>
      <c r="R26" s="714" t="s">
        <v>21</v>
      </c>
      <c r="S26" s="715">
        <f t="shared" si="12"/>
        <v>100</v>
      </c>
      <c r="T26" s="714" t="s">
        <v>21</v>
      </c>
      <c r="U26" s="715">
        <f t="shared" si="13"/>
        <v>100</v>
      </c>
      <c r="V26" s="714" t="s">
        <v>21</v>
      </c>
      <c r="W26" s="715">
        <f t="shared" si="14"/>
        <v>100</v>
      </c>
      <c r="X26" s="1539"/>
      <c r="Y26" s="3361"/>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3"/>
      <c r="M27" s="2944"/>
      <c r="N27" s="2944"/>
      <c r="O27" s="2944"/>
      <c r="P27" s="3368"/>
      <c r="Q27" s="1527">
        <f t="shared" si="11"/>
        <v>111</v>
      </c>
      <c r="R27" s="710" t="s">
        <v>21</v>
      </c>
      <c r="S27" s="711">
        <f t="shared" si="12"/>
        <v>100</v>
      </c>
      <c r="T27" s="710" t="s">
        <v>21</v>
      </c>
      <c r="U27" s="711">
        <f t="shared" si="13"/>
        <v>100</v>
      </c>
      <c r="V27" s="710" t="s">
        <v>21</v>
      </c>
      <c r="W27" s="711">
        <f t="shared" si="14"/>
        <v>100</v>
      </c>
      <c r="X27" s="712"/>
      <c r="Y27" s="3361"/>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8"/>
      <c r="M28" s="2942"/>
      <c r="N28" s="2942"/>
      <c r="O28" s="2942"/>
      <c r="P28" s="3368"/>
      <c r="Q28" s="1536">
        <f t="shared" si="11"/>
        <v>111</v>
      </c>
      <c r="R28" s="714" t="s">
        <v>21</v>
      </c>
      <c r="S28" s="715">
        <f t="shared" si="12"/>
        <v>100</v>
      </c>
      <c r="T28" s="714" t="s">
        <v>21</v>
      </c>
      <c r="U28" s="715">
        <f t="shared" si="13"/>
        <v>100</v>
      </c>
      <c r="V28" s="714" t="s">
        <v>21</v>
      </c>
      <c r="W28" s="715">
        <f t="shared" si="14"/>
        <v>100</v>
      </c>
      <c r="X28" s="1539"/>
      <c r="Y28" s="3361"/>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8"/>
      <c r="M29" s="2942"/>
      <c r="N29" s="2942"/>
      <c r="O29" s="2942"/>
      <c r="P29" s="3368"/>
      <c r="Q29" s="1536">
        <f t="shared" si="11"/>
        <v>111</v>
      </c>
      <c r="R29" s="714" t="s">
        <v>21</v>
      </c>
      <c r="S29" s="715">
        <f t="shared" si="12"/>
        <v>100</v>
      </c>
      <c r="T29" s="714" t="s">
        <v>21</v>
      </c>
      <c r="U29" s="715">
        <f t="shared" si="13"/>
        <v>100</v>
      </c>
      <c r="V29" s="714" t="s">
        <v>21</v>
      </c>
      <c r="W29" s="715">
        <f t="shared" si="14"/>
        <v>100</v>
      </c>
      <c r="X29" s="1539"/>
      <c r="Y29" s="3361"/>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8"/>
      <c r="M30" s="2942"/>
      <c r="N30" s="2942"/>
      <c r="O30" s="2942"/>
      <c r="P30" s="3368"/>
      <c r="Q30" s="1536">
        <f t="shared" si="11"/>
        <v>111</v>
      </c>
      <c r="R30" s="714" t="s">
        <v>21</v>
      </c>
      <c r="S30" s="715">
        <f t="shared" si="12"/>
        <v>100</v>
      </c>
      <c r="T30" s="714" t="s">
        <v>21</v>
      </c>
      <c r="U30" s="715">
        <f t="shared" si="13"/>
        <v>100</v>
      </c>
      <c r="V30" s="714" t="s">
        <v>21</v>
      </c>
      <c r="W30" s="715">
        <f t="shared" si="14"/>
        <v>100</v>
      </c>
      <c r="X30" s="1539"/>
      <c r="Y30" s="3361"/>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8"/>
      <c r="M31" s="2942"/>
      <c r="N31" s="2942"/>
      <c r="O31" s="2942"/>
      <c r="P31" s="3368"/>
      <c r="Q31" s="1536">
        <f t="shared" si="11"/>
        <v>111</v>
      </c>
      <c r="R31" s="714" t="s">
        <v>21</v>
      </c>
      <c r="S31" s="715">
        <f t="shared" si="12"/>
        <v>100</v>
      </c>
      <c r="T31" s="714" t="s">
        <v>21</v>
      </c>
      <c r="U31" s="715">
        <f t="shared" si="13"/>
        <v>100</v>
      </c>
      <c r="V31" s="714" t="s">
        <v>21</v>
      </c>
      <c r="W31" s="715">
        <f t="shared" si="14"/>
        <v>100</v>
      </c>
      <c r="X31" s="1539"/>
      <c r="Y31" s="3361"/>
      <c r="Z31" s="1540">
        <f t="shared" si="18"/>
        <v>111</v>
      </c>
      <c r="AA31" s="1537">
        <f t="shared" si="15"/>
        <v>1</v>
      </c>
      <c r="AB31" s="1537">
        <f t="shared" si="16"/>
        <v>1</v>
      </c>
      <c r="AC31" s="1537">
        <f t="shared" si="17"/>
        <v>1</v>
      </c>
    </row>
    <row r="32" spans="1:29" ht="15">
      <c r="A32" s="399" t="s">
        <v>2381</v>
      </c>
      <c r="B32" s="67" t="s">
        <v>2382</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8"/>
      <c r="M32" s="2942"/>
      <c r="N32" s="2942"/>
      <c r="O32" s="2942"/>
      <c r="P32" s="3362" t="s">
        <v>2383</v>
      </c>
      <c r="Q32" s="1536" t="str">
        <f t="shared" si="11"/>
        <v>建筑类型</v>
      </c>
      <c r="R32" s="714" t="s">
        <v>21</v>
      </c>
      <c r="S32" s="715">
        <f t="shared" si="12"/>
        <v>100</v>
      </c>
      <c r="T32" s="714" t="s">
        <v>21</v>
      </c>
      <c r="U32" s="715">
        <f t="shared" si="13"/>
        <v>100</v>
      </c>
      <c r="V32" s="714" t="s">
        <v>21</v>
      </c>
      <c r="W32" s="715">
        <f t="shared" si="14"/>
        <v>100</v>
      </c>
      <c r="X32" s="1539"/>
      <c r="Y32" s="3365" t="s">
        <v>2383</v>
      </c>
      <c r="Z32" s="1540" t="str">
        <f t="shared" si="18"/>
        <v>建筑类型</v>
      </c>
      <c r="AA32" s="1537">
        <f t="shared" si="15"/>
        <v>1</v>
      </c>
      <c r="AB32" s="1537">
        <f t="shared" si="16"/>
        <v>1</v>
      </c>
      <c r="AC32" s="1537">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7"/>
      <c r="M33" s="2949"/>
      <c r="N33" s="2949"/>
      <c r="O33" s="2949"/>
      <c r="P33" s="3363"/>
      <c r="Q33" s="716" t="str">
        <f t="shared" si="11"/>
        <v>项目建筑规模</v>
      </c>
      <c r="R33" s="717" t="s">
        <v>21</v>
      </c>
      <c r="S33" s="718" t="e">
        <f t="shared" si="12"/>
        <v>#N/A</v>
      </c>
      <c r="T33" s="717" t="s">
        <v>21</v>
      </c>
      <c r="U33" s="718" t="e">
        <f t="shared" si="13"/>
        <v>#N/A</v>
      </c>
      <c r="V33" s="717" t="s">
        <v>21</v>
      </c>
      <c r="W33" s="718" t="e">
        <f t="shared" si="14"/>
        <v>#N/A</v>
      </c>
      <c r="X33" s="719"/>
      <c r="Y33" s="3365"/>
      <c r="Z33" s="720" t="str">
        <f t="shared" si="18"/>
        <v>项目建筑规模</v>
      </c>
      <c r="AA33" s="1537" t="e">
        <f t="shared" si="15"/>
        <v>#N/A</v>
      </c>
      <c r="AB33" s="1537" t="e">
        <f t="shared" si="16"/>
        <v>#N/A</v>
      </c>
      <c r="AC33" s="1537" t="e">
        <f t="shared" si="17"/>
        <v>#N/A</v>
      </c>
    </row>
    <row r="34" spans="1:29" ht="15">
      <c r="A34" s="431"/>
      <c r="B34" s="381" t="s">
        <v>2385</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8"/>
      <c r="M34" s="2942"/>
      <c r="N34" s="2942"/>
      <c r="O34" s="2942"/>
      <c r="P34" s="3363"/>
      <c r="Q34" s="1536" t="str">
        <f t="shared" si="11"/>
        <v>建筑结构</v>
      </c>
      <c r="R34" s="714" t="s">
        <v>21</v>
      </c>
      <c r="S34" s="715">
        <f t="shared" si="12"/>
        <v>100</v>
      </c>
      <c r="T34" s="714" t="s">
        <v>21</v>
      </c>
      <c r="U34" s="715">
        <f t="shared" si="13"/>
        <v>100</v>
      </c>
      <c r="V34" s="714" t="s">
        <v>21</v>
      </c>
      <c r="W34" s="715">
        <f t="shared" si="14"/>
        <v>100</v>
      </c>
      <c r="X34" s="1539"/>
      <c r="Y34" s="3365"/>
      <c r="Z34" s="1540" t="str">
        <f t="shared" si="18"/>
        <v>建筑结构</v>
      </c>
      <c r="AA34" s="1537">
        <f t="shared" si="15"/>
        <v>1</v>
      </c>
      <c r="AB34" s="1537">
        <f t="shared" si="16"/>
        <v>1</v>
      </c>
      <c r="AC34" s="1537">
        <f t="shared" si="17"/>
        <v>1</v>
      </c>
    </row>
    <row r="35" spans="1:29" ht="15">
      <c r="A35" s="431"/>
      <c r="B35" s="381" t="s">
        <v>2386</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8"/>
      <c r="M35" s="2942"/>
      <c r="N35" s="2942"/>
      <c r="O35" s="2942"/>
      <c r="P35" s="3363"/>
      <c r="Q35" s="1536" t="str">
        <f t="shared" si="11"/>
        <v>建筑品质</v>
      </c>
      <c r="R35" s="714" t="s">
        <v>21</v>
      </c>
      <c r="S35" s="715">
        <f t="shared" si="12"/>
        <v>100</v>
      </c>
      <c r="T35" s="714" t="s">
        <v>21</v>
      </c>
      <c r="U35" s="715">
        <f t="shared" si="13"/>
        <v>100</v>
      </c>
      <c r="V35" s="714" t="s">
        <v>21</v>
      </c>
      <c r="W35" s="715">
        <f t="shared" si="14"/>
        <v>100</v>
      </c>
      <c r="X35" s="1539"/>
      <c r="Y35" s="3365"/>
      <c r="Z35" s="1540" t="str">
        <f t="shared" si="18"/>
        <v>建筑品质</v>
      </c>
      <c r="AA35" s="1537">
        <f t="shared" si="15"/>
        <v>1</v>
      </c>
      <c r="AB35" s="1537">
        <f t="shared" si="16"/>
        <v>1</v>
      </c>
      <c r="AC35" s="1537">
        <f t="shared" si="17"/>
        <v>1</v>
      </c>
    </row>
    <row r="36" spans="1:29" ht="15">
      <c r="A36" s="431"/>
      <c r="B36" s="381" t="s">
        <v>2387</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8"/>
      <c r="M36" s="2942"/>
      <c r="N36" s="2942"/>
      <c r="O36" s="2942"/>
      <c r="P36" s="3363"/>
      <c r="Q36" s="1536" t="str">
        <f t="shared" si="11"/>
        <v>公共部分装修</v>
      </c>
      <c r="R36" s="714" t="s">
        <v>21</v>
      </c>
      <c r="S36" s="715">
        <f t="shared" si="12"/>
        <v>100</v>
      </c>
      <c r="T36" s="714" t="s">
        <v>21</v>
      </c>
      <c r="U36" s="715">
        <f t="shared" si="13"/>
        <v>100</v>
      </c>
      <c r="V36" s="714" t="s">
        <v>21</v>
      </c>
      <c r="W36" s="715">
        <f t="shared" si="14"/>
        <v>100</v>
      </c>
      <c r="X36" s="1539"/>
      <c r="Y36" s="3365"/>
      <c r="Z36" s="1540" t="str">
        <f t="shared" si="18"/>
        <v>公共部分装修</v>
      </c>
      <c r="AA36" s="1537">
        <f t="shared" si="15"/>
        <v>1</v>
      </c>
      <c r="AB36" s="1537">
        <f t="shared" si="16"/>
        <v>1</v>
      </c>
      <c r="AC36" s="1537">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363"/>
      <c r="Q37" s="1527" t="str">
        <f t="shared" si="11"/>
        <v>成新度</v>
      </c>
      <c r="R37" s="710" t="s">
        <v>21</v>
      </c>
      <c r="S37" s="711" t="e">
        <f t="shared" si="12"/>
        <v>#N/A</v>
      </c>
      <c r="T37" s="710" t="s">
        <v>21</v>
      </c>
      <c r="U37" s="711" t="e">
        <f t="shared" si="13"/>
        <v>#N/A</v>
      </c>
      <c r="V37" s="710" t="s">
        <v>21</v>
      </c>
      <c r="W37" s="711" t="e">
        <f t="shared" si="14"/>
        <v>#N/A</v>
      </c>
      <c r="X37" s="712"/>
      <c r="Y37" s="3365"/>
      <c r="Z37" s="55" t="str">
        <f t="shared" si="18"/>
        <v>成新度</v>
      </c>
      <c r="AA37" s="713" t="e">
        <f t="shared" si="15"/>
        <v>#N/A</v>
      </c>
      <c r="AB37" s="713" t="e">
        <f t="shared" si="16"/>
        <v>#N/A</v>
      </c>
      <c r="AC37" s="713" t="e">
        <f t="shared" si="17"/>
        <v>#N/A</v>
      </c>
    </row>
    <row r="38" spans="1:29" ht="15">
      <c r="A38" s="431"/>
      <c r="B38" s="381" t="s">
        <v>2389</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8"/>
      <c r="M38" s="2942"/>
      <c r="N38" s="2942"/>
      <c r="O38" s="2942"/>
      <c r="P38" s="3363" t="s">
        <v>2383</v>
      </c>
      <c r="Q38" s="1536" t="str">
        <f t="shared" si="11"/>
        <v>物业管理</v>
      </c>
      <c r="R38" s="714" t="s">
        <v>21</v>
      </c>
      <c r="S38" s="715">
        <f t="shared" si="12"/>
        <v>100</v>
      </c>
      <c r="T38" s="714" t="s">
        <v>21</v>
      </c>
      <c r="U38" s="715">
        <f t="shared" si="13"/>
        <v>100</v>
      </c>
      <c r="V38" s="714" t="s">
        <v>21</v>
      </c>
      <c r="W38" s="715">
        <f t="shared" si="14"/>
        <v>100</v>
      </c>
      <c r="X38" s="1539"/>
      <c r="Y38" s="3365" t="s">
        <v>2383</v>
      </c>
      <c r="Z38" s="1540" t="str">
        <f t="shared" si="18"/>
        <v>物业管理</v>
      </c>
      <c r="AA38" s="1537">
        <f t="shared" si="15"/>
        <v>1</v>
      </c>
      <c r="AB38" s="1537">
        <f t="shared" si="16"/>
        <v>1</v>
      </c>
      <c r="AC38" s="1537">
        <f t="shared" si="17"/>
        <v>1</v>
      </c>
    </row>
    <row r="39" spans="1:29" ht="15">
      <c r="A39" s="431"/>
      <c r="B39" s="381" t="s">
        <v>2390</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8"/>
      <c r="M39" s="2942"/>
      <c r="N39" s="2942"/>
      <c r="O39" s="2942"/>
      <c r="P39" s="3363"/>
      <c r="Q39" s="1536" t="str">
        <f t="shared" si="11"/>
        <v>市政基础设施</v>
      </c>
      <c r="R39" s="714" t="s">
        <v>21</v>
      </c>
      <c r="S39" s="715">
        <f t="shared" si="12"/>
        <v>100</v>
      </c>
      <c r="T39" s="714" t="s">
        <v>21</v>
      </c>
      <c r="U39" s="715">
        <f t="shared" si="13"/>
        <v>100</v>
      </c>
      <c r="V39" s="714" t="s">
        <v>21</v>
      </c>
      <c r="W39" s="715">
        <f t="shared" si="14"/>
        <v>100</v>
      </c>
      <c r="X39" s="1539"/>
      <c r="Y39" s="3365"/>
      <c r="Z39" s="1540" t="str">
        <f t="shared" si="18"/>
        <v>市政基础设施</v>
      </c>
      <c r="AA39" s="1537">
        <f t="shared" si="15"/>
        <v>1</v>
      </c>
      <c r="AB39" s="1537">
        <f t="shared" si="16"/>
        <v>1</v>
      </c>
      <c r="AC39" s="1537">
        <f t="shared" si="17"/>
        <v>1</v>
      </c>
    </row>
    <row r="40" spans="1:29" ht="15">
      <c r="A40" s="431"/>
      <c r="B40" s="381" t="s">
        <v>2391</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8"/>
      <c r="M40" s="2942"/>
      <c r="N40" s="2942"/>
      <c r="O40" s="2942"/>
      <c r="P40" s="3363"/>
      <c r="Q40" s="1536" t="str">
        <f t="shared" si="11"/>
        <v>房型</v>
      </c>
      <c r="R40" s="714" t="s">
        <v>21</v>
      </c>
      <c r="S40" s="715">
        <f t="shared" si="12"/>
        <v>100</v>
      </c>
      <c r="T40" s="714" t="s">
        <v>21</v>
      </c>
      <c r="U40" s="715">
        <f t="shared" si="13"/>
        <v>100</v>
      </c>
      <c r="V40" s="714" t="s">
        <v>21</v>
      </c>
      <c r="W40" s="715">
        <f t="shared" si="14"/>
        <v>100</v>
      </c>
      <c r="X40" s="1539"/>
      <c r="Y40" s="3365"/>
      <c r="Z40" s="1540" t="str">
        <f t="shared" si="18"/>
        <v>房型</v>
      </c>
      <c r="AA40" s="1537">
        <f t="shared" si="15"/>
        <v>1</v>
      </c>
      <c r="AB40" s="1537">
        <f t="shared" si="16"/>
        <v>1</v>
      </c>
      <c r="AC40" s="1537">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7"/>
      <c r="M41" s="2949"/>
      <c r="N41" s="2949"/>
      <c r="O41" s="2949"/>
      <c r="P41" s="3363"/>
      <c r="Q41" s="716" t="str">
        <f t="shared" si="11"/>
        <v>单套/主力户型建筑面积</v>
      </c>
      <c r="R41" s="717" t="s">
        <v>21</v>
      </c>
      <c r="S41" s="718">
        <f t="shared" si="12"/>
        <v>100</v>
      </c>
      <c r="T41" s="717" t="s">
        <v>21</v>
      </c>
      <c r="U41" s="718">
        <f t="shared" si="13"/>
        <v>100</v>
      </c>
      <c r="V41" s="717" t="s">
        <v>21</v>
      </c>
      <c r="W41" s="718">
        <f t="shared" si="14"/>
        <v>100</v>
      </c>
      <c r="X41" s="719"/>
      <c r="Y41" s="3365"/>
      <c r="Z41" s="720" t="str">
        <f t="shared" si="18"/>
        <v>单套/主力户型建筑面积</v>
      </c>
      <c r="AA41" s="1537">
        <f t="shared" si="15"/>
        <v>1</v>
      </c>
      <c r="AB41" s="1537">
        <f t="shared" si="16"/>
        <v>1</v>
      </c>
      <c r="AC41" s="1537">
        <f t="shared" si="17"/>
        <v>1</v>
      </c>
    </row>
    <row r="42" spans="1:29" ht="15">
      <c r="A42" s="431"/>
      <c r="B42" s="381" t="s">
        <v>2393</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8"/>
      <c r="M42" s="2942"/>
      <c r="N42" s="2942"/>
      <c r="O42" s="2942"/>
      <c r="P42" s="3363"/>
      <c r="Q42" s="1536" t="str">
        <f t="shared" si="11"/>
        <v>内部装修</v>
      </c>
      <c r="R42" s="714" t="s">
        <v>21</v>
      </c>
      <c r="S42" s="715">
        <f t="shared" si="12"/>
        <v>100</v>
      </c>
      <c r="T42" s="714" t="s">
        <v>21</v>
      </c>
      <c r="U42" s="715">
        <f t="shared" si="13"/>
        <v>100</v>
      </c>
      <c r="V42" s="714" t="s">
        <v>21</v>
      </c>
      <c r="W42" s="715">
        <f t="shared" si="14"/>
        <v>100</v>
      </c>
      <c r="X42" s="1539"/>
      <c r="Y42" s="3365"/>
      <c r="Z42" s="1540" t="str">
        <f t="shared" si="18"/>
        <v>内部装修</v>
      </c>
      <c r="AA42" s="1537">
        <f t="shared" si="15"/>
        <v>1</v>
      </c>
      <c r="AB42" s="1537">
        <f t="shared" si="16"/>
        <v>1</v>
      </c>
      <c r="AC42" s="1537">
        <f t="shared" si="17"/>
        <v>1</v>
      </c>
    </row>
    <row r="43" spans="1:29" ht="15">
      <c r="A43" s="431"/>
      <c r="B43" s="381" t="s">
        <v>2394</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8"/>
      <c r="M43" s="2942"/>
      <c r="N43" s="2942"/>
      <c r="O43" s="2942"/>
      <c r="P43" s="3363"/>
      <c r="Q43" s="1536" t="str">
        <f t="shared" si="11"/>
        <v>内部装修维护情况</v>
      </c>
      <c r="R43" s="714" t="s">
        <v>21</v>
      </c>
      <c r="S43" s="715">
        <f t="shared" si="12"/>
        <v>100</v>
      </c>
      <c r="T43" s="714" t="s">
        <v>21</v>
      </c>
      <c r="U43" s="715">
        <f t="shared" si="13"/>
        <v>100</v>
      </c>
      <c r="V43" s="714" t="s">
        <v>21</v>
      </c>
      <c r="W43" s="715">
        <f t="shared" si="14"/>
        <v>100</v>
      </c>
      <c r="X43" s="1539"/>
      <c r="Y43" s="3365"/>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3"/>
      <c r="M44" s="2944"/>
      <c r="N44" s="2944"/>
      <c r="O44" s="2944"/>
      <c r="P44" s="3363"/>
      <c r="Q44" s="1527">
        <f t="shared" si="11"/>
        <v>111</v>
      </c>
      <c r="R44" s="710" t="s">
        <v>21</v>
      </c>
      <c r="S44" s="711">
        <f t="shared" si="12"/>
        <v>100</v>
      </c>
      <c r="T44" s="710" t="s">
        <v>21</v>
      </c>
      <c r="U44" s="711">
        <f t="shared" si="13"/>
        <v>100</v>
      </c>
      <c r="V44" s="710" t="s">
        <v>21</v>
      </c>
      <c r="W44" s="711">
        <f t="shared" si="14"/>
        <v>100</v>
      </c>
      <c r="X44" s="712"/>
      <c r="Y44" s="336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8"/>
      <c r="M45" s="2942"/>
      <c r="N45" s="2942"/>
      <c r="O45" s="2942"/>
      <c r="P45" s="3363"/>
      <c r="Q45" s="1536">
        <f t="shared" si="11"/>
        <v>111</v>
      </c>
      <c r="R45" s="714" t="s">
        <v>21</v>
      </c>
      <c r="S45" s="715">
        <f t="shared" si="12"/>
        <v>100</v>
      </c>
      <c r="T45" s="714" t="s">
        <v>21</v>
      </c>
      <c r="U45" s="715">
        <f t="shared" si="13"/>
        <v>100</v>
      </c>
      <c r="V45" s="714" t="s">
        <v>21</v>
      </c>
      <c r="W45" s="715">
        <f t="shared" si="14"/>
        <v>100</v>
      </c>
      <c r="X45" s="1539"/>
      <c r="Y45" s="3365"/>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8"/>
      <c r="M46" s="2942"/>
      <c r="N46" s="2942"/>
      <c r="O46" s="2942"/>
      <c r="P46" s="3364"/>
      <c r="Q46" s="1536">
        <f t="shared" si="11"/>
        <v>111</v>
      </c>
      <c r="R46" s="714" t="s">
        <v>20</v>
      </c>
      <c r="S46" s="715">
        <f t="shared" si="12"/>
        <v>100</v>
      </c>
      <c r="T46" s="714" t="s">
        <v>20</v>
      </c>
      <c r="U46" s="715">
        <f t="shared" si="13"/>
        <v>100</v>
      </c>
      <c r="V46" s="714" t="s">
        <v>20</v>
      </c>
      <c r="W46" s="715">
        <f t="shared" si="14"/>
        <v>100</v>
      </c>
      <c r="X46" s="1539"/>
      <c r="Y46" s="3366"/>
      <c r="Z46" s="1540">
        <f t="shared" si="18"/>
        <v>111</v>
      </c>
      <c r="AA46" s="1537">
        <f t="shared" si="15"/>
        <v>1</v>
      </c>
      <c r="AB46" s="1537">
        <f t="shared" si="16"/>
        <v>1</v>
      </c>
      <c r="AC46" s="1537">
        <f t="shared" si="17"/>
        <v>1</v>
      </c>
    </row>
    <row r="47" spans="1:29" ht="15">
      <c r="A47" s="438" t="s">
        <v>2395</v>
      </c>
      <c r="B47" s="439"/>
      <c r="C47" s="1316" t="s">
        <v>19</v>
      </c>
      <c r="D47" s="1317"/>
      <c r="E47" s="1318"/>
      <c r="F47" s="1319"/>
      <c r="G47" s="1320"/>
      <c r="H47" s="1321"/>
      <c r="I47" s="1318"/>
      <c r="J47" s="1321"/>
      <c r="K47" s="2100"/>
      <c r="L47" s="2950"/>
      <c r="M47" s="2951"/>
      <c r="N47" s="2942"/>
      <c r="O47" s="2951"/>
      <c r="P47" s="3358" t="str">
        <f>A47</f>
        <v>成交单价（元/平方米）</v>
      </c>
      <c r="Q47" s="3358"/>
      <c r="R47" s="3359">
        <f>E47</f>
        <v>0</v>
      </c>
      <c r="S47" s="3359"/>
      <c r="T47" s="3359">
        <f>G47</f>
        <v>0</v>
      </c>
      <c r="U47" s="3359"/>
      <c r="V47" s="3359">
        <f>I47</f>
        <v>0</v>
      </c>
      <c r="W47" s="3359"/>
      <c r="X47" s="699"/>
      <c r="Y47" s="721"/>
      <c r="Z47" s="699"/>
      <c r="AA47" s="699"/>
      <c r="AB47" s="699"/>
      <c r="AC47" s="699"/>
    </row>
    <row r="48" spans="1:29" ht="15.75" thickBot="1">
      <c r="A48" s="445" t="s">
        <v>2396</v>
      </c>
      <c r="B48" s="446"/>
      <c r="C48" s="1322" t="e">
        <f>R49</f>
        <v>#DIV/0!</v>
      </c>
      <c r="D48" s="2538" t="s">
        <v>2877</v>
      </c>
      <c r="E48" s="1323" t="e">
        <f>R48</f>
        <v>#DIV/0!</v>
      </c>
      <c r="F48" s="2539"/>
      <c r="G48" s="1322" t="e">
        <f>T48</f>
        <v>#DIV/0!</v>
      </c>
      <c r="H48" s="2539"/>
      <c r="I48" s="1323" t="e">
        <f>V48</f>
        <v>#DIV/0!</v>
      </c>
      <c r="J48" s="2539"/>
      <c r="K48" s="2540">
        <f>F48+H48+J48</f>
        <v>0</v>
      </c>
      <c r="L48" s="2950"/>
      <c r="M48" s="2951"/>
      <c r="N48" s="2951"/>
      <c r="O48" s="2951"/>
      <c r="P48" s="3358" t="str">
        <f>A48</f>
        <v>比较价值（元/平方米）</v>
      </c>
      <c r="Q48" s="3358"/>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699"/>
      <c r="Y48" s="699"/>
      <c r="Z48" s="699"/>
      <c r="AA48" s="699"/>
      <c r="AB48" s="699"/>
      <c r="AC48" s="699"/>
    </row>
    <row r="49" spans="1:29" ht="15.75" thickBot="1">
      <c r="A49" s="449" t="s">
        <v>2397</v>
      </c>
      <c r="B49" s="450"/>
      <c r="C49" s="1324" t="e">
        <f>R49</f>
        <v>#DIV/0!</v>
      </c>
      <c r="D49" s="1325"/>
      <c r="E49" s="1325"/>
      <c r="F49" s="1325"/>
      <c r="G49" s="1325"/>
      <c r="H49" s="1325"/>
      <c r="I49" s="1325"/>
      <c r="J49" s="1325"/>
      <c r="K49" s="2101"/>
      <c r="L49" s="2950"/>
      <c r="M49" s="2951"/>
      <c r="N49" s="2951"/>
      <c r="O49" s="2951"/>
      <c r="P49" s="3355" t="str">
        <f>A49</f>
        <v>估价对象XX用房的比较价值（楼面单价，元/平方米）</v>
      </c>
      <c r="Q49" s="3356"/>
      <c r="R49" s="3357" t="e">
        <f>IF(F1="售价",ROUND(IF(D48="简单平均",AVERAGE(R48:V48),R48*F48+T48*H48+V48*J48),0),ROUND(IF(D48="简单平均",AVERAGE(R48:V48),R48*F48+T48*H48+V48*J48),1))</f>
        <v>#DIV/0!</v>
      </c>
      <c r="S49" s="3357"/>
      <c r="T49" s="3357"/>
      <c r="U49" s="3357"/>
      <c r="V49" s="3357"/>
      <c r="W49" s="3357"/>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3"/>
    </row>
    <row r="55" spans="1:29" s="459" customFormat="1">
      <c r="A55" s="2954"/>
      <c r="B55" s="2957"/>
      <c r="C55" s="2958"/>
      <c r="D55" s="2954"/>
      <c r="E55" s="2954"/>
      <c r="F55" s="2954"/>
      <c r="G55" s="2954"/>
      <c r="H55" s="2954"/>
      <c r="I55" s="2954"/>
      <c r="J55" s="2954"/>
      <c r="K55" s="2959"/>
      <c r="L55" s="2953"/>
      <c r="M55" s="2954"/>
      <c r="N55" s="2954"/>
      <c r="O55" s="2954"/>
      <c r="P55" s="2103"/>
    </row>
    <row r="56" spans="1:29">
      <c r="A56" s="2951"/>
      <c r="B56" s="2957"/>
      <c r="C56" s="2958"/>
      <c r="D56" s="2951"/>
      <c r="E56" s="2951"/>
      <c r="F56" s="2951"/>
      <c r="G56" s="2951"/>
      <c r="H56" s="2951"/>
      <c r="I56" s="2951"/>
      <c r="J56" s="2951"/>
      <c r="K56" s="2956"/>
      <c r="L56" s="2952"/>
      <c r="M56" s="2951"/>
      <c r="N56" s="2951"/>
      <c r="O56" s="2951"/>
    </row>
    <row r="57" spans="1:29" ht="21.75" thickBot="1">
      <c r="A57" s="703" t="s">
        <v>2401</v>
      </c>
      <c r="B57" s="699"/>
      <c r="C57" s="704"/>
      <c r="D57" s="704"/>
      <c r="E57" s="704"/>
      <c r="F57" s="705"/>
      <c r="G57" s="705"/>
      <c r="H57" s="704"/>
      <c r="I57" s="704"/>
      <c r="J57" s="704"/>
      <c r="K57" s="1072"/>
      <c r="L57" s="1073"/>
      <c r="M57" s="1071"/>
      <c r="N57" s="1071"/>
      <c r="O57" s="1071"/>
      <c r="P57" s="2104"/>
      <c r="Q57" s="461"/>
    </row>
    <row r="58" spans="1:29" s="465" customFormat="1" ht="15">
      <c r="A58" s="462" t="s">
        <v>2402</v>
      </c>
      <c r="B58" s="463"/>
      <c r="C58" s="1348" t="str">
        <f>YEAR(C7)&amp;"-"&amp;MONTH(C7)</f>
        <v>2021-6</v>
      </c>
      <c r="D58" s="1347">
        <f>EDATE(C58,-1)</f>
        <v>44317</v>
      </c>
      <c r="E58" s="1347">
        <f>EDATE(D58,-1)</f>
        <v>44287</v>
      </c>
      <c r="F58" s="1347">
        <f t="shared" ref="F58:O58" si="19">EDATE(E58,-1)</f>
        <v>44256</v>
      </c>
      <c r="G58" s="1347">
        <f t="shared" si="19"/>
        <v>44228</v>
      </c>
      <c r="H58" s="1347">
        <f t="shared" si="19"/>
        <v>44197</v>
      </c>
      <c r="I58" s="1347">
        <f t="shared" si="19"/>
        <v>44166</v>
      </c>
      <c r="J58" s="1347">
        <f t="shared" si="19"/>
        <v>44136</v>
      </c>
      <c r="K58" s="1347">
        <f t="shared" si="19"/>
        <v>44105</v>
      </c>
      <c r="L58" s="1347">
        <f t="shared" si="19"/>
        <v>44075</v>
      </c>
      <c r="M58" s="1347">
        <f t="shared" si="19"/>
        <v>44044</v>
      </c>
      <c r="N58" s="1347">
        <f t="shared" si="19"/>
        <v>44013</v>
      </c>
      <c r="O58" s="1347">
        <f t="shared" si="19"/>
        <v>43983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2403</v>
      </c>
      <c r="B60" s="473"/>
      <c r="C60" s="474"/>
      <c r="D60" s="475"/>
      <c r="E60" s="475"/>
      <c r="F60" s="475"/>
      <c r="G60" s="475"/>
      <c r="H60" s="475"/>
      <c r="I60" s="475"/>
      <c r="J60" s="475"/>
      <c r="K60" s="475"/>
      <c r="L60" s="475"/>
      <c r="M60" s="476"/>
      <c r="N60" s="475"/>
      <c r="O60" s="476"/>
      <c r="P60" s="2106"/>
      <c r="Q60" s="461"/>
    </row>
    <row r="61" spans="1:29" s="113" customFormat="1" ht="15">
      <c r="A61" s="478" t="s">
        <v>2404</v>
      </c>
      <c r="B61" s="467"/>
      <c r="C61" s="479" t="s">
        <v>2405</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2406</v>
      </c>
      <c r="B63" s="485" t="s">
        <v>2372</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2422</v>
      </c>
      <c r="D82" s="496" t="s">
        <v>2423</v>
      </c>
      <c r="E82" s="496" t="s">
        <v>2424</v>
      </c>
      <c r="F82" s="496" t="s">
        <v>2425</v>
      </c>
      <c r="G82" s="496" t="s">
        <v>2426</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2428</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2429</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2381</v>
      </c>
      <c r="B100" s="485" t="s">
        <v>2430</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2432</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2433</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2434</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2435</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2436</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2437</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2392</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2438</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2440</v>
      </c>
    </row>
    <row r="137" spans="1:17" ht="15">
      <c r="B137" s="2116" t="s">
        <v>2441</v>
      </c>
      <c r="C137" s="2117"/>
      <c r="D137" s="2117"/>
      <c r="E137" s="2117"/>
      <c r="F137" s="2117"/>
      <c r="G137" s="2118"/>
      <c r="H137" s="2119"/>
      <c r="I137" s="2120" t="s">
        <v>2442</v>
      </c>
      <c r="J137" s="2117"/>
      <c r="K137" s="2121"/>
    </row>
    <row r="138" spans="1:17" ht="15">
      <c r="B138" s="2122"/>
      <c r="C138" s="142" t="s">
        <v>2443</v>
      </c>
      <c r="D138" s="142" t="s">
        <v>2444</v>
      </c>
      <c r="E138" s="2123" t="s">
        <v>2445</v>
      </c>
      <c r="F138" s="2124" t="s">
        <v>2446</v>
      </c>
      <c r="G138" s="142" t="s">
        <v>2444</v>
      </c>
      <c r="H138" s="143" t="s">
        <v>2445</v>
      </c>
      <c r="I138" s="2125"/>
      <c r="J138" s="142" t="s">
        <v>2447</v>
      </c>
      <c r="K138" s="143" t="s">
        <v>2448</v>
      </c>
    </row>
    <row r="139" spans="1:17" ht="15">
      <c r="B139" s="998">
        <v>6</v>
      </c>
      <c r="C139" s="999">
        <v>96</v>
      </c>
      <c r="D139" s="2126" t="s">
        <v>2449</v>
      </c>
      <c r="E139" s="1000">
        <v>100</v>
      </c>
      <c r="F139" s="1001">
        <v>102.5</v>
      </c>
      <c r="G139" s="2126" t="s">
        <v>2449</v>
      </c>
      <c r="H139" s="1002">
        <v>105</v>
      </c>
      <c r="I139" s="2127" t="s">
        <v>2450</v>
      </c>
      <c r="J139" s="999">
        <v>20</v>
      </c>
      <c r="K139" s="1003">
        <f>C145/(J139-2)</f>
        <v>4.0555555555555553E-3</v>
      </c>
    </row>
    <row r="140" spans="1:17" ht="15">
      <c r="B140" s="1004">
        <v>5</v>
      </c>
      <c r="C140" s="1005">
        <v>100</v>
      </c>
      <c r="D140" s="1005"/>
      <c r="E140" s="1006"/>
      <c r="F140" s="1007">
        <v>102</v>
      </c>
      <c r="G140" s="1005"/>
      <c r="H140" s="1008"/>
      <c r="I140" s="2128" t="s">
        <v>2451</v>
      </c>
      <c r="J140" s="277">
        <f>ROUNDUP((J139-1)/2,0)</f>
        <v>10</v>
      </c>
      <c r="K140" s="1009">
        <v>100</v>
      </c>
    </row>
    <row r="141" spans="1:17" ht="15">
      <c r="B141" s="1004">
        <v>4</v>
      </c>
      <c r="C141" s="1005">
        <v>102</v>
      </c>
      <c r="D141" s="1005"/>
      <c r="E141" s="1006"/>
      <c r="F141" s="1007">
        <v>101.5</v>
      </c>
      <c r="G141" s="1005"/>
      <c r="H141" s="1008"/>
      <c r="I141" s="2128" t="s">
        <v>2452</v>
      </c>
      <c r="J141" s="277">
        <v>1</v>
      </c>
      <c r="K141" s="1010">
        <f>ROUND(100+(J141-J140)*K139*100,1)</f>
        <v>96.4</v>
      </c>
    </row>
    <row r="142" spans="1:17" ht="15">
      <c r="B142" s="1004">
        <v>3</v>
      </c>
      <c r="C142" s="1005">
        <v>103</v>
      </c>
      <c r="D142" s="1005"/>
      <c r="E142" s="1006"/>
      <c r="F142" s="1007">
        <v>101</v>
      </c>
      <c r="G142" s="1005"/>
      <c r="H142" s="1008"/>
      <c r="I142" s="2128" t="s">
        <v>2453</v>
      </c>
      <c r="J142" s="277">
        <f>J139</f>
        <v>20</v>
      </c>
      <c r="K142" s="1011">
        <v>95</v>
      </c>
    </row>
    <row r="143" spans="1:17" ht="15">
      <c r="B143" s="1004">
        <v>2</v>
      </c>
      <c r="C143" s="1005">
        <v>100</v>
      </c>
      <c r="D143" s="1005"/>
      <c r="E143" s="1006"/>
      <c r="F143" s="1007">
        <v>100.5</v>
      </c>
      <c r="G143" s="1005"/>
      <c r="H143" s="1008"/>
      <c r="I143" s="2128" t="s">
        <v>2454</v>
      </c>
      <c r="J143" s="1005">
        <v>15</v>
      </c>
      <c r="K143" s="1010">
        <f>ROUND(100+(J143-J140)*K139*100,1)</f>
        <v>102</v>
      </c>
    </row>
    <row r="144" spans="1:17" ht="15">
      <c r="B144" s="1004">
        <v>1</v>
      </c>
      <c r="C144" s="1005">
        <v>98</v>
      </c>
      <c r="D144" s="2129" t="s">
        <v>2455</v>
      </c>
      <c r="E144" s="1006">
        <v>102</v>
      </c>
      <c r="F144" s="1012">
        <v>100</v>
      </c>
      <c r="G144" s="2129" t="s">
        <v>2455</v>
      </c>
      <c r="H144" s="1008">
        <v>105</v>
      </c>
      <c r="I144" s="2128" t="s">
        <v>2454</v>
      </c>
      <c r="J144" s="1005">
        <v>18</v>
      </c>
      <c r="K144" s="1010">
        <f>ROUND(100+(J144-J140)*K139*100,1)</f>
        <v>103.2</v>
      </c>
    </row>
    <row r="145" spans="2:11" ht="15.75" thickBot="1">
      <c r="B145" s="2130" t="s">
        <v>2456</v>
      </c>
      <c r="C145" s="1013">
        <f>ROUND(MAX(C139:C144)/MIN(C139:C144)-1,3)</f>
        <v>7.2999999999999995E-2</v>
      </c>
      <c r="D145" s="1014"/>
      <c r="E145" s="1014"/>
      <c r="F145" s="2131" t="s">
        <v>2457</v>
      </c>
      <c r="G145" s="2132"/>
      <c r="H145" s="2133"/>
      <c r="I145" s="2134" t="s">
        <v>2454</v>
      </c>
      <c r="J145" s="1015">
        <v>8</v>
      </c>
      <c r="K145" s="1016">
        <f>ROUND(100+(J145-J140)*K139*100,1)</f>
        <v>99.2</v>
      </c>
    </row>
    <row r="147" spans="2:11">
      <c r="B147" s="2115" t="s">
        <v>2458</v>
      </c>
    </row>
    <row r="148" spans="2:11">
      <c r="B148" s="2115"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064" t="s">
        <v>2460</v>
      </c>
      <c r="C1" s="1406" t="s">
        <v>2348</v>
      </c>
      <c r="D1" s="1393"/>
      <c r="E1" s="2543"/>
      <c r="F1" s="2065"/>
      <c r="G1" s="1403" t="s">
        <v>2461</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2145</v>
      </c>
      <c r="B2" s="1326" t="e">
        <f ca="1">IF(C2="——",ROUND(C49*D3/10000,0),ROUND(C49*D3/10000,0)-D2)</f>
        <v>#DIV/0!</v>
      </c>
      <c r="C2" s="2067"/>
      <c r="D2" s="1275" t="e">
        <f ca="1">SUMIF(INDIRECT("'"&amp;F2&amp;"'"&amp;"!A:A"),"承租人权益价值",INDIRECT("'"&amp;F2&amp;"'"&amp;"!c:c"))</f>
        <v>#REF!</v>
      </c>
      <c r="E2" s="2068" t="s">
        <v>2146</v>
      </c>
      <c r="F2" s="2069"/>
      <c r="G2" s="1039"/>
      <c r="H2" s="1039"/>
      <c r="I2" s="1039"/>
      <c r="J2" s="1039"/>
      <c r="K2" s="1039"/>
      <c r="L2" s="2960"/>
      <c r="M2" s="2961"/>
      <c r="N2" s="2961"/>
      <c r="O2" s="2961"/>
      <c r="P2" s="2138"/>
      <c r="Q2" s="1043"/>
      <c r="R2" s="1043"/>
      <c r="S2" s="1043"/>
      <c r="T2" s="1043"/>
      <c r="U2" s="1043"/>
      <c r="V2" s="1043"/>
      <c r="W2" s="1043"/>
      <c r="X2" s="1043"/>
      <c r="Y2" s="1043"/>
      <c r="Z2" s="1043"/>
      <c r="AA2" s="1043"/>
      <c r="AB2" s="1043"/>
      <c r="AC2" s="2139"/>
    </row>
    <row r="3" spans="1:29" s="358" customFormat="1" ht="28.5" customHeight="1" thickBot="1">
      <c r="A3" s="209" t="s">
        <v>2147</v>
      </c>
      <c r="B3" s="566" t="e">
        <f ca="1">IF(C2="——",C49,ROUND(B2*10000/D3,0))</f>
        <v>#DIV/0!</v>
      </c>
      <c r="C3" s="360" t="s">
        <v>2462</v>
      </c>
      <c r="D3" s="359">
        <f>IF(D1="",'数据-汇总表'!E3,SUMIF('数据-汇总表'!$C19:$C33,D1,'数据-汇总表'!$E19:$E33))</f>
        <v>1141.77</v>
      </c>
      <c r="E3" s="2140"/>
      <c r="F3" s="1040"/>
      <c r="G3" s="1039"/>
      <c r="H3" s="1039"/>
      <c r="I3" s="1039"/>
      <c r="J3" s="1039"/>
      <c r="K3" s="1041"/>
      <c r="L3" s="2960"/>
      <c r="M3" s="2961"/>
      <c r="N3" s="2961"/>
      <c r="O3" s="2961"/>
      <c r="P3" s="2138"/>
      <c r="Q3" s="1043"/>
      <c r="R3" s="1043"/>
      <c r="S3" s="1043"/>
      <c r="T3" s="1043"/>
      <c r="U3" s="1043"/>
      <c r="V3" s="1043"/>
      <c r="W3" s="1043"/>
      <c r="X3" s="1043"/>
      <c r="Y3" s="1043"/>
      <c r="Z3" s="1043"/>
      <c r="AA3" s="1043"/>
      <c r="AB3" s="1043"/>
      <c r="AC3" s="2140"/>
    </row>
    <row r="4" spans="1:29" ht="15">
      <c r="A4" s="361" t="s">
        <v>2463</v>
      </c>
      <c r="B4" s="362"/>
      <c r="C4" s="3341" t="s">
        <v>2464</v>
      </c>
      <c r="D4" s="3342"/>
      <c r="E4" s="3343" t="s">
        <v>2465</v>
      </c>
      <c r="F4" s="3344"/>
      <c r="G4" s="3341" t="s">
        <v>2466</v>
      </c>
      <c r="H4" s="3342"/>
      <c r="I4" s="3341" t="s">
        <v>2467</v>
      </c>
      <c r="J4" s="3342"/>
      <c r="K4" s="567" t="s">
        <v>2468</v>
      </c>
      <c r="L4" s="2941"/>
      <c r="M4" s="2942"/>
      <c r="N4" s="2942"/>
      <c r="O4" s="2942"/>
      <c r="P4" s="3345" t="s">
        <v>2469</v>
      </c>
      <c r="Q4" s="3346"/>
      <c r="R4" s="3328" t="s">
        <v>2465</v>
      </c>
      <c r="S4" s="3329"/>
      <c r="T4" s="3328" t="s">
        <v>2466</v>
      </c>
      <c r="U4" s="3329"/>
      <c r="V4" s="3353" t="s">
        <v>2467</v>
      </c>
      <c r="W4" s="3353"/>
      <c r="X4" s="1539"/>
      <c r="Y4" s="3328" t="s">
        <v>2469</v>
      </c>
      <c r="Z4" s="3329"/>
      <c r="AA4" s="3323" t="s">
        <v>2465</v>
      </c>
      <c r="AB4" s="3353" t="s">
        <v>2466</v>
      </c>
      <c r="AC4" s="3323" t="s">
        <v>2467</v>
      </c>
    </row>
    <row r="5" spans="1:29" ht="15">
      <c r="A5" s="364"/>
      <c r="B5" s="365"/>
      <c r="C5" s="3334" t="s">
        <v>2360</v>
      </c>
      <c r="D5" s="3335"/>
      <c r="E5" s="3332" t="s">
        <v>2361</v>
      </c>
      <c r="F5" s="3333"/>
      <c r="G5" s="3334" t="s">
        <v>2362</v>
      </c>
      <c r="H5" s="3335"/>
      <c r="I5" s="3334" t="s">
        <v>2363</v>
      </c>
      <c r="J5" s="3335"/>
      <c r="K5" s="567"/>
      <c r="L5" s="2941"/>
      <c r="M5" s="2942"/>
      <c r="N5" s="2942"/>
      <c r="O5" s="2942"/>
      <c r="P5" s="3347"/>
      <c r="Q5" s="3348"/>
      <c r="R5" s="3330"/>
      <c r="S5" s="3331"/>
      <c r="T5" s="3330"/>
      <c r="U5" s="3331"/>
      <c r="V5" s="3353"/>
      <c r="W5" s="3353"/>
      <c r="X5" s="1539"/>
      <c r="Y5" s="3330"/>
      <c r="Z5" s="3331"/>
      <c r="AA5" s="3324"/>
      <c r="AB5" s="3353"/>
      <c r="AC5" s="3324"/>
    </row>
    <row r="6" spans="1:29" ht="15.75" thickBot="1">
      <c r="A6" s="366"/>
      <c r="B6" s="367"/>
      <c r="C6" s="3336" t="s">
        <v>2364</v>
      </c>
      <c r="D6" s="3337"/>
      <c r="E6" s="3338" t="s">
        <v>2364</v>
      </c>
      <c r="F6" s="3339"/>
      <c r="G6" s="3336" t="s">
        <v>2364</v>
      </c>
      <c r="H6" s="3337"/>
      <c r="I6" s="3336" t="s">
        <v>2364</v>
      </c>
      <c r="J6" s="3337"/>
      <c r="K6" s="567" t="s">
        <v>2365</v>
      </c>
      <c r="L6" s="2941"/>
      <c r="M6" s="2942"/>
      <c r="N6" s="2942"/>
      <c r="O6" s="2942"/>
      <c r="P6" s="3349"/>
      <c r="Q6" s="3350"/>
      <c r="R6" s="3330"/>
      <c r="S6" s="3331"/>
      <c r="T6" s="3351"/>
      <c r="U6" s="3352"/>
      <c r="V6" s="3353"/>
      <c r="W6" s="3353"/>
      <c r="X6" s="1539"/>
      <c r="Y6" s="3351"/>
      <c r="Z6" s="3352"/>
      <c r="AA6" s="3325"/>
      <c r="AB6" s="3353"/>
      <c r="AC6" s="3325"/>
    </row>
    <row r="7" spans="1:29" s="113" customFormat="1" ht="15.75" thickBot="1">
      <c r="A7" s="368" t="s">
        <v>2366</v>
      </c>
      <c r="B7" s="369"/>
      <c r="C7" s="370">
        <f>'数据-取费表'!B2</f>
        <v>44370</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26" t="s">
        <v>2367</v>
      </c>
      <c r="Q7" s="3354"/>
      <c r="R7" s="710" t="s">
        <v>17</v>
      </c>
      <c r="S7" s="711">
        <f t="shared" ref="S7:S15" si="0">F7</f>
        <v>0</v>
      </c>
      <c r="T7" s="710" t="s">
        <v>17</v>
      </c>
      <c r="U7" s="711">
        <f t="shared" ref="U7:U15" si="1">H7</f>
        <v>0</v>
      </c>
      <c r="V7" s="710" t="s">
        <v>17</v>
      </c>
      <c r="W7" s="711">
        <f t="shared" ref="W7:W15" si="2">J7</f>
        <v>0</v>
      </c>
      <c r="X7" s="712"/>
      <c r="Y7" s="3326" t="s">
        <v>2367</v>
      </c>
      <c r="Z7" s="3327"/>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26" t="s">
        <v>2370</v>
      </c>
      <c r="Q8" s="3327"/>
      <c r="R8" s="710" t="s">
        <v>17</v>
      </c>
      <c r="S8" s="711">
        <f t="shared" si="0"/>
        <v>0</v>
      </c>
      <c r="T8" s="710" t="s">
        <v>17</v>
      </c>
      <c r="U8" s="711">
        <f t="shared" si="1"/>
        <v>0</v>
      </c>
      <c r="V8" s="710" t="s">
        <v>17</v>
      </c>
      <c r="W8" s="711">
        <f t="shared" si="2"/>
        <v>0</v>
      </c>
      <c r="X8" s="712"/>
      <c r="Y8" s="3326" t="s">
        <v>2370</v>
      </c>
      <c r="Z8" s="3327"/>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40" t="s">
        <v>2373</v>
      </c>
      <c r="Q9" s="1527" t="str">
        <f t="shared" ref="Q9:Q15" si="6">B9</f>
        <v>用途</v>
      </c>
      <c r="R9" s="710" t="s">
        <v>17</v>
      </c>
      <c r="S9" s="711">
        <f t="shared" si="0"/>
        <v>100</v>
      </c>
      <c r="T9" s="710" t="s">
        <v>17</v>
      </c>
      <c r="U9" s="711">
        <f t="shared" si="1"/>
        <v>100</v>
      </c>
      <c r="V9" s="710" t="s">
        <v>17</v>
      </c>
      <c r="W9" s="711">
        <f t="shared" si="2"/>
        <v>100</v>
      </c>
      <c r="X9" s="712"/>
      <c r="Y9" s="3268"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40"/>
      <c r="Q10" s="1527" t="str">
        <f t="shared" si="6"/>
        <v>土地使用年限（年）</v>
      </c>
      <c r="R10" s="710" t="s">
        <v>17</v>
      </c>
      <c r="S10" s="711">
        <f t="shared" si="0"/>
        <v>100</v>
      </c>
      <c r="T10" s="710" t="s">
        <v>17</v>
      </c>
      <c r="U10" s="711">
        <f t="shared" si="1"/>
        <v>100</v>
      </c>
      <c r="V10" s="710" t="s">
        <v>17</v>
      </c>
      <c r="W10" s="711">
        <f t="shared" si="2"/>
        <v>100</v>
      </c>
      <c r="X10" s="712"/>
      <c r="Y10" s="3268"/>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40"/>
      <c r="Q11" s="1527" t="str">
        <f t="shared" si="6"/>
        <v>容积率</v>
      </c>
      <c r="R11" s="710" t="s">
        <v>17</v>
      </c>
      <c r="S11" s="711" t="e">
        <f t="shared" si="0"/>
        <v>#N/A</v>
      </c>
      <c r="T11" s="710" t="s">
        <v>17</v>
      </c>
      <c r="U11" s="711" t="e">
        <f t="shared" si="1"/>
        <v>#N/A</v>
      </c>
      <c r="V11" s="710" t="s">
        <v>17</v>
      </c>
      <c r="W11" s="711" t="e">
        <f t="shared" si="2"/>
        <v>#N/A</v>
      </c>
      <c r="X11" s="712"/>
      <c r="Y11" s="326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40"/>
      <c r="Q12" s="1527">
        <f t="shared" si="6"/>
        <v>111</v>
      </c>
      <c r="R12" s="710" t="s">
        <v>17</v>
      </c>
      <c r="S12" s="711">
        <f t="shared" si="0"/>
        <v>100</v>
      </c>
      <c r="T12" s="710" t="s">
        <v>17</v>
      </c>
      <c r="U12" s="711">
        <f t="shared" si="1"/>
        <v>100</v>
      </c>
      <c r="V12" s="710" t="s">
        <v>17</v>
      </c>
      <c r="W12" s="711">
        <f t="shared" si="2"/>
        <v>100</v>
      </c>
      <c r="X12" s="712"/>
      <c r="Y12" s="326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40"/>
      <c r="Q13" s="1527">
        <f t="shared" si="6"/>
        <v>111</v>
      </c>
      <c r="R13" s="710" t="s">
        <v>17</v>
      </c>
      <c r="S13" s="711">
        <f t="shared" si="0"/>
        <v>100</v>
      </c>
      <c r="T13" s="710" t="s">
        <v>17</v>
      </c>
      <c r="U13" s="711">
        <f t="shared" si="1"/>
        <v>100</v>
      </c>
      <c r="V13" s="710" t="s">
        <v>17</v>
      </c>
      <c r="W13" s="711">
        <f t="shared" si="2"/>
        <v>100</v>
      </c>
      <c r="X13" s="712"/>
      <c r="Y13" s="3268"/>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40"/>
      <c r="Q14" s="1527">
        <f t="shared" si="6"/>
        <v>111</v>
      </c>
      <c r="R14" s="710" t="s">
        <v>17</v>
      </c>
      <c r="S14" s="711">
        <f t="shared" si="0"/>
        <v>100</v>
      </c>
      <c r="T14" s="710" t="s">
        <v>17</v>
      </c>
      <c r="U14" s="711">
        <f t="shared" si="1"/>
        <v>100</v>
      </c>
      <c r="V14" s="710" t="s">
        <v>17</v>
      </c>
      <c r="W14" s="711">
        <f t="shared" si="2"/>
        <v>100</v>
      </c>
      <c r="X14" s="712"/>
      <c r="Y14" s="3268"/>
      <c r="Z14" s="55">
        <f t="shared" si="7"/>
        <v>111</v>
      </c>
      <c r="AA14" s="713">
        <f t="shared" si="3"/>
        <v>1</v>
      </c>
      <c r="AB14" s="713">
        <f t="shared" si="4"/>
        <v>1</v>
      </c>
      <c r="AC14" s="713">
        <f t="shared" si="5"/>
        <v>1</v>
      </c>
    </row>
    <row r="15" spans="1:29" ht="71.25">
      <c r="A15" s="399" t="s">
        <v>2377</v>
      </c>
      <c r="B15" s="65" t="s">
        <v>2471</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67" t="s">
        <v>2378</v>
      </c>
      <c r="Q15" s="1536" t="str">
        <f t="shared" si="6"/>
        <v>商业繁华度</v>
      </c>
      <c r="R15" s="714" t="s">
        <v>17</v>
      </c>
      <c r="S15" s="715">
        <f t="shared" si="0"/>
        <v>100</v>
      </c>
      <c r="T15" s="714" t="s">
        <v>17</v>
      </c>
      <c r="U15" s="715">
        <f t="shared" si="1"/>
        <v>100</v>
      </c>
      <c r="V15" s="714" t="s">
        <v>17</v>
      </c>
      <c r="W15" s="715">
        <f t="shared" si="2"/>
        <v>100</v>
      </c>
      <c r="X15" s="1539"/>
      <c r="Y15" s="3360" t="s">
        <v>2378</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8"/>
      <c r="M16" s="2942"/>
      <c r="N16" s="2942"/>
      <c r="O16" s="2942"/>
      <c r="P16" s="3368"/>
      <c r="Q16" s="1536"/>
      <c r="R16" s="714"/>
      <c r="S16" s="715"/>
      <c r="T16" s="714"/>
      <c r="U16" s="715"/>
      <c r="V16" s="714"/>
      <c r="W16" s="715"/>
      <c r="X16" s="1539"/>
      <c r="Y16" s="3361"/>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68"/>
      <c r="Q17" s="1536" t="str">
        <f>B17</f>
        <v>交通便捷度</v>
      </c>
      <c r="R17" s="714" t="s">
        <v>17</v>
      </c>
      <c r="S17" s="715">
        <f>F17</f>
        <v>100</v>
      </c>
      <c r="T17" s="714" t="s">
        <v>17</v>
      </c>
      <c r="U17" s="715">
        <f>H17</f>
        <v>100</v>
      </c>
      <c r="V17" s="714" t="s">
        <v>17</v>
      </c>
      <c r="W17" s="715">
        <f>J17</f>
        <v>100</v>
      </c>
      <c r="X17" s="1539"/>
      <c r="Y17" s="336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8"/>
      <c r="M18" s="2942"/>
      <c r="N18" s="2942"/>
      <c r="O18" s="2942"/>
      <c r="P18" s="3368"/>
      <c r="Q18" s="1536"/>
      <c r="R18" s="714"/>
      <c r="S18" s="715"/>
      <c r="T18" s="714"/>
      <c r="U18" s="715"/>
      <c r="V18" s="714"/>
      <c r="W18" s="715"/>
      <c r="X18" s="1539"/>
      <c r="Y18" s="3361"/>
      <c r="Z18" s="1540"/>
      <c r="AA18" s="1537">
        <v>1</v>
      </c>
      <c r="AB18" s="1537">
        <v>1</v>
      </c>
      <c r="AC18" s="1537">
        <v>1</v>
      </c>
    </row>
    <row r="19" spans="1:29" ht="42.75">
      <c r="A19" s="387"/>
      <c r="B19" s="410" t="s">
        <v>2472</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68"/>
      <c r="Q19" s="1536" t="str">
        <f>B19</f>
        <v>公共配套设施</v>
      </c>
      <c r="R19" s="714" t="s">
        <v>17</v>
      </c>
      <c r="S19" s="715">
        <f>F19</f>
        <v>100</v>
      </c>
      <c r="T19" s="714" t="s">
        <v>17</v>
      </c>
      <c r="U19" s="715">
        <f>H19</f>
        <v>100</v>
      </c>
      <c r="V19" s="714" t="s">
        <v>17</v>
      </c>
      <c r="W19" s="715">
        <f>J19</f>
        <v>100</v>
      </c>
      <c r="X19" s="1539"/>
      <c r="Y19" s="336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8"/>
      <c r="M20" s="2942"/>
      <c r="N20" s="2942"/>
      <c r="O20" s="2942"/>
      <c r="P20" s="3368"/>
      <c r="Q20" s="1536"/>
      <c r="R20" s="714"/>
      <c r="S20" s="715"/>
      <c r="T20" s="714"/>
      <c r="U20" s="715"/>
      <c r="V20" s="714"/>
      <c r="W20" s="715"/>
      <c r="X20" s="1539"/>
      <c r="Y20" s="3361"/>
      <c r="Z20" s="1540"/>
      <c r="AA20" s="1537">
        <v>1</v>
      </c>
      <c r="AB20" s="1537">
        <v>1</v>
      </c>
      <c r="AC20" s="1537">
        <v>1</v>
      </c>
    </row>
    <row r="21" spans="1:29" ht="28.5">
      <c r="A21" s="387"/>
      <c r="B21" s="1293" t="s">
        <v>2473</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68"/>
      <c r="Q21" s="1536" t="str">
        <f>B21</f>
        <v>基础设施水平</v>
      </c>
      <c r="R21" s="714" t="s">
        <v>17</v>
      </c>
      <c r="S21" s="715">
        <f>F21</f>
        <v>100</v>
      </c>
      <c r="T21" s="714" t="s">
        <v>17</v>
      </c>
      <c r="U21" s="715">
        <f>H21</f>
        <v>100</v>
      </c>
      <c r="V21" s="714" t="s">
        <v>17</v>
      </c>
      <c r="W21" s="715">
        <f>J21</f>
        <v>100</v>
      </c>
      <c r="X21" s="1539"/>
      <c r="Y21" s="336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48"/>
      <c r="M22" s="2942"/>
      <c r="N22" s="2942"/>
      <c r="O22" s="2942"/>
      <c r="P22" s="3368"/>
      <c r="Q22" s="1536"/>
      <c r="R22" s="714"/>
      <c r="S22" s="715"/>
      <c r="T22" s="714"/>
      <c r="U22" s="715"/>
      <c r="V22" s="714"/>
      <c r="W22" s="715"/>
      <c r="X22" s="1539"/>
      <c r="Y22" s="3361"/>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68"/>
      <c r="Q23" s="1536" t="str">
        <f>B23</f>
        <v>自然及人文环境</v>
      </c>
      <c r="R23" s="714" t="s">
        <v>17</v>
      </c>
      <c r="S23" s="715">
        <f>F23</f>
        <v>100</v>
      </c>
      <c r="T23" s="714" t="s">
        <v>17</v>
      </c>
      <c r="U23" s="715">
        <f>H23</f>
        <v>100</v>
      </c>
      <c r="V23" s="714" t="s">
        <v>17</v>
      </c>
      <c r="W23" s="715">
        <f>J23</f>
        <v>100</v>
      </c>
      <c r="X23" s="1539"/>
      <c r="Y23" s="3361"/>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8"/>
      <c r="M24" s="2942"/>
      <c r="N24" s="2942"/>
      <c r="O24" s="2942"/>
      <c r="P24" s="3368"/>
      <c r="Q24" s="1536"/>
      <c r="R24" s="714"/>
      <c r="S24" s="715"/>
      <c r="T24" s="714"/>
      <c r="U24" s="715"/>
      <c r="V24" s="714"/>
      <c r="W24" s="715"/>
      <c r="X24" s="1539"/>
      <c r="Y24" s="3361"/>
      <c r="Z24" s="1540"/>
      <c r="AA24" s="1537">
        <v>1</v>
      </c>
      <c r="AB24" s="1537">
        <v>1</v>
      </c>
      <c r="AC24" s="1537">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68"/>
      <c r="Q25" s="1536" t="str">
        <f t="shared" ref="Q25:Q46" si="11">B25</f>
        <v>临街状况</v>
      </c>
      <c r="R25" s="714" t="s">
        <v>17</v>
      </c>
      <c r="S25" s="715">
        <f>F25</f>
        <v>100</v>
      </c>
      <c r="T25" s="714" t="s">
        <v>17</v>
      </c>
      <c r="U25" s="715">
        <f>H25</f>
        <v>100</v>
      </c>
      <c r="V25" s="714" t="s">
        <v>17</v>
      </c>
      <c r="W25" s="715">
        <f>J25</f>
        <v>100</v>
      </c>
      <c r="X25" s="1539"/>
      <c r="Y25" s="3361"/>
      <c r="Z25" s="1540" t="str">
        <f>Q25</f>
        <v>临街状况</v>
      </c>
      <c r="AA25" s="1537">
        <f t="shared" si="3"/>
        <v>1</v>
      </c>
      <c r="AB25" s="1537">
        <f t="shared" si="4"/>
        <v>1</v>
      </c>
      <c r="AC25" s="1537">
        <f t="shared" si="5"/>
        <v>1</v>
      </c>
    </row>
    <row r="26" spans="1:29" ht="15">
      <c r="A26" s="387"/>
      <c r="B26" s="1295" t="s">
        <v>2475</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68"/>
      <c r="Q26" s="1536" t="str">
        <f t="shared" si="11"/>
        <v>平面位置/可视性</v>
      </c>
      <c r="R26" s="714" t="s">
        <v>17</v>
      </c>
      <c r="S26" s="715">
        <f>F26</f>
        <v>100</v>
      </c>
      <c r="T26" s="714" t="s">
        <v>17</v>
      </c>
      <c r="U26" s="715">
        <f>H26</f>
        <v>100</v>
      </c>
      <c r="V26" s="714" t="s">
        <v>17</v>
      </c>
      <c r="W26" s="715">
        <f>J26</f>
        <v>100</v>
      </c>
      <c r="X26" s="1539"/>
      <c r="Y26" s="3361"/>
      <c r="Z26" s="1540" t="str">
        <f>Q26</f>
        <v>平面位置/可视性</v>
      </c>
      <c r="AA26" s="1537">
        <f t="shared" si="3"/>
        <v>1</v>
      </c>
      <c r="AB26" s="1537">
        <f t="shared" si="4"/>
        <v>1</v>
      </c>
      <c r="AC26" s="1537">
        <f t="shared" si="5"/>
        <v>1</v>
      </c>
    </row>
    <row r="27" spans="1:29" s="113" customFormat="1" ht="15">
      <c r="A27" s="390"/>
      <c r="B27" s="410" t="s">
        <v>2476</v>
      </c>
      <c r="C27" s="2142"/>
      <c r="D27" s="421">
        <v>100</v>
      </c>
      <c r="E27" s="2142"/>
      <c r="F27" s="423">
        <f>SUMIF(90:90,E27,91:91)-SUMIF(90:90,C27,91:91)+100</f>
        <v>100</v>
      </c>
      <c r="G27" s="2142"/>
      <c r="H27" s="421">
        <f>SUMIF(90:90,G27,91:91)-SUMIF(90:90,C27,91:91)+100</f>
        <v>100</v>
      </c>
      <c r="I27" s="2142"/>
      <c r="J27" s="421">
        <f>SUMIF(90:90,I27,91:91)-SUMIF(90:90,C27,91:91)+100</f>
        <v>100</v>
      </c>
      <c r="K27" s="569"/>
      <c r="L27" s="2943"/>
      <c r="M27" s="2944"/>
      <c r="N27" s="2944"/>
      <c r="O27" s="2944"/>
      <c r="P27" s="3368"/>
      <c r="Q27" s="1527" t="str">
        <f t="shared" si="11"/>
        <v>人流量</v>
      </c>
      <c r="R27" s="710" t="s">
        <v>17</v>
      </c>
      <c r="S27" s="711">
        <f>F27</f>
        <v>100</v>
      </c>
      <c r="T27" s="710" t="s">
        <v>17</v>
      </c>
      <c r="U27" s="711">
        <f>H27</f>
        <v>100</v>
      </c>
      <c r="V27" s="710" t="s">
        <v>17</v>
      </c>
      <c r="W27" s="711">
        <f>J27</f>
        <v>100</v>
      </c>
      <c r="X27" s="712"/>
      <c r="Y27" s="3361"/>
      <c r="Z27" s="55" t="str">
        <f>Q27</f>
        <v>人流量</v>
      </c>
      <c r="AA27" s="1537">
        <f>D27/F27</f>
        <v>1</v>
      </c>
      <c r="AB27" s="1537">
        <f>D27/H27</f>
        <v>1</v>
      </c>
      <c r="AC27" s="1537">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6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61"/>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68"/>
      <c r="Q29" s="1536">
        <f t="shared" si="11"/>
        <v>111</v>
      </c>
      <c r="R29" s="714" t="s">
        <v>17</v>
      </c>
      <c r="S29" s="715">
        <f t="shared" si="12"/>
        <v>100</v>
      </c>
      <c r="T29" s="714" t="s">
        <v>17</v>
      </c>
      <c r="U29" s="715">
        <f t="shared" si="13"/>
        <v>100</v>
      </c>
      <c r="V29" s="714" t="s">
        <v>17</v>
      </c>
      <c r="W29" s="715">
        <f t="shared" si="14"/>
        <v>100</v>
      </c>
      <c r="X29" s="1539"/>
      <c r="Y29" s="3361"/>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68"/>
      <c r="Q30" s="1536">
        <f t="shared" si="11"/>
        <v>111</v>
      </c>
      <c r="R30" s="714" t="s">
        <v>17</v>
      </c>
      <c r="S30" s="715">
        <f t="shared" si="12"/>
        <v>100</v>
      </c>
      <c r="T30" s="714" t="s">
        <v>17</v>
      </c>
      <c r="U30" s="715">
        <f t="shared" si="13"/>
        <v>100</v>
      </c>
      <c r="V30" s="714" t="s">
        <v>17</v>
      </c>
      <c r="W30" s="715">
        <f t="shared" si="14"/>
        <v>100</v>
      </c>
      <c r="X30" s="1539"/>
      <c r="Y30" s="3361"/>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68"/>
      <c r="Q31" s="1536">
        <f t="shared" si="11"/>
        <v>111</v>
      </c>
      <c r="R31" s="714" t="s">
        <v>17</v>
      </c>
      <c r="S31" s="715">
        <f t="shared" si="12"/>
        <v>100</v>
      </c>
      <c r="T31" s="714" t="s">
        <v>17</v>
      </c>
      <c r="U31" s="715">
        <f t="shared" si="13"/>
        <v>100</v>
      </c>
      <c r="V31" s="714" t="s">
        <v>17</v>
      </c>
      <c r="W31" s="715">
        <f t="shared" si="14"/>
        <v>100</v>
      </c>
      <c r="X31" s="1539"/>
      <c r="Y31" s="3361"/>
      <c r="Z31" s="1540">
        <f t="shared" si="15"/>
        <v>111</v>
      </c>
      <c r="AA31" s="1537">
        <f t="shared" si="3"/>
        <v>1</v>
      </c>
      <c r="AB31" s="1537">
        <f t="shared" si="4"/>
        <v>1</v>
      </c>
      <c r="AC31" s="1537">
        <f t="shared" si="5"/>
        <v>1</v>
      </c>
    </row>
    <row r="32" spans="1:29" ht="15">
      <c r="A32" s="399" t="s">
        <v>2381</v>
      </c>
      <c r="B32" s="67" t="s">
        <v>2478</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8"/>
      <c r="M32" s="2942"/>
      <c r="N32" s="2942"/>
      <c r="O32" s="2942"/>
      <c r="P32" s="3362" t="s">
        <v>2383</v>
      </c>
      <c r="Q32" s="1536" t="str">
        <f t="shared" si="11"/>
        <v>商业类型</v>
      </c>
      <c r="R32" s="714" t="s">
        <v>17</v>
      </c>
      <c r="S32" s="715">
        <f t="shared" si="12"/>
        <v>100</v>
      </c>
      <c r="T32" s="714" t="s">
        <v>17</v>
      </c>
      <c r="U32" s="715">
        <f t="shared" si="13"/>
        <v>100</v>
      </c>
      <c r="V32" s="714" t="s">
        <v>17</v>
      </c>
      <c r="W32" s="715">
        <f t="shared" si="14"/>
        <v>100</v>
      </c>
      <c r="X32" s="1539"/>
      <c r="Y32" s="3365" t="s">
        <v>2383</v>
      </c>
      <c r="Z32" s="1540" t="str">
        <f t="shared" si="15"/>
        <v>商业类型</v>
      </c>
      <c r="AA32" s="1537">
        <f t="shared" si="3"/>
        <v>1</v>
      </c>
      <c r="AB32" s="1537">
        <f t="shared" si="4"/>
        <v>1</v>
      </c>
      <c r="AC32" s="1537">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63"/>
      <c r="Q33" s="716" t="str">
        <f t="shared" si="11"/>
        <v>项目建筑规模</v>
      </c>
      <c r="R33" s="717" t="s">
        <v>17</v>
      </c>
      <c r="S33" s="718" t="e">
        <f t="shared" si="12"/>
        <v>#N/A</v>
      </c>
      <c r="T33" s="717" t="s">
        <v>17</v>
      </c>
      <c r="U33" s="718" t="e">
        <f t="shared" si="13"/>
        <v>#N/A</v>
      </c>
      <c r="V33" s="717" t="s">
        <v>17</v>
      </c>
      <c r="W33" s="718" t="e">
        <f t="shared" si="14"/>
        <v>#N/A</v>
      </c>
      <c r="X33" s="719"/>
      <c r="Y33" s="3365"/>
      <c r="Z33" s="720" t="str">
        <f t="shared" si="15"/>
        <v>项目建筑规模</v>
      </c>
      <c r="AA33" s="1537" t="e">
        <f t="shared" si="3"/>
        <v>#N/A</v>
      </c>
      <c r="AB33" s="1537" t="e">
        <f t="shared" si="4"/>
        <v>#N/A</v>
      </c>
      <c r="AC33" s="1537" t="e">
        <f t="shared" si="5"/>
        <v>#N/A</v>
      </c>
    </row>
    <row r="34" spans="1:29" ht="15">
      <c r="A34" s="431"/>
      <c r="B34" s="381" t="s">
        <v>2385</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8"/>
      <c r="M34" s="2942"/>
      <c r="N34" s="2942"/>
      <c r="O34" s="2942"/>
      <c r="P34" s="3363"/>
      <c r="Q34" s="1536" t="str">
        <f t="shared" si="11"/>
        <v>建筑结构</v>
      </c>
      <c r="R34" s="714" t="s">
        <v>17</v>
      </c>
      <c r="S34" s="715">
        <f t="shared" si="12"/>
        <v>100</v>
      </c>
      <c r="T34" s="714" t="s">
        <v>17</v>
      </c>
      <c r="U34" s="715">
        <f t="shared" si="13"/>
        <v>100</v>
      </c>
      <c r="V34" s="714" t="s">
        <v>17</v>
      </c>
      <c r="W34" s="715">
        <f t="shared" si="14"/>
        <v>100</v>
      </c>
      <c r="X34" s="1539"/>
      <c r="Y34" s="3365"/>
      <c r="Z34" s="1540" t="str">
        <f t="shared" si="15"/>
        <v>建筑结构</v>
      </c>
      <c r="AA34" s="1537">
        <f t="shared" si="3"/>
        <v>1</v>
      </c>
      <c r="AB34" s="1537">
        <f t="shared" si="4"/>
        <v>1</v>
      </c>
      <c r="AC34" s="1537">
        <f t="shared" si="5"/>
        <v>1</v>
      </c>
    </row>
    <row r="35" spans="1:29" ht="15">
      <c r="A35" s="431"/>
      <c r="B35" s="381" t="s">
        <v>2479</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8"/>
      <c r="M35" s="2942"/>
      <c r="N35" s="2942"/>
      <c r="O35" s="2942"/>
      <c r="P35" s="3363"/>
      <c r="Q35" s="1536" t="str">
        <f t="shared" si="11"/>
        <v>公共部分装修</v>
      </c>
      <c r="R35" s="714" t="s">
        <v>17</v>
      </c>
      <c r="S35" s="715">
        <f t="shared" si="12"/>
        <v>100</v>
      </c>
      <c r="T35" s="714" t="s">
        <v>17</v>
      </c>
      <c r="U35" s="715">
        <f t="shared" si="13"/>
        <v>100</v>
      </c>
      <c r="V35" s="714" t="s">
        <v>17</v>
      </c>
      <c r="W35" s="715">
        <f t="shared" si="14"/>
        <v>100</v>
      </c>
      <c r="X35" s="1539"/>
      <c r="Y35" s="3365"/>
      <c r="Z35" s="1540" t="str">
        <f t="shared" si="15"/>
        <v>公共部分装修</v>
      </c>
      <c r="AA35" s="1537">
        <f t="shared" si="3"/>
        <v>1</v>
      </c>
      <c r="AB35" s="1537">
        <f t="shared" si="4"/>
        <v>1</v>
      </c>
      <c r="AC35" s="1537">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63"/>
      <c r="Q36" s="1536" t="str">
        <f t="shared" si="11"/>
        <v>成新度</v>
      </c>
      <c r="R36" s="714" t="s">
        <v>17</v>
      </c>
      <c r="S36" s="715" t="e">
        <f t="shared" si="12"/>
        <v>#N/A</v>
      </c>
      <c r="T36" s="714" t="s">
        <v>17</v>
      </c>
      <c r="U36" s="715" t="e">
        <f t="shared" si="13"/>
        <v>#N/A</v>
      </c>
      <c r="V36" s="714" t="s">
        <v>17</v>
      </c>
      <c r="W36" s="715" t="e">
        <f t="shared" si="14"/>
        <v>#N/A</v>
      </c>
      <c r="X36" s="1539"/>
      <c r="Y36" s="3365"/>
      <c r="Z36" s="1540" t="str">
        <f t="shared" si="15"/>
        <v>成新度</v>
      </c>
      <c r="AA36" s="1537" t="e">
        <f t="shared" si="3"/>
        <v>#N/A</v>
      </c>
      <c r="AB36" s="1537" t="e">
        <f t="shared" si="4"/>
        <v>#N/A</v>
      </c>
      <c r="AC36" s="1537" t="e">
        <f t="shared" si="5"/>
        <v>#N/A</v>
      </c>
    </row>
    <row r="37" spans="1:29" s="113" customFormat="1" ht="15">
      <c r="A37" s="432"/>
      <c r="B37" s="381" t="s">
        <v>2481</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3"/>
      <c r="M37" s="2944"/>
      <c r="N37" s="2944"/>
      <c r="O37" s="2944"/>
      <c r="P37" s="3363"/>
      <c r="Q37" s="1527" t="str">
        <f t="shared" si="11"/>
        <v>市政基础设施</v>
      </c>
      <c r="R37" s="710" t="s">
        <v>17</v>
      </c>
      <c r="S37" s="711">
        <f t="shared" si="12"/>
        <v>100</v>
      </c>
      <c r="T37" s="710" t="s">
        <v>17</v>
      </c>
      <c r="U37" s="711">
        <f t="shared" si="13"/>
        <v>100</v>
      </c>
      <c r="V37" s="710" t="s">
        <v>17</v>
      </c>
      <c r="W37" s="711">
        <f t="shared" si="14"/>
        <v>100</v>
      </c>
      <c r="X37" s="712"/>
      <c r="Y37" s="3365"/>
      <c r="Z37" s="55" t="str">
        <f t="shared" si="15"/>
        <v>市政基础设施</v>
      </c>
      <c r="AA37" s="713">
        <f t="shared" si="3"/>
        <v>1</v>
      </c>
      <c r="AB37" s="713">
        <f t="shared" si="4"/>
        <v>1</v>
      </c>
      <c r="AC37" s="713">
        <f t="shared" si="5"/>
        <v>1</v>
      </c>
    </row>
    <row r="38" spans="1:29" ht="15">
      <c r="A38" s="431"/>
      <c r="B38" s="381" t="s">
        <v>2482</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8"/>
      <c r="M38" s="2942"/>
      <c r="N38" s="2942"/>
      <c r="O38" s="2942"/>
      <c r="P38" s="3363" t="s">
        <v>2383</v>
      </c>
      <c r="Q38" s="1536" t="str">
        <f t="shared" si="11"/>
        <v>业态</v>
      </c>
      <c r="R38" s="714" t="s">
        <v>17</v>
      </c>
      <c r="S38" s="715">
        <f t="shared" si="12"/>
        <v>100</v>
      </c>
      <c r="T38" s="714" t="s">
        <v>17</v>
      </c>
      <c r="U38" s="715">
        <f t="shared" si="13"/>
        <v>100</v>
      </c>
      <c r="V38" s="714" t="s">
        <v>17</v>
      </c>
      <c r="W38" s="715">
        <f t="shared" si="14"/>
        <v>100</v>
      </c>
      <c r="X38" s="1539"/>
      <c r="Y38" s="3365" t="s">
        <v>2383</v>
      </c>
      <c r="Z38" s="1540" t="str">
        <f t="shared" si="15"/>
        <v>业态</v>
      </c>
      <c r="AA38" s="1537">
        <f t="shared" si="3"/>
        <v>1</v>
      </c>
      <c r="AB38" s="1537">
        <f t="shared" si="4"/>
        <v>1</v>
      </c>
      <c r="AC38" s="1537">
        <f t="shared" si="5"/>
        <v>1</v>
      </c>
    </row>
    <row r="39" spans="1:29" ht="15">
      <c r="A39" s="431"/>
      <c r="B39" s="381" t="s">
        <v>2483</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8"/>
      <c r="M39" s="2942"/>
      <c r="N39" s="2942"/>
      <c r="O39" s="2942"/>
      <c r="P39" s="3363"/>
      <c r="Q39" s="1536" t="str">
        <f t="shared" si="11"/>
        <v>层高</v>
      </c>
      <c r="R39" s="714" t="s">
        <v>17</v>
      </c>
      <c r="S39" s="715">
        <f t="shared" si="12"/>
        <v>100</v>
      </c>
      <c r="T39" s="714" t="s">
        <v>17</v>
      </c>
      <c r="U39" s="715">
        <f t="shared" si="13"/>
        <v>100</v>
      </c>
      <c r="V39" s="714" t="s">
        <v>17</v>
      </c>
      <c r="W39" s="715">
        <f t="shared" si="14"/>
        <v>100</v>
      </c>
      <c r="X39" s="1539"/>
      <c r="Y39" s="3365"/>
      <c r="Z39" s="1540" t="str">
        <f t="shared" si="15"/>
        <v>层高</v>
      </c>
      <c r="AA39" s="1537">
        <f t="shared" si="3"/>
        <v>1</v>
      </c>
      <c r="AB39" s="1537">
        <f t="shared" si="4"/>
        <v>1</v>
      </c>
      <c r="AC39" s="1537">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63"/>
      <c r="Q40" s="1536" t="str">
        <f t="shared" si="11"/>
        <v>单套建筑面积</v>
      </c>
      <c r="R40" s="714" t="s">
        <v>17</v>
      </c>
      <c r="S40" s="715">
        <f t="shared" si="12"/>
        <v>100</v>
      </c>
      <c r="T40" s="714" t="s">
        <v>17</v>
      </c>
      <c r="U40" s="715">
        <f t="shared" si="13"/>
        <v>100</v>
      </c>
      <c r="V40" s="714" t="s">
        <v>17</v>
      </c>
      <c r="W40" s="715">
        <f t="shared" si="14"/>
        <v>100</v>
      </c>
      <c r="X40" s="1539"/>
      <c r="Y40" s="3365"/>
      <c r="Z40" s="1540" t="str">
        <f t="shared" si="15"/>
        <v>单套建筑面积</v>
      </c>
      <c r="AA40" s="1537">
        <f t="shared" si="3"/>
        <v>1</v>
      </c>
      <c r="AB40" s="1537">
        <f t="shared" si="4"/>
        <v>1</v>
      </c>
      <c r="AC40" s="1537">
        <f t="shared" si="5"/>
        <v>1</v>
      </c>
    </row>
    <row r="41" spans="1:29" s="430" customFormat="1" ht="15">
      <c r="A41" s="427"/>
      <c r="B41" s="1538"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63"/>
      <c r="Q41" s="716" t="str">
        <f t="shared" si="11"/>
        <v>进深比</v>
      </c>
      <c r="R41" s="717" t="s">
        <v>17</v>
      </c>
      <c r="S41" s="718">
        <f t="shared" si="12"/>
        <v>100</v>
      </c>
      <c r="T41" s="717" t="s">
        <v>17</v>
      </c>
      <c r="U41" s="718">
        <f t="shared" si="13"/>
        <v>100</v>
      </c>
      <c r="V41" s="717" t="s">
        <v>17</v>
      </c>
      <c r="W41" s="718">
        <f t="shared" si="14"/>
        <v>100</v>
      </c>
      <c r="X41" s="719"/>
      <c r="Y41" s="3365"/>
      <c r="Z41" s="720" t="str">
        <f t="shared" si="15"/>
        <v>进深比</v>
      </c>
      <c r="AA41" s="1537">
        <f t="shared" si="3"/>
        <v>1</v>
      </c>
      <c r="AB41" s="1537">
        <f t="shared" si="4"/>
        <v>1</v>
      </c>
      <c r="AC41" s="1537">
        <f t="shared" si="5"/>
        <v>1</v>
      </c>
    </row>
    <row r="42" spans="1:29" ht="15">
      <c r="A42" s="431"/>
      <c r="B42" s="381" t="s">
        <v>2486</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8"/>
      <c r="M42" s="2942"/>
      <c r="N42" s="2942"/>
      <c r="O42" s="2942"/>
      <c r="P42" s="3363"/>
      <c r="Q42" s="1536" t="str">
        <f t="shared" si="11"/>
        <v>内部装修</v>
      </c>
      <c r="R42" s="714" t="s">
        <v>17</v>
      </c>
      <c r="S42" s="715">
        <f t="shared" si="12"/>
        <v>100</v>
      </c>
      <c r="T42" s="714" t="s">
        <v>17</v>
      </c>
      <c r="U42" s="715">
        <f t="shared" si="13"/>
        <v>100</v>
      </c>
      <c r="V42" s="714" t="s">
        <v>17</v>
      </c>
      <c r="W42" s="715">
        <f t="shared" si="14"/>
        <v>100</v>
      </c>
      <c r="X42" s="1539"/>
      <c r="Y42" s="3365"/>
      <c r="Z42" s="1540" t="str">
        <f t="shared" si="15"/>
        <v>内部装修</v>
      </c>
      <c r="AA42" s="1537">
        <f t="shared" si="3"/>
        <v>1</v>
      </c>
      <c r="AB42" s="1537">
        <f t="shared" si="4"/>
        <v>1</v>
      </c>
      <c r="AC42" s="1537">
        <f t="shared" si="5"/>
        <v>1</v>
      </c>
    </row>
    <row r="43" spans="1:29" ht="15">
      <c r="A43" s="431"/>
      <c r="B43" s="381" t="s">
        <v>2394</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8"/>
      <c r="M43" s="2942"/>
      <c r="N43" s="2942"/>
      <c r="O43" s="2942"/>
      <c r="P43" s="3363"/>
      <c r="Q43" s="1536" t="str">
        <f t="shared" si="11"/>
        <v>内部装修维护情况</v>
      </c>
      <c r="R43" s="714" t="s">
        <v>17</v>
      </c>
      <c r="S43" s="715">
        <f t="shared" si="12"/>
        <v>100</v>
      </c>
      <c r="T43" s="714" t="s">
        <v>17</v>
      </c>
      <c r="U43" s="715">
        <f t="shared" si="13"/>
        <v>100</v>
      </c>
      <c r="V43" s="714" t="s">
        <v>17</v>
      </c>
      <c r="W43" s="715">
        <f t="shared" si="14"/>
        <v>100</v>
      </c>
      <c r="X43" s="1539"/>
      <c r="Y43" s="3365"/>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63"/>
      <c r="Q44" s="1527">
        <f t="shared" si="11"/>
        <v>111</v>
      </c>
      <c r="R44" s="710" t="s">
        <v>17</v>
      </c>
      <c r="S44" s="711">
        <f t="shared" si="12"/>
        <v>100</v>
      </c>
      <c r="T44" s="710" t="s">
        <v>17</v>
      </c>
      <c r="U44" s="711">
        <f t="shared" si="13"/>
        <v>100</v>
      </c>
      <c r="V44" s="710" t="s">
        <v>17</v>
      </c>
      <c r="W44" s="711">
        <f t="shared" si="14"/>
        <v>100</v>
      </c>
      <c r="X44" s="712"/>
      <c r="Y44" s="336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63"/>
      <c r="Q45" s="1536">
        <f t="shared" si="11"/>
        <v>111</v>
      </c>
      <c r="R45" s="714" t="s">
        <v>17</v>
      </c>
      <c r="S45" s="715">
        <f t="shared" si="12"/>
        <v>100</v>
      </c>
      <c r="T45" s="714" t="s">
        <v>17</v>
      </c>
      <c r="U45" s="715">
        <f t="shared" si="13"/>
        <v>100</v>
      </c>
      <c r="V45" s="714" t="s">
        <v>17</v>
      </c>
      <c r="W45" s="715">
        <f t="shared" si="14"/>
        <v>100</v>
      </c>
      <c r="X45" s="1539"/>
      <c r="Y45" s="3365"/>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64"/>
      <c r="Q46" s="1536">
        <f t="shared" si="11"/>
        <v>111</v>
      </c>
      <c r="R46" s="714" t="s">
        <v>17</v>
      </c>
      <c r="S46" s="715">
        <f t="shared" si="12"/>
        <v>100</v>
      </c>
      <c r="T46" s="714" t="s">
        <v>17</v>
      </c>
      <c r="U46" s="715">
        <f t="shared" si="13"/>
        <v>100</v>
      </c>
      <c r="V46" s="714" t="s">
        <v>17</v>
      </c>
      <c r="W46" s="715">
        <f t="shared" si="14"/>
        <v>100</v>
      </c>
      <c r="X46" s="1539"/>
      <c r="Y46" s="3366"/>
      <c r="Z46" s="1540">
        <f t="shared" si="15"/>
        <v>111</v>
      </c>
      <c r="AA46" s="1537">
        <f t="shared" si="3"/>
        <v>1</v>
      </c>
      <c r="AB46" s="1537">
        <f t="shared" si="4"/>
        <v>1</v>
      </c>
      <c r="AC46" s="1537">
        <f t="shared" si="5"/>
        <v>1</v>
      </c>
    </row>
    <row r="47" spans="1:29" ht="15">
      <c r="A47" s="438" t="s">
        <v>2395</v>
      </c>
      <c r="B47" s="439"/>
      <c r="C47" s="1316" t="s">
        <v>1</v>
      </c>
      <c r="D47" s="1317"/>
      <c r="E47" s="1318"/>
      <c r="F47" s="1319"/>
      <c r="G47" s="1320"/>
      <c r="H47" s="1321"/>
      <c r="I47" s="1318"/>
      <c r="J47" s="1321"/>
      <c r="K47" s="723"/>
      <c r="L47" s="2950"/>
      <c r="M47" s="2951"/>
      <c r="N47" s="2942"/>
      <c r="O47" s="2951"/>
      <c r="P47" s="3358" t="str">
        <f>A47</f>
        <v>成交单价（元/平方米）</v>
      </c>
      <c r="Q47" s="3358"/>
      <c r="R47" s="3353">
        <f>E47</f>
        <v>0</v>
      </c>
      <c r="S47" s="3353"/>
      <c r="T47" s="3353">
        <f>G47</f>
        <v>0</v>
      </c>
      <c r="U47" s="3353"/>
      <c r="V47" s="3353">
        <f>I47</f>
        <v>0</v>
      </c>
      <c r="W47" s="3353"/>
      <c r="X47" s="699"/>
      <c r="Y47" s="721"/>
      <c r="Z47" s="699"/>
      <c r="AA47" s="699"/>
      <c r="AB47" s="699"/>
      <c r="AC47" s="699"/>
    </row>
    <row r="48" spans="1:29" ht="15.75" thickBot="1">
      <c r="A48" s="445" t="s">
        <v>2487</v>
      </c>
      <c r="B48" s="446"/>
      <c r="C48" s="1322" t="e">
        <f>R49</f>
        <v>#DIV/0!</v>
      </c>
      <c r="D48" s="2538" t="s">
        <v>2877</v>
      </c>
      <c r="E48" s="1323" t="e">
        <f>R48</f>
        <v>#DIV/0!</v>
      </c>
      <c r="F48" s="2539"/>
      <c r="G48" s="1322" t="e">
        <f>T48</f>
        <v>#DIV/0!</v>
      </c>
      <c r="H48" s="2539"/>
      <c r="I48" s="1323" t="e">
        <f>V48</f>
        <v>#DIV/0!</v>
      </c>
      <c r="J48" s="2539"/>
      <c r="K48" s="2541">
        <f>F48+H48+J48</f>
        <v>0</v>
      </c>
      <c r="L48" s="2950"/>
      <c r="M48" s="2951"/>
      <c r="N48" s="2942"/>
      <c r="O48" s="2951"/>
      <c r="P48" s="3358" t="str">
        <f>A48</f>
        <v>比较价值（元/平方米）</v>
      </c>
      <c r="Q48" s="3358"/>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699"/>
      <c r="Y48" s="699"/>
      <c r="Z48" s="699"/>
      <c r="AA48" s="699"/>
      <c r="AB48" s="699"/>
      <c r="AC48" s="699"/>
    </row>
    <row r="49" spans="1:29" ht="15.75" thickBot="1">
      <c r="A49" s="449" t="s">
        <v>2488</v>
      </c>
      <c r="B49" s="450"/>
      <c r="C49" s="1325" t="e">
        <f>R49</f>
        <v>#DIV/0!</v>
      </c>
      <c r="D49" s="1325"/>
      <c r="E49" s="1325"/>
      <c r="F49" s="1325"/>
      <c r="G49" s="1325"/>
      <c r="H49" s="1325"/>
      <c r="I49" s="1325"/>
      <c r="J49" s="1325"/>
      <c r="K49" s="724"/>
      <c r="L49" s="2950"/>
      <c r="M49" s="2951"/>
      <c r="N49" s="2942"/>
      <c r="O49" s="2951"/>
      <c r="P49" s="3355" t="str">
        <f>A49</f>
        <v>估价对象XX用房的比较价值（楼面单价，元/平方米）</v>
      </c>
      <c r="Q49" s="3356"/>
      <c r="R49" s="3357" t="e">
        <f>IF(F1="售价",ROUND(IF(D48="简单平均",AVERAGE(R48:V48),R48*F48+T48*H48+V48*J48),0),ROUND(IF(D48="简单平均",AVERAGE(R48:V48),R48*F48+T48*H48+V48*J48),1))</f>
        <v>#DIV/0!</v>
      </c>
      <c r="S49" s="3357"/>
      <c r="T49" s="3357"/>
      <c r="U49" s="3357"/>
      <c r="V49" s="3357"/>
      <c r="W49" s="3357"/>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2492</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5">
      <c r="A58" s="462" t="s">
        <v>2366</v>
      </c>
      <c r="B58" s="463"/>
      <c r="C58" s="1346" t="str">
        <f>YEAR(C7)&amp;"-"&amp;MONTH(C7)</f>
        <v>2021-6</v>
      </c>
      <c r="D58" s="1347">
        <f>EDATE(C58,-1)</f>
        <v>44317</v>
      </c>
      <c r="E58" s="1347">
        <f t="shared" ref="E58:N58" si="16">EDATE(D58,-1)</f>
        <v>44287</v>
      </c>
      <c r="F58" s="1347">
        <f t="shared" si="16"/>
        <v>44256</v>
      </c>
      <c r="G58" s="1347">
        <f t="shared" si="16"/>
        <v>44228</v>
      </c>
      <c r="H58" s="1347">
        <f t="shared" si="16"/>
        <v>44197</v>
      </c>
      <c r="I58" s="1347">
        <f t="shared" si="16"/>
        <v>44166</v>
      </c>
      <c r="J58" s="1347">
        <f t="shared" si="16"/>
        <v>44136</v>
      </c>
      <c r="K58" s="1347">
        <f t="shared" si="16"/>
        <v>44105</v>
      </c>
      <c r="L58" s="1347">
        <f t="shared" si="16"/>
        <v>44075</v>
      </c>
      <c r="M58" s="1347">
        <f t="shared" si="16"/>
        <v>44044</v>
      </c>
      <c r="N58" s="1347">
        <f t="shared" si="16"/>
        <v>44013</v>
      </c>
      <c r="O58" s="1347">
        <f>EDATE(N58,-1)</f>
        <v>43983</v>
      </c>
      <c r="P58" s="2966"/>
      <c r="Q58" s="2967"/>
      <c r="R58" s="2967"/>
      <c r="S58" s="2967"/>
      <c r="T58" s="2967"/>
      <c r="U58" s="2967"/>
      <c r="V58" s="2967"/>
      <c r="W58" s="2967"/>
      <c r="X58" s="2967"/>
      <c r="Y58" s="2967"/>
      <c r="Z58" s="2967"/>
      <c r="AA58" s="2967"/>
      <c r="AB58" s="2967"/>
      <c r="AC58" s="2967"/>
    </row>
    <row r="59" spans="1:29" s="113" customFormat="1" ht="15">
      <c r="A59" s="466"/>
      <c r="B59" s="467"/>
      <c r="C59" s="1345">
        <v>100</v>
      </c>
      <c r="D59" s="469"/>
      <c r="E59" s="469"/>
      <c r="F59" s="469"/>
      <c r="G59" s="469"/>
      <c r="H59" s="469"/>
      <c r="I59" s="469"/>
      <c r="J59" s="469"/>
      <c r="K59" s="469"/>
      <c r="L59" s="469"/>
      <c r="M59" s="470"/>
      <c r="N59" s="469"/>
      <c r="O59" s="470"/>
      <c r="P59" s="2968"/>
      <c r="Q59" s="2885"/>
      <c r="R59" s="2885"/>
      <c r="S59" s="2885"/>
      <c r="T59" s="2885"/>
      <c r="U59" s="2885"/>
      <c r="V59" s="2885"/>
      <c r="W59" s="2885"/>
      <c r="X59" s="2885"/>
      <c r="Y59" s="2885"/>
      <c r="Z59" s="2885"/>
      <c r="AA59" s="2885"/>
      <c r="AB59" s="2885"/>
      <c r="AC59" s="2885"/>
    </row>
    <row r="60" spans="1:29" s="113" customFormat="1" ht="15.75" thickBot="1">
      <c r="A60" s="472" t="s">
        <v>2403</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2368</v>
      </c>
      <c r="B61" s="467"/>
      <c r="C61" s="479" t="s">
        <v>2470</v>
      </c>
      <c r="D61" s="480"/>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2406</v>
      </c>
      <c r="B63" s="485" t="s">
        <v>2372</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2377</v>
      </c>
      <c r="B76" s="485" t="s">
        <v>2414</v>
      </c>
      <c r="C76" s="530" t="s">
        <v>2415</v>
      </c>
      <c r="D76" s="530" t="s">
        <v>2416</v>
      </c>
      <c r="E76" s="530" t="s">
        <v>2417</v>
      </c>
      <c r="F76" s="530" t="s">
        <v>2418</v>
      </c>
      <c r="G76" s="530" t="s">
        <v>2419</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2420</v>
      </c>
      <c r="C78" s="535" t="s">
        <v>2415</v>
      </c>
      <c r="D78" s="535" t="s">
        <v>2416</v>
      </c>
      <c r="E78" s="535" t="s">
        <v>2417</v>
      </c>
      <c r="F78" s="535" t="s">
        <v>2418</v>
      </c>
      <c r="G78" s="535" t="s">
        <v>2419</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2421</v>
      </c>
      <c r="C80" s="535" t="s">
        <v>2415</v>
      </c>
      <c r="D80" s="535" t="s">
        <v>2416</v>
      </c>
      <c r="E80" s="535" t="s">
        <v>2417</v>
      </c>
      <c r="F80" s="535" t="s">
        <v>2418</v>
      </c>
      <c r="G80" s="535" t="s">
        <v>2419</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2473</v>
      </c>
      <c r="C82" s="616" t="s">
        <v>2493</v>
      </c>
      <c r="D82" s="616" t="s">
        <v>2494</v>
      </c>
      <c r="E82" s="616" t="s">
        <v>2495</v>
      </c>
      <c r="F82" s="616" t="s">
        <v>2496</v>
      </c>
      <c r="G82" s="616" t="s">
        <v>2497</v>
      </c>
      <c r="H82" s="496"/>
      <c r="I82" s="496"/>
      <c r="J82" s="496"/>
      <c r="K82" s="496"/>
      <c r="L82" s="496"/>
      <c r="M82" s="1291"/>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2427</v>
      </c>
      <c r="C84" s="535" t="s">
        <v>2415</v>
      </c>
      <c r="D84" s="535" t="s">
        <v>2416</v>
      </c>
      <c r="E84" s="535" t="s">
        <v>2417</v>
      </c>
      <c r="F84" s="535" t="s">
        <v>2418</v>
      </c>
      <c r="G84" s="535" t="s">
        <v>2419</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2498</v>
      </c>
      <c r="C86" s="511"/>
      <c r="D86" s="511"/>
      <c r="E86" s="511"/>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3"/>
      <c r="G88" s="511"/>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4"/>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2381</v>
      </c>
      <c r="B100" s="485" t="s">
        <v>2499</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2432</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2434</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2436</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2500</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2501</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2502</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2503</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2438</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4"/>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80" zoomScaleNormal="70" zoomScaleSheetLayoutView="80" workbookViewId="0">
      <selection activeCell="I42" sqref="I42"/>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3" t="s">
        <v>2504</v>
      </c>
      <c r="C1" s="1392" t="s">
        <v>2348</v>
      </c>
      <c r="D1" s="1393" t="s">
        <v>3085</v>
      </c>
      <c r="E1" s="1402"/>
      <c r="F1" s="2065" t="s">
        <v>3117</v>
      </c>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2145</v>
      </c>
      <c r="B2" s="1326">
        <f>IF(C2="——",ROUND(C50*D3/10000,0),ROUND(C50*D3/10000,0)-D2)</f>
        <v>450</v>
      </c>
      <c r="C2" s="2067" t="s">
        <v>70</v>
      </c>
      <c r="D2" s="1275" t="e">
        <f ca="1">SUMIF(INDIRECT("'"&amp;F2&amp;"'"&amp;"!A:A"),"承租人权益价值",INDIRECT("'"&amp;F2&amp;"'"&amp;"!c:c"))</f>
        <v>#REF!</v>
      </c>
      <c r="E2" s="2068" t="s">
        <v>2146</v>
      </c>
      <c r="F2" s="2069"/>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2147</v>
      </c>
      <c r="B3" s="566">
        <f>IF(C2="——",C50,ROUND(B2*10000/D3,0))</f>
        <v>43502</v>
      </c>
      <c r="C3" s="360" t="s">
        <v>2462</v>
      </c>
      <c r="D3" s="359">
        <f>IF(D1="",'数据-汇总表'!E3,SUMIF('数据-汇总表'!$C19:$C33,D1,'数据-汇总表'!$E19:$E33))</f>
        <v>103.53</v>
      </c>
      <c r="E3" s="2140"/>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61" t="s">
        <v>2463</v>
      </c>
      <c r="B4" s="362"/>
      <c r="C4" s="3341" t="s">
        <v>2464</v>
      </c>
      <c r="D4" s="3342"/>
      <c r="E4" s="3343" t="s">
        <v>2465</v>
      </c>
      <c r="F4" s="3344"/>
      <c r="G4" s="3341" t="s">
        <v>2466</v>
      </c>
      <c r="H4" s="3342"/>
      <c r="I4" s="3341" t="s">
        <v>2467</v>
      </c>
      <c r="J4" s="3342"/>
      <c r="K4" s="567" t="s">
        <v>2468</v>
      </c>
      <c r="L4" s="2941"/>
      <c r="M4" s="2942"/>
      <c r="N4" s="2942"/>
      <c r="O4" s="2942"/>
      <c r="P4" s="3376" t="s">
        <v>2469</v>
      </c>
      <c r="Q4" s="3377"/>
      <c r="R4" s="3370" t="s">
        <v>2465</v>
      </c>
      <c r="S4" s="3371"/>
      <c r="T4" s="3370" t="s">
        <v>2466</v>
      </c>
      <c r="U4" s="3371"/>
      <c r="V4" s="3380" t="s">
        <v>2467</v>
      </c>
      <c r="W4" s="3380"/>
      <c r="X4" s="2144"/>
      <c r="Y4" s="3370" t="s">
        <v>2469</v>
      </c>
      <c r="Z4" s="3371"/>
      <c r="AA4" s="3369" t="s">
        <v>2465</v>
      </c>
      <c r="AB4" s="3369" t="s">
        <v>2466</v>
      </c>
      <c r="AC4" s="3373" t="s">
        <v>2467</v>
      </c>
    </row>
    <row r="5" spans="1:29" ht="15">
      <c r="A5" s="364"/>
      <c r="B5" s="365"/>
      <c r="C5" s="3334" t="s">
        <v>2360</v>
      </c>
      <c r="D5" s="3335"/>
      <c r="E5" s="3372" t="s">
        <v>3118</v>
      </c>
      <c r="F5" s="3335"/>
      <c r="G5" s="3334" t="s">
        <v>3119</v>
      </c>
      <c r="H5" s="3335"/>
      <c r="I5" s="3334" t="s">
        <v>3119</v>
      </c>
      <c r="J5" s="3335"/>
      <c r="K5" s="567"/>
      <c r="L5" s="2941"/>
      <c r="M5" s="2942"/>
      <c r="N5" s="2942"/>
      <c r="O5" s="2942"/>
      <c r="P5" s="3378"/>
      <c r="Q5" s="3348"/>
      <c r="R5" s="3330"/>
      <c r="S5" s="3331"/>
      <c r="T5" s="3330"/>
      <c r="U5" s="3331"/>
      <c r="V5" s="3353"/>
      <c r="W5" s="3353"/>
      <c r="X5" s="1539"/>
      <c r="Y5" s="3330"/>
      <c r="Z5" s="3331"/>
      <c r="AA5" s="3324"/>
      <c r="AB5" s="3324"/>
      <c r="AC5" s="3374"/>
    </row>
    <row r="6" spans="1:29" ht="15.75" thickBot="1">
      <c r="A6" s="366"/>
      <c r="B6" s="367"/>
      <c r="C6" s="3336" t="s">
        <v>2364</v>
      </c>
      <c r="D6" s="3337"/>
      <c r="E6" s="3338" t="s">
        <v>2364</v>
      </c>
      <c r="F6" s="3339"/>
      <c r="G6" s="3336" t="s">
        <v>2364</v>
      </c>
      <c r="H6" s="3337"/>
      <c r="I6" s="3336" t="s">
        <v>2364</v>
      </c>
      <c r="J6" s="3337"/>
      <c r="K6" s="567" t="s">
        <v>2365</v>
      </c>
      <c r="L6" s="2941"/>
      <c r="M6" s="2942"/>
      <c r="N6" s="2942"/>
      <c r="O6" s="2942"/>
      <c r="P6" s="3379"/>
      <c r="Q6" s="3350"/>
      <c r="R6" s="3330"/>
      <c r="S6" s="3331"/>
      <c r="T6" s="3351"/>
      <c r="U6" s="3352"/>
      <c r="V6" s="3353"/>
      <c r="W6" s="3353"/>
      <c r="X6" s="1539"/>
      <c r="Y6" s="3351"/>
      <c r="Z6" s="3352"/>
      <c r="AA6" s="3325"/>
      <c r="AB6" s="3325"/>
      <c r="AC6" s="3375"/>
    </row>
    <row r="7" spans="1:29" s="113" customFormat="1" ht="15.75" thickBot="1">
      <c r="A7" s="368" t="s">
        <v>2366</v>
      </c>
      <c r="B7" s="369"/>
      <c r="C7" s="370">
        <f>'数据-取费表'!B2</f>
        <v>44370</v>
      </c>
      <c r="D7" s="371">
        <v>100</v>
      </c>
      <c r="E7" s="372">
        <f>C7</f>
        <v>44370</v>
      </c>
      <c r="F7" s="373">
        <f>SUMIF(59:59,YEAR(E7)&amp;"-"&amp;MONTH(E7),60:60)</f>
        <v>100</v>
      </c>
      <c r="G7" s="372">
        <f>C7</f>
        <v>44370</v>
      </c>
      <c r="H7" s="371">
        <f>SUMIF(59:59,YEAR(G7)&amp;"-"&amp;MONTH(G7),60:60)</f>
        <v>100</v>
      </c>
      <c r="I7" s="372">
        <f>C7</f>
        <v>44370</v>
      </c>
      <c r="J7" s="371">
        <f>SUMIF(59:59,YEAR(I7)&amp;"-"&amp;MONTH(I7),60:60)</f>
        <v>100</v>
      </c>
      <c r="K7" s="568"/>
      <c r="L7" s="2943"/>
      <c r="M7" s="2944"/>
      <c r="N7" s="2944"/>
      <c r="O7" s="2944"/>
      <c r="P7" s="3381" t="s">
        <v>2367</v>
      </c>
      <c r="Q7" s="3354"/>
      <c r="R7" s="710" t="s">
        <v>17</v>
      </c>
      <c r="S7" s="711">
        <f t="shared" ref="S7:S15" si="0">F7</f>
        <v>100</v>
      </c>
      <c r="T7" s="710" t="s">
        <v>17</v>
      </c>
      <c r="U7" s="711">
        <f t="shared" ref="U7:U15" si="1">H7</f>
        <v>100</v>
      </c>
      <c r="V7" s="710" t="s">
        <v>17</v>
      </c>
      <c r="W7" s="711">
        <f t="shared" ref="W7:W15" si="2">J7</f>
        <v>100</v>
      </c>
      <c r="X7" s="712"/>
      <c r="Y7" s="3326" t="s">
        <v>2367</v>
      </c>
      <c r="Z7" s="3327"/>
      <c r="AA7" s="713">
        <f>D7/F7</f>
        <v>1</v>
      </c>
      <c r="AB7" s="713">
        <f>D7/H7</f>
        <v>1</v>
      </c>
      <c r="AC7" s="2145">
        <f>D7/J7</f>
        <v>1</v>
      </c>
    </row>
    <row r="8" spans="1:29" s="113" customFormat="1" ht="15.75" thickBot="1">
      <c r="A8" s="368" t="s">
        <v>2368</v>
      </c>
      <c r="B8" s="369"/>
      <c r="C8" s="374" t="s">
        <v>2470</v>
      </c>
      <c r="D8" s="371">
        <v>100</v>
      </c>
      <c r="E8" s="374" t="s">
        <v>3120</v>
      </c>
      <c r="F8" s="373">
        <f>SUMIF(62:62,E8,63:63)-SUMIF(62:62,C8,63:63)+100</f>
        <v>100</v>
      </c>
      <c r="G8" s="374" t="s">
        <v>3120</v>
      </c>
      <c r="H8" s="371">
        <f>SUMIF(62:62,G8,63:63)-SUMIF(62:62,C8,63:63)+100</f>
        <v>100</v>
      </c>
      <c r="I8" s="374" t="s">
        <v>3120</v>
      </c>
      <c r="J8" s="371">
        <f>SUMIF(62:62,I8,63:63)-SUMIF(62:62,C8,63:63)+100</f>
        <v>100</v>
      </c>
      <c r="K8" s="568"/>
      <c r="L8" s="2943"/>
      <c r="M8" s="2944"/>
      <c r="N8" s="2944"/>
      <c r="O8" s="2944"/>
      <c r="P8" s="3381" t="s">
        <v>2370</v>
      </c>
      <c r="Q8" s="3327"/>
      <c r="R8" s="710" t="s">
        <v>17</v>
      </c>
      <c r="S8" s="711">
        <f t="shared" si="0"/>
        <v>100</v>
      </c>
      <c r="T8" s="710" t="s">
        <v>17</v>
      </c>
      <c r="U8" s="711">
        <f t="shared" si="1"/>
        <v>100</v>
      </c>
      <c r="V8" s="710" t="s">
        <v>17</v>
      </c>
      <c r="W8" s="711">
        <f t="shared" si="2"/>
        <v>100</v>
      </c>
      <c r="X8" s="712"/>
      <c r="Y8" s="3326" t="s">
        <v>2370</v>
      </c>
      <c r="Z8" s="3327"/>
      <c r="AA8" s="713">
        <f t="shared" ref="AA8:AA47" si="3">D8/F8</f>
        <v>1</v>
      </c>
      <c r="AB8" s="713">
        <f t="shared" ref="AB8:AB47" si="4">D8/H8</f>
        <v>1</v>
      </c>
      <c r="AC8" s="2145">
        <f t="shared" ref="AC8:AC47" si="5">D8/J8</f>
        <v>1</v>
      </c>
    </row>
    <row r="9" spans="1:29" s="113" customFormat="1">
      <c r="A9" s="375" t="s">
        <v>2371</v>
      </c>
      <c r="B9" s="67" t="s">
        <v>2372</v>
      </c>
      <c r="C9" s="3096" t="s">
        <v>3121</v>
      </c>
      <c r="D9" s="131">
        <v>100</v>
      </c>
      <c r="E9" s="379" t="s">
        <v>27</v>
      </c>
      <c r="F9" s="131">
        <f>SUMIF(64:64,E9,65:65)-SUMIF(64:64,C9,65:65)+100</f>
        <v>100</v>
      </c>
      <c r="G9" s="379" t="s">
        <v>27</v>
      </c>
      <c r="H9" s="131">
        <f>SUMIF(64:64,G9,65:65)-SUMIF(64:64,C9,65:65)+100</f>
        <v>100</v>
      </c>
      <c r="I9" s="379" t="s">
        <v>27</v>
      </c>
      <c r="J9" s="131">
        <f>SUMIF(64:64,I9,65:65)-SUMIF(64:64,C9,65:65)+100</f>
        <v>100</v>
      </c>
      <c r="K9" s="568"/>
      <c r="L9" s="2943"/>
      <c r="M9" s="2944"/>
      <c r="N9" s="2944"/>
      <c r="O9" s="2944"/>
      <c r="P9" s="3340" t="s">
        <v>2373</v>
      </c>
      <c r="Q9" s="1527" t="str">
        <f t="shared" ref="Q9:Q15" si="6">B9</f>
        <v>用途</v>
      </c>
      <c r="R9" s="710" t="s">
        <v>17</v>
      </c>
      <c r="S9" s="711">
        <f t="shared" si="0"/>
        <v>100</v>
      </c>
      <c r="T9" s="710" t="s">
        <v>17</v>
      </c>
      <c r="U9" s="711">
        <f t="shared" si="1"/>
        <v>100</v>
      </c>
      <c r="V9" s="710" t="s">
        <v>17</v>
      </c>
      <c r="W9" s="711">
        <f t="shared" si="2"/>
        <v>100</v>
      </c>
      <c r="X9" s="712"/>
      <c r="Y9" s="3268" t="s">
        <v>2374</v>
      </c>
      <c r="Z9" s="55" t="str">
        <f t="shared" ref="Z9:Z15" si="7">Q9</f>
        <v>用途</v>
      </c>
      <c r="AA9" s="713">
        <f t="shared" si="3"/>
        <v>1</v>
      </c>
      <c r="AB9" s="713">
        <f t="shared" si="4"/>
        <v>1</v>
      </c>
      <c r="AC9" s="2145">
        <f t="shared" si="5"/>
        <v>1</v>
      </c>
    </row>
    <row r="10" spans="1:29" s="386" customFormat="1" ht="27">
      <c r="A10" s="380"/>
      <c r="B10" s="381" t="s">
        <v>2375</v>
      </c>
      <c r="C10" s="382" t="s">
        <v>3153</v>
      </c>
      <c r="D10" s="132">
        <v>100</v>
      </c>
      <c r="E10" s="382" t="s">
        <v>3153</v>
      </c>
      <c r="F10" s="132">
        <f>SUMIF(66:66,E10,67:67)-SUMIF(66:66,C10,67:67)+100</f>
        <v>100</v>
      </c>
      <c r="G10" s="383" t="s">
        <v>3153</v>
      </c>
      <c r="H10" s="132">
        <f>SUMIF(66:66,G10,67:67)-SUMIF(66:66,C10,67:67)+100</f>
        <v>100</v>
      </c>
      <c r="I10" s="382" t="s">
        <v>3153</v>
      </c>
      <c r="J10" s="132">
        <f>SUMIF(66:66,I10,67:67)-SUMIF(66:66,C10,67:67)+100</f>
        <v>100</v>
      </c>
      <c r="K10" s="569">
        <v>1</v>
      </c>
      <c r="L10" s="2945"/>
      <c r="M10" s="2946"/>
      <c r="N10" s="2946"/>
      <c r="O10" s="2946"/>
      <c r="P10" s="3340"/>
      <c r="Q10" s="1527" t="str">
        <f t="shared" si="6"/>
        <v>土地使用年限（年）</v>
      </c>
      <c r="R10" s="710" t="s">
        <v>17</v>
      </c>
      <c r="S10" s="711">
        <f t="shared" si="0"/>
        <v>100</v>
      </c>
      <c r="T10" s="710" t="s">
        <v>17</v>
      </c>
      <c r="U10" s="711">
        <f t="shared" si="1"/>
        <v>100</v>
      </c>
      <c r="V10" s="710" t="s">
        <v>17</v>
      </c>
      <c r="W10" s="711">
        <f t="shared" si="2"/>
        <v>100</v>
      </c>
      <c r="X10" s="712"/>
      <c r="Y10" s="3268"/>
      <c r="Z10" s="55" t="str">
        <f t="shared" si="7"/>
        <v>土地使用年限（年）</v>
      </c>
      <c r="AA10" s="713">
        <f t="shared" si="3"/>
        <v>1</v>
      </c>
      <c r="AB10" s="713">
        <f t="shared" si="4"/>
        <v>1</v>
      </c>
      <c r="AC10" s="2145">
        <f t="shared" si="5"/>
        <v>1</v>
      </c>
    </row>
    <row r="11" spans="1:29" ht="15.75" thickBot="1">
      <c r="A11" s="387"/>
      <c r="B11" s="381" t="s">
        <v>2376</v>
      </c>
      <c r="C11" s="388"/>
      <c r="D11" s="132">
        <v>100</v>
      </c>
      <c r="E11" s="388"/>
      <c r="F11" s="132">
        <f>LOOKUP(E11,69:69,70:70)-LOOKUP(C11,69:69,70:70)+100</f>
        <v>100</v>
      </c>
      <c r="G11" s="389"/>
      <c r="H11" s="132">
        <f>LOOKUP(G11,69:69,70:70)-LOOKUP(C11,69:69,70:70)+100</f>
        <v>100</v>
      </c>
      <c r="I11" s="388"/>
      <c r="J11" s="132">
        <f>LOOKUP(I11,69:69,70:70)-LOOKUP(C11,69:69,70:70)+100</f>
        <v>100</v>
      </c>
      <c r="K11" s="569">
        <v>2</v>
      </c>
      <c r="L11" s="2947"/>
      <c r="M11" s="2942"/>
      <c r="N11" s="2942"/>
      <c r="O11" s="2942"/>
      <c r="P11" s="3340"/>
      <c r="Q11" s="1527" t="str">
        <f t="shared" si="6"/>
        <v>容积率</v>
      </c>
      <c r="R11" s="710" t="s">
        <v>17</v>
      </c>
      <c r="S11" s="711">
        <f t="shared" si="0"/>
        <v>100</v>
      </c>
      <c r="T11" s="710" t="s">
        <v>17</v>
      </c>
      <c r="U11" s="711">
        <f t="shared" si="1"/>
        <v>100</v>
      </c>
      <c r="V11" s="710" t="s">
        <v>17</v>
      </c>
      <c r="W11" s="711">
        <f t="shared" si="2"/>
        <v>100</v>
      </c>
      <c r="X11" s="712"/>
      <c r="Y11" s="3268"/>
      <c r="Z11" s="55" t="str">
        <f t="shared" si="7"/>
        <v>容积率</v>
      </c>
      <c r="AA11" s="713">
        <f t="shared" si="3"/>
        <v>1</v>
      </c>
      <c r="AB11" s="713">
        <f t="shared" si="4"/>
        <v>1</v>
      </c>
      <c r="AC11" s="2145">
        <f t="shared" si="5"/>
        <v>1</v>
      </c>
    </row>
    <row r="12" spans="1:29" s="113" customFormat="1" ht="15" hidden="1">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3"/>
      <c r="M12" s="2944"/>
      <c r="N12" s="2944"/>
      <c r="O12" s="2944"/>
      <c r="P12" s="3340"/>
      <c r="Q12" s="1527">
        <f t="shared" si="6"/>
        <v>111</v>
      </c>
      <c r="R12" s="710" t="s">
        <v>17</v>
      </c>
      <c r="S12" s="711">
        <f t="shared" si="0"/>
        <v>100</v>
      </c>
      <c r="T12" s="710" t="s">
        <v>17</v>
      </c>
      <c r="U12" s="711">
        <f t="shared" si="1"/>
        <v>100</v>
      </c>
      <c r="V12" s="710" t="s">
        <v>17</v>
      </c>
      <c r="W12" s="711">
        <f t="shared" si="2"/>
        <v>100</v>
      </c>
      <c r="X12" s="712"/>
      <c r="Y12" s="3268"/>
      <c r="Z12" s="55">
        <f t="shared" si="7"/>
        <v>111</v>
      </c>
      <c r="AA12" s="713">
        <f>D12/F12</f>
        <v>1</v>
      </c>
      <c r="AB12" s="713">
        <f>D12/H12</f>
        <v>1</v>
      </c>
      <c r="AC12" s="2145">
        <f>D12/J12</f>
        <v>1</v>
      </c>
    </row>
    <row r="13" spans="1:29" ht="15" hidden="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8"/>
      <c r="M13" s="2942"/>
      <c r="N13" s="2942"/>
      <c r="O13" s="2942"/>
      <c r="P13" s="3340"/>
      <c r="Q13" s="1527">
        <f t="shared" si="6"/>
        <v>111</v>
      </c>
      <c r="R13" s="710" t="s">
        <v>17</v>
      </c>
      <c r="S13" s="711">
        <f t="shared" si="0"/>
        <v>100</v>
      </c>
      <c r="T13" s="710" t="s">
        <v>17</v>
      </c>
      <c r="U13" s="711">
        <f t="shared" si="1"/>
        <v>100</v>
      </c>
      <c r="V13" s="710" t="s">
        <v>17</v>
      </c>
      <c r="W13" s="711">
        <f t="shared" si="2"/>
        <v>100</v>
      </c>
      <c r="X13" s="712"/>
      <c r="Y13" s="3268"/>
      <c r="Z13" s="55">
        <f t="shared" si="7"/>
        <v>111</v>
      </c>
      <c r="AA13" s="713">
        <f t="shared" si="3"/>
        <v>1</v>
      </c>
      <c r="AB13" s="713">
        <f t="shared" si="4"/>
        <v>1</v>
      </c>
      <c r="AC13" s="2145">
        <f t="shared" si="5"/>
        <v>1</v>
      </c>
    </row>
    <row r="14" spans="1:29" ht="15.7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8"/>
      <c r="M14" s="2942"/>
      <c r="N14" s="2942"/>
      <c r="O14" s="2942"/>
      <c r="P14" s="3340"/>
      <c r="Q14" s="1527">
        <f t="shared" si="6"/>
        <v>111</v>
      </c>
      <c r="R14" s="710" t="s">
        <v>17</v>
      </c>
      <c r="S14" s="711">
        <f t="shared" si="0"/>
        <v>100</v>
      </c>
      <c r="T14" s="710" t="s">
        <v>17</v>
      </c>
      <c r="U14" s="711">
        <f t="shared" si="1"/>
        <v>100</v>
      </c>
      <c r="V14" s="710" t="s">
        <v>17</v>
      </c>
      <c r="W14" s="711">
        <f t="shared" si="2"/>
        <v>100</v>
      </c>
      <c r="X14" s="712"/>
      <c r="Y14" s="3268"/>
      <c r="Z14" s="55">
        <f t="shared" si="7"/>
        <v>111</v>
      </c>
      <c r="AA14" s="713">
        <f t="shared" si="3"/>
        <v>1</v>
      </c>
      <c r="AB14" s="713">
        <f t="shared" si="4"/>
        <v>1</v>
      </c>
      <c r="AC14" s="2145">
        <f t="shared" si="5"/>
        <v>1</v>
      </c>
    </row>
    <row r="15" spans="1:29" ht="71.25">
      <c r="A15" s="399" t="s">
        <v>2377</v>
      </c>
      <c r="B15" s="585" t="s">
        <v>2505</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1.5</v>
      </c>
      <c r="L15" s="2948"/>
      <c r="M15" s="2942"/>
      <c r="N15" s="2942"/>
      <c r="O15" s="2942"/>
      <c r="P15" s="3367" t="s">
        <v>2378</v>
      </c>
      <c r="Q15" s="1536" t="str">
        <f t="shared" si="6"/>
        <v>办公集聚程度</v>
      </c>
      <c r="R15" s="714" t="s">
        <v>17</v>
      </c>
      <c r="S15" s="715">
        <f t="shared" si="0"/>
        <v>100</v>
      </c>
      <c r="T15" s="714" t="s">
        <v>17</v>
      </c>
      <c r="U15" s="715">
        <f t="shared" si="1"/>
        <v>100</v>
      </c>
      <c r="V15" s="714" t="s">
        <v>17</v>
      </c>
      <c r="W15" s="715">
        <f t="shared" si="2"/>
        <v>100</v>
      </c>
      <c r="X15" s="1539"/>
      <c r="Y15" s="3360" t="s">
        <v>2378</v>
      </c>
      <c r="Z15" s="1540" t="str">
        <f t="shared" si="7"/>
        <v>办公集聚程度</v>
      </c>
      <c r="AA15" s="1537">
        <f t="shared" si="3"/>
        <v>1</v>
      </c>
      <c r="AB15" s="1537">
        <f t="shared" si="4"/>
        <v>1</v>
      </c>
      <c r="AC15" s="2148">
        <f t="shared" si="5"/>
        <v>1</v>
      </c>
    </row>
    <row r="16" spans="1:29" ht="15">
      <c r="A16" s="387"/>
      <c r="B16" s="586"/>
      <c r="C16" s="2090" t="s">
        <v>3122</v>
      </c>
      <c r="D16" s="407"/>
      <c r="E16" s="406" t="s">
        <v>3122</v>
      </c>
      <c r="F16" s="407"/>
      <c r="G16" s="2090" t="s">
        <v>3122</v>
      </c>
      <c r="H16" s="409"/>
      <c r="I16" s="406" t="s">
        <v>3122</v>
      </c>
      <c r="J16" s="407"/>
      <c r="K16" s="572"/>
      <c r="L16" s="2948"/>
      <c r="M16" s="2942"/>
      <c r="N16" s="2942"/>
      <c r="O16" s="2942"/>
      <c r="P16" s="3368"/>
      <c r="Q16" s="1536"/>
      <c r="R16" s="714"/>
      <c r="S16" s="715"/>
      <c r="T16" s="714"/>
      <c r="U16" s="715"/>
      <c r="V16" s="714"/>
      <c r="W16" s="715"/>
      <c r="X16" s="1539"/>
      <c r="Y16" s="3361"/>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3</v>
      </c>
      <c r="L17" s="2948"/>
      <c r="M17" s="2942"/>
      <c r="N17" s="2942"/>
      <c r="O17" s="2942"/>
      <c r="P17" s="3368"/>
      <c r="Q17" s="1536" t="str">
        <f>B17</f>
        <v>交通便捷度</v>
      </c>
      <c r="R17" s="714" t="s">
        <v>17</v>
      </c>
      <c r="S17" s="715">
        <f>F17</f>
        <v>100</v>
      </c>
      <c r="T17" s="714" t="s">
        <v>17</v>
      </c>
      <c r="U17" s="715">
        <f>H17</f>
        <v>100</v>
      </c>
      <c r="V17" s="714" t="s">
        <v>17</v>
      </c>
      <c r="W17" s="715">
        <f>J17</f>
        <v>100</v>
      </c>
      <c r="X17" s="1539"/>
      <c r="Y17" s="3361"/>
      <c r="Z17" s="1540" t="str">
        <f>Q17</f>
        <v>交通便捷度</v>
      </c>
      <c r="AA17" s="1537">
        <f t="shared" si="3"/>
        <v>1</v>
      </c>
      <c r="AB17" s="1537">
        <f t="shared" si="4"/>
        <v>1</v>
      </c>
      <c r="AC17" s="2148">
        <f t="shared" si="5"/>
        <v>1</v>
      </c>
    </row>
    <row r="18" spans="1:29" ht="15">
      <c r="A18" s="387"/>
      <c r="B18" s="588"/>
      <c r="C18" s="2150" t="s">
        <v>3123</v>
      </c>
      <c r="D18" s="409"/>
      <c r="E18" s="2150" t="s">
        <v>3123</v>
      </c>
      <c r="F18" s="409"/>
      <c r="G18" s="2150" t="s">
        <v>3123</v>
      </c>
      <c r="H18" s="407"/>
      <c r="I18" s="2150" t="s">
        <v>3123</v>
      </c>
      <c r="J18" s="407"/>
      <c r="K18" s="572"/>
      <c r="L18" s="2948"/>
      <c r="M18" s="2942"/>
      <c r="N18" s="2942"/>
      <c r="O18" s="2942"/>
      <c r="P18" s="3368"/>
      <c r="Q18" s="1536"/>
      <c r="R18" s="714"/>
      <c r="S18" s="715"/>
      <c r="T18" s="714"/>
      <c r="U18" s="715"/>
      <c r="V18" s="714"/>
      <c r="W18" s="715"/>
      <c r="X18" s="1539"/>
      <c r="Y18" s="3361"/>
      <c r="Z18" s="1540"/>
      <c r="AA18" s="1537">
        <v>1</v>
      </c>
      <c r="AB18" s="1537">
        <v>1</v>
      </c>
      <c r="AC18" s="2148">
        <v>1</v>
      </c>
    </row>
    <row r="19" spans="1:29" ht="42.75">
      <c r="A19" s="387"/>
      <c r="B19" s="587" t="s">
        <v>2506</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2.5</v>
      </c>
      <c r="L19" s="2948"/>
      <c r="M19" s="2942"/>
      <c r="N19" s="2942"/>
      <c r="O19" s="2942"/>
      <c r="P19" s="3368"/>
      <c r="Q19" s="1536" t="str">
        <f>B19</f>
        <v>公共配套设施</v>
      </c>
      <c r="R19" s="714" t="s">
        <v>17</v>
      </c>
      <c r="S19" s="715">
        <f>F19</f>
        <v>100</v>
      </c>
      <c r="T19" s="714" t="s">
        <v>17</v>
      </c>
      <c r="U19" s="715">
        <f>H19</f>
        <v>100</v>
      </c>
      <c r="V19" s="714" t="s">
        <v>17</v>
      </c>
      <c r="W19" s="715">
        <f>J19</f>
        <v>100</v>
      </c>
      <c r="X19" s="1539"/>
      <c r="Y19" s="3361"/>
      <c r="Z19" s="1540" t="str">
        <f>Q19</f>
        <v>公共配套设施</v>
      </c>
      <c r="AA19" s="1537">
        <f t="shared" si="3"/>
        <v>1</v>
      </c>
      <c r="AB19" s="1537">
        <f t="shared" si="4"/>
        <v>1</v>
      </c>
      <c r="AC19" s="2148">
        <f t="shared" si="5"/>
        <v>1</v>
      </c>
    </row>
    <row r="20" spans="1:29" ht="15">
      <c r="A20" s="387"/>
      <c r="B20" s="588"/>
      <c r="C20" s="2090" t="s">
        <v>3123</v>
      </c>
      <c r="D20" s="407"/>
      <c r="E20" s="2090" t="s">
        <v>3123</v>
      </c>
      <c r="F20" s="407"/>
      <c r="G20" s="2090" t="s">
        <v>3123</v>
      </c>
      <c r="H20" s="407"/>
      <c r="I20" s="2090" t="s">
        <v>3123</v>
      </c>
      <c r="J20" s="407"/>
      <c r="K20" s="572"/>
      <c r="L20" s="2948"/>
      <c r="M20" s="2942"/>
      <c r="N20" s="2942"/>
      <c r="O20" s="2942"/>
      <c r="P20" s="3368"/>
      <c r="Q20" s="1536"/>
      <c r="R20" s="714"/>
      <c r="S20" s="715"/>
      <c r="T20" s="714"/>
      <c r="U20" s="715"/>
      <c r="V20" s="714"/>
      <c r="W20" s="715"/>
      <c r="X20" s="1539"/>
      <c r="Y20" s="3361"/>
      <c r="Z20" s="1540"/>
      <c r="AA20" s="1537">
        <v>1</v>
      </c>
      <c r="AB20" s="1537">
        <v>1</v>
      </c>
      <c r="AC20" s="2148">
        <v>1</v>
      </c>
    </row>
    <row r="21" spans="1:29" ht="28.5">
      <c r="A21" s="387"/>
      <c r="B21" s="589" t="s">
        <v>2507</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1.5</v>
      </c>
      <c r="L21" s="2948"/>
      <c r="M21" s="2942"/>
      <c r="N21" s="2942"/>
      <c r="O21" s="2942"/>
      <c r="P21" s="3368"/>
      <c r="Q21" s="1536" t="str">
        <f>B21</f>
        <v>基础设施水平</v>
      </c>
      <c r="R21" s="714" t="s">
        <v>17</v>
      </c>
      <c r="S21" s="715">
        <f>F21</f>
        <v>100</v>
      </c>
      <c r="T21" s="714" t="s">
        <v>17</v>
      </c>
      <c r="U21" s="715">
        <f>H21</f>
        <v>100</v>
      </c>
      <c r="V21" s="714" t="s">
        <v>17</v>
      </c>
      <c r="W21" s="715">
        <f>J21</f>
        <v>100</v>
      </c>
      <c r="X21" s="1539"/>
      <c r="Y21" s="3361"/>
      <c r="Z21" s="1540" t="str">
        <f>Q21</f>
        <v>基础设施水平</v>
      </c>
      <c r="AA21" s="1537">
        <f t="shared" ref="AA21" si="8">D21/F21</f>
        <v>1</v>
      </c>
      <c r="AB21" s="1537">
        <f t="shared" ref="AB21" si="9">D21/H21</f>
        <v>1</v>
      </c>
      <c r="AC21" s="2148">
        <f t="shared" ref="AC21" si="10">D21/J21</f>
        <v>1</v>
      </c>
    </row>
    <row r="22" spans="1:29" ht="15">
      <c r="A22" s="387"/>
      <c r="B22" s="589"/>
      <c r="C22" s="2150" t="s">
        <v>3124</v>
      </c>
      <c r="D22" s="407"/>
      <c r="E22" s="2150" t="s">
        <v>3124</v>
      </c>
      <c r="F22" s="407"/>
      <c r="G22" s="2150" t="s">
        <v>3124</v>
      </c>
      <c r="H22" s="407"/>
      <c r="I22" s="2150" t="s">
        <v>3124</v>
      </c>
      <c r="J22" s="407"/>
      <c r="K22" s="1292"/>
      <c r="L22" s="2948"/>
      <c r="M22" s="2942"/>
      <c r="N22" s="2942"/>
      <c r="O22" s="2942"/>
      <c r="P22" s="3368"/>
      <c r="Q22" s="1536"/>
      <c r="R22" s="714"/>
      <c r="S22" s="715"/>
      <c r="T22" s="714"/>
      <c r="U22" s="715"/>
      <c r="V22" s="714"/>
      <c r="W22" s="715"/>
      <c r="X22" s="1539"/>
      <c r="Y22" s="3361"/>
      <c r="Z22" s="1540"/>
      <c r="AA22" s="1537">
        <v>1</v>
      </c>
      <c r="AB22" s="1537">
        <v>1</v>
      </c>
      <c r="AC22" s="2148">
        <v>1</v>
      </c>
    </row>
    <row r="23" spans="1:29" ht="42.75">
      <c r="A23" s="387"/>
      <c r="B23" s="587" t="s">
        <v>2508</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1.5</v>
      </c>
      <c r="L23" s="2948"/>
      <c r="M23" s="2942"/>
      <c r="N23" s="2942"/>
      <c r="O23" s="2942"/>
      <c r="P23" s="3368"/>
      <c r="Q23" s="1536" t="str">
        <f>B23</f>
        <v>环境质量</v>
      </c>
      <c r="R23" s="714" t="s">
        <v>17</v>
      </c>
      <c r="S23" s="715">
        <f>F23</f>
        <v>100</v>
      </c>
      <c r="T23" s="714" t="s">
        <v>17</v>
      </c>
      <c r="U23" s="715">
        <f>H23</f>
        <v>100</v>
      </c>
      <c r="V23" s="714" t="s">
        <v>17</v>
      </c>
      <c r="W23" s="715">
        <f>J23</f>
        <v>100</v>
      </c>
      <c r="X23" s="1539"/>
      <c r="Y23" s="3361"/>
      <c r="Z23" s="1540" t="str">
        <f>Q23</f>
        <v>环境质量</v>
      </c>
      <c r="AA23" s="1537">
        <f t="shared" si="3"/>
        <v>1</v>
      </c>
      <c r="AB23" s="1537">
        <f t="shared" si="4"/>
        <v>1</v>
      </c>
      <c r="AC23" s="2148">
        <f t="shared" si="5"/>
        <v>1</v>
      </c>
    </row>
    <row r="24" spans="1:29" ht="15">
      <c r="A24" s="387"/>
      <c r="B24" s="589"/>
      <c r="C24" s="2090" t="s">
        <v>3122</v>
      </c>
      <c r="D24" s="407"/>
      <c r="E24" s="2090" t="s">
        <v>3122</v>
      </c>
      <c r="F24" s="407"/>
      <c r="G24" s="2090" t="s">
        <v>3122</v>
      </c>
      <c r="H24" s="407"/>
      <c r="I24" s="2090" t="s">
        <v>3122</v>
      </c>
      <c r="J24" s="407"/>
      <c r="K24" s="572"/>
      <c r="L24" s="2948"/>
      <c r="M24" s="2942"/>
      <c r="N24" s="2942"/>
      <c r="O24" s="2942"/>
      <c r="P24" s="3368"/>
      <c r="Q24" s="1536"/>
      <c r="R24" s="714"/>
      <c r="S24" s="715"/>
      <c r="T24" s="714"/>
      <c r="U24" s="715"/>
      <c r="V24" s="714"/>
      <c r="W24" s="715"/>
      <c r="X24" s="1539"/>
      <c r="Y24" s="3361"/>
      <c r="Z24" s="1540"/>
      <c r="AA24" s="1537">
        <v>1</v>
      </c>
      <c r="AB24" s="1537">
        <v>1</v>
      </c>
      <c r="AC24" s="2148">
        <v>1</v>
      </c>
    </row>
    <row r="25" spans="1:29" ht="27">
      <c r="A25" s="364"/>
      <c r="B25" s="587" t="s">
        <v>2509</v>
      </c>
      <c r="C25" s="2094"/>
      <c r="D25" s="394">
        <v>100</v>
      </c>
      <c r="E25" s="393"/>
      <c r="F25" s="394">
        <f>SUMIF(87:87,E26,88:88)-SUMIF(87:87,C26,88:88)+100</f>
        <v>100</v>
      </c>
      <c r="G25" s="2094"/>
      <c r="H25" s="394">
        <f>SUMIF(87:87,G26,88:88)-SUMIF(87:87,C26,88:88)+100</f>
        <v>100</v>
      </c>
      <c r="I25" s="393"/>
      <c r="J25" s="394">
        <f>SUMIF(87:87,I26,88:88)-SUMIF(87:87,C26,88:88)+100</f>
        <v>100</v>
      </c>
      <c r="K25" s="571">
        <v>1.5</v>
      </c>
      <c r="L25" s="2948"/>
      <c r="M25" s="2942"/>
      <c r="N25" s="2942"/>
      <c r="O25" s="2942"/>
      <c r="P25" s="3368"/>
      <c r="Q25" s="1536" t="str">
        <f>B25</f>
        <v>毗邻道路的类型与等级</v>
      </c>
      <c r="R25" s="714" t="s">
        <v>17</v>
      </c>
      <c r="S25" s="715">
        <f>F25</f>
        <v>100</v>
      </c>
      <c r="T25" s="714" t="s">
        <v>17</v>
      </c>
      <c r="U25" s="715">
        <f>H25</f>
        <v>100</v>
      </c>
      <c r="V25" s="714" t="s">
        <v>17</v>
      </c>
      <c r="W25" s="715">
        <f>J25</f>
        <v>100</v>
      </c>
      <c r="X25" s="1539"/>
      <c r="Y25" s="3361"/>
      <c r="Z25" s="1540" t="str">
        <f>Q25</f>
        <v>毗邻道路的类型与等级</v>
      </c>
      <c r="AA25" s="1537">
        <f t="shared" si="3"/>
        <v>1</v>
      </c>
      <c r="AB25" s="1537">
        <f t="shared" si="4"/>
        <v>1</v>
      </c>
      <c r="AC25" s="2148">
        <f t="shared" si="5"/>
        <v>1</v>
      </c>
    </row>
    <row r="26" spans="1:29" ht="15">
      <c r="A26" s="364"/>
      <c r="B26" s="588"/>
      <c r="C26" s="590" t="s">
        <v>3126</v>
      </c>
      <c r="D26" s="394"/>
      <c r="E26" s="590" t="s">
        <v>3126</v>
      </c>
      <c r="F26" s="394"/>
      <c r="G26" s="590" t="s">
        <v>3126</v>
      </c>
      <c r="H26" s="394"/>
      <c r="I26" s="590" t="s">
        <v>3126</v>
      </c>
      <c r="J26" s="394"/>
      <c r="K26" s="572"/>
      <c r="L26" s="2948"/>
      <c r="M26" s="2942"/>
      <c r="N26" s="2942"/>
      <c r="O26" s="2942"/>
      <c r="P26" s="3368"/>
      <c r="Q26" s="1536"/>
      <c r="R26" s="714"/>
      <c r="S26" s="715"/>
      <c r="T26" s="714"/>
      <c r="U26" s="715"/>
      <c r="V26" s="714"/>
      <c r="W26" s="715"/>
      <c r="X26" s="1539"/>
      <c r="Y26" s="3361"/>
      <c r="Z26" s="1540"/>
      <c r="AA26" s="1537">
        <v>1</v>
      </c>
      <c r="AB26" s="1537">
        <v>1</v>
      </c>
      <c r="AC26" s="2148">
        <v>1</v>
      </c>
    </row>
    <row r="27" spans="1:29" ht="15.75" thickBot="1">
      <c r="A27" s="387"/>
      <c r="B27" s="588" t="s">
        <v>2477</v>
      </c>
      <c r="C27" s="590" t="s">
        <v>3130</v>
      </c>
      <c r="D27" s="394">
        <v>100</v>
      </c>
      <c r="E27" s="573" t="s">
        <v>3131</v>
      </c>
      <c r="F27" s="394">
        <f>SUMIF(89:89,E27,90:90)-SUMIF(89:89,C27,90:90)+100</f>
        <v>98</v>
      </c>
      <c r="G27" s="590" t="s">
        <v>3131</v>
      </c>
      <c r="H27" s="394">
        <f>SUMIF(89:89,G27,90:90)-SUMIF(89:89,C27,90:90)+100</f>
        <v>98</v>
      </c>
      <c r="I27" s="573" t="s">
        <v>3130</v>
      </c>
      <c r="J27" s="394">
        <f>SUMIF(89:89,I27,90:90)-SUMIF(89:89,C27,90:90)+100</f>
        <v>100</v>
      </c>
      <c r="K27" s="569">
        <v>2</v>
      </c>
      <c r="L27" s="2948"/>
      <c r="M27" s="2942"/>
      <c r="N27" s="2942"/>
      <c r="O27" s="2942"/>
      <c r="P27" s="3368"/>
      <c r="Q27" s="1536" t="str">
        <f t="shared" ref="Q27:Q47" si="11">B27</f>
        <v>楼层</v>
      </c>
      <c r="R27" s="714" t="s">
        <v>17</v>
      </c>
      <c r="S27" s="715">
        <f>F27</f>
        <v>98</v>
      </c>
      <c r="T27" s="714" t="s">
        <v>17</v>
      </c>
      <c r="U27" s="715">
        <f>H27</f>
        <v>98</v>
      </c>
      <c r="V27" s="714" t="s">
        <v>17</v>
      </c>
      <c r="W27" s="715">
        <f>J27</f>
        <v>100</v>
      </c>
      <c r="X27" s="1539"/>
      <c r="Y27" s="3361"/>
      <c r="Z27" s="1540" t="str">
        <f>Q27</f>
        <v>楼层</v>
      </c>
      <c r="AA27" s="1537">
        <f t="shared" si="3"/>
        <v>1.0204081632653061</v>
      </c>
      <c r="AB27" s="1537">
        <f t="shared" si="4"/>
        <v>1.0204081632653061</v>
      </c>
      <c r="AC27" s="2148">
        <f t="shared" si="5"/>
        <v>1</v>
      </c>
    </row>
    <row r="28" spans="1:29" s="113" customFormat="1" ht="15" hidden="1">
      <c r="A28" s="390"/>
      <c r="B28" s="587" t="s">
        <v>2510</v>
      </c>
      <c r="C28" s="2151"/>
      <c r="D28" s="421">
        <v>100</v>
      </c>
      <c r="E28" s="2142"/>
      <c r="F28" s="421">
        <f>SUMIF(91:91,E28,92:92)-SUMIF(91:91,C28,92:92)+100</f>
        <v>100</v>
      </c>
      <c r="G28" s="2151"/>
      <c r="H28" s="421">
        <f>SUMIF(91:91,G28,92:92)-SUMIF(91:91,C28,92:92)+100</f>
        <v>100</v>
      </c>
      <c r="I28" s="2142"/>
      <c r="J28" s="421">
        <f>SUMIF(91:91,I28,92:92)-SUMIF(91:91,C28,92:92)+100</f>
        <v>100</v>
      </c>
      <c r="K28" s="569"/>
      <c r="L28" s="2943"/>
      <c r="M28" s="2944"/>
      <c r="N28" s="2944"/>
      <c r="O28" s="2944"/>
      <c r="P28" s="3368"/>
      <c r="Q28" s="1527" t="str">
        <f t="shared" si="11"/>
        <v>朝向</v>
      </c>
      <c r="R28" s="710" t="s">
        <v>17</v>
      </c>
      <c r="S28" s="711">
        <f>F28</f>
        <v>100</v>
      </c>
      <c r="T28" s="710" t="s">
        <v>17</v>
      </c>
      <c r="U28" s="711">
        <f>H28</f>
        <v>100</v>
      </c>
      <c r="V28" s="710" t="s">
        <v>17</v>
      </c>
      <c r="W28" s="711">
        <f>J28</f>
        <v>100</v>
      </c>
      <c r="X28" s="712"/>
      <c r="Y28" s="3361"/>
      <c r="Z28" s="55" t="str">
        <f>Q28</f>
        <v>朝向</v>
      </c>
      <c r="AA28" s="1537">
        <f>D28/F28</f>
        <v>1</v>
      </c>
      <c r="AB28" s="1537">
        <f>D28/H28</f>
        <v>1</v>
      </c>
      <c r="AC28" s="2148">
        <f>D28/J28</f>
        <v>1</v>
      </c>
    </row>
    <row r="29" spans="1:29" ht="15" hidden="1">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8"/>
      <c r="M29" s="2942"/>
      <c r="N29" s="2942"/>
      <c r="O29" s="2942"/>
      <c r="P29" s="3368"/>
      <c r="Q29" s="1536">
        <f t="shared" si="11"/>
        <v>111</v>
      </c>
      <c r="R29" s="714" t="s">
        <v>17</v>
      </c>
      <c r="S29" s="715">
        <f t="shared" ref="S29:S47" si="12">F29</f>
        <v>100</v>
      </c>
      <c r="T29" s="714" t="s">
        <v>17</v>
      </c>
      <c r="U29" s="715">
        <f t="shared" ref="U29:U47" si="13">H29</f>
        <v>100</v>
      </c>
      <c r="V29" s="714" t="s">
        <v>17</v>
      </c>
      <c r="W29" s="715">
        <f t="shared" ref="W29:W47" si="14">J29</f>
        <v>100</v>
      </c>
      <c r="X29" s="1539"/>
      <c r="Y29" s="3361"/>
      <c r="Z29" s="1540">
        <f t="shared" ref="Z29:Z47" si="15">Q29</f>
        <v>111</v>
      </c>
      <c r="AA29" s="1537">
        <f t="shared" si="3"/>
        <v>1</v>
      </c>
      <c r="AB29" s="1537">
        <f t="shared" si="4"/>
        <v>1</v>
      </c>
      <c r="AC29" s="2148">
        <f t="shared" si="5"/>
        <v>1</v>
      </c>
    </row>
    <row r="30" spans="1:29" ht="15" hidden="1">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8"/>
      <c r="M30" s="2942"/>
      <c r="N30" s="2942"/>
      <c r="O30" s="2942"/>
      <c r="P30" s="3368"/>
      <c r="Q30" s="1536">
        <f t="shared" si="11"/>
        <v>111</v>
      </c>
      <c r="R30" s="714" t="s">
        <v>17</v>
      </c>
      <c r="S30" s="715">
        <f t="shared" si="12"/>
        <v>100</v>
      </c>
      <c r="T30" s="714" t="s">
        <v>17</v>
      </c>
      <c r="U30" s="715">
        <f t="shared" si="13"/>
        <v>100</v>
      </c>
      <c r="V30" s="714" t="s">
        <v>17</v>
      </c>
      <c r="W30" s="715">
        <f t="shared" si="14"/>
        <v>100</v>
      </c>
      <c r="X30" s="1539"/>
      <c r="Y30" s="3361"/>
      <c r="Z30" s="1540">
        <f t="shared" si="15"/>
        <v>111</v>
      </c>
      <c r="AA30" s="1537">
        <f t="shared" si="3"/>
        <v>1</v>
      </c>
      <c r="AB30" s="1537">
        <f t="shared" si="4"/>
        <v>1</v>
      </c>
      <c r="AC30" s="2148">
        <f t="shared" si="5"/>
        <v>1</v>
      </c>
    </row>
    <row r="31" spans="1:29" ht="15" hidden="1">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8"/>
      <c r="M31" s="2942"/>
      <c r="N31" s="2942"/>
      <c r="O31" s="2942"/>
      <c r="P31" s="3368"/>
      <c r="Q31" s="1536">
        <f t="shared" si="11"/>
        <v>111</v>
      </c>
      <c r="R31" s="714" t="s">
        <v>17</v>
      </c>
      <c r="S31" s="715">
        <f t="shared" si="12"/>
        <v>100</v>
      </c>
      <c r="T31" s="714" t="s">
        <v>17</v>
      </c>
      <c r="U31" s="715">
        <f t="shared" si="13"/>
        <v>100</v>
      </c>
      <c r="V31" s="714" t="s">
        <v>17</v>
      </c>
      <c r="W31" s="715">
        <f t="shared" si="14"/>
        <v>100</v>
      </c>
      <c r="X31" s="1539"/>
      <c r="Y31" s="3361"/>
      <c r="Z31" s="1540">
        <f t="shared" si="15"/>
        <v>111</v>
      </c>
      <c r="AA31" s="1537">
        <f t="shared" si="3"/>
        <v>1</v>
      </c>
      <c r="AB31" s="1537">
        <f t="shared" si="4"/>
        <v>1</v>
      </c>
      <c r="AC31" s="2148">
        <f t="shared" si="5"/>
        <v>1</v>
      </c>
    </row>
    <row r="32" spans="1:29" ht="15.75" hidden="1"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8"/>
      <c r="M32" s="2942"/>
      <c r="N32" s="2942"/>
      <c r="O32" s="2942"/>
      <c r="P32" s="3368"/>
      <c r="Q32" s="1536">
        <f t="shared" si="11"/>
        <v>111</v>
      </c>
      <c r="R32" s="714" t="s">
        <v>17</v>
      </c>
      <c r="S32" s="715">
        <f t="shared" si="12"/>
        <v>100</v>
      </c>
      <c r="T32" s="714" t="s">
        <v>17</v>
      </c>
      <c r="U32" s="715">
        <f t="shared" si="13"/>
        <v>100</v>
      </c>
      <c r="V32" s="714" t="s">
        <v>17</v>
      </c>
      <c r="W32" s="715">
        <f t="shared" si="14"/>
        <v>100</v>
      </c>
      <c r="X32" s="1539"/>
      <c r="Y32" s="3361"/>
      <c r="Z32" s="1540">
        <f t="shared" si="15"/>
        <v>111</v>
      </c>
      <c r="AA32" s="1537">
        <f t="shared" si="3"/>
        <v>1</v>
      </c>
      <c r="AB32" s="1537">
        <f t="shared" si="4"/>
        <v>1</v>
      </c>
      <c r="AC32" s="2148">
        <f t="shared" si="5"/>
        <v>1</v>
      </c>
    </row>
    <row r="33" spans="1:29" ht="15">
      <c r="A33" s="399" t="s">
        <v>2381</v>
      </c>
      <c r="B33" s="67" t="s">
        <v>2511</v>
      </c>
      <c r="C33" s="2153" t="s">
        <v>3156</v>
      </c>
      <c r="D33" s="426">
        <v>100</v>
      </c>
      <c r="E33" s="2153" t="s">
        <v>3156</v>
      </c>
      <c r="F33" s="420">
        <f>SUMIF(101:101,E33,102:102)-SUMIF(101:101,C33,102:102)+100</f>
        <v>100</v>
      </c>
      <c r="G33" s="2153" t="s">
        <v>3156</v>
      </c>
      <c r="H33" s="394">
        <f>SUMIF(101:101,G33,102:102)-SUMIF(101:101,C33,102:102)+100</f>
        <v>100</v>
      </c>
      <c r="I33" s="2153" t="s">
        <v>3156</v>
      </c>
      <c r="J33" s="426">
        <f>SUMIF(101:101,I33,102:102)-SUMIF(101:101,C33,102:102)+100</f>
        <v>100</v>
      </c>
      <c r="K33" s="569">
        <v>1.5</v>
      </c>
      <c r="L33" s="2948"/>
      <c r="M33" s="2942"/>
      <c r="N33" s="2942"/>
      <c r="O33" s="2942"/>
      <c r="P33" s="3362" t="s">
        <v>2383</v>
      </c>
      <c r="Q33" s="1536" t="str">
        <f t="shared" si="11"/>
        <v>建筑类型</v>
      </c>
      <c r="R33" s="714" t="s">
        <v>17</v>
      </c>
      <c r="S33" s="715">
        <f t="shared" si="12"/>
        <v>100</v>
      </c>
      <c r="T33" s="714" t="s">
        <v>17</v>
      </c>
      <c r="U33" s="715">
        <f t="shared" si="13"/>
        <v>100</v>
      </c>
      <c r="V33" s="714" t="s">
        <v>17</v>
      </c>
      <c r="W33" s="715">
        <f t="shared" si="14"/>
        <v>100</v>
      </c>
      <c r="X33" s="1539"/>
      <c r="Y33" s="3365" t="s">
        <v>2383</v>
      </c>
      <c r="Z33" s="1540" t="str">
        <f t="shared" si="15"/>
        <v>建筑类型</v>
      </c>
      <c r="AA33" s="1537">
        <f t="shared" si="3"/>
        <v>1</v>
      </c>
      <c r="AB33" s="1537">
        <f t="shared" si="4"/>
        <v>1</v>
      </c>
      <c r="AC33" s="2148">
        <f t="shared" si="5"/>
        <v>1</v>
      </c>
    </row>
    <row r="34" spans="1:29" s="430" customFormat="1" ht="15">
      <c r="A34" s="427"/>
      <c r="B34" s="381" t="s">
        <v>2384</v>
      </c>
      <c r="C34" s="428">
        <v>264000</v>
      </c>
      <c r="D34" s="132">
        <v>100</v>
      </c>
      <c r="E34" s="389">
        <f>C34</f>
        <v>264000</v>
      </c>
      <c r="F34" s="384">
        <f>LOOKUP(E34,104:104,105:105)-LOOKUP(C34,104:104,105:105)+100</f>
        <v>100</v>
      </c>
      <c r="G34" s="388">
        <f>C34</f>
        <v>264000</v>
      </c>
      <c r="H34" s="132">
        <f>LOOKUP(G34,104:104,105:105)-LOOKUP(C34,104:104,105:105)+100</f>
        <v>100</v>
      </c>
      <c r="I34" s="388">
        <f>C34</f>
        <v>264000</v>
      </c>
      <c r="J34" s="132">
        <f>LOOKUP(I34,104:104,105:105)-LOOKUP(C34,104:104,105:105)+100</f>
        <v>100</v>
      </c>
      <c r="K34" s="570"/>
      <c r="L34" s="2947"/>
      <c r="M34" s="2949"/>
      <c r="N34" s="2949"/>
      <c r="O34" s="2949"/>
      <c r="P34" s="3363"/>
      <c r="Q34" s="716" t="str">
        <f t="shared" si="11"/>
        <v>项目建筑规模</v>
      </c>
      <c r="R34" s="717" t="s">
        <v>17</v>
      </c>
      <c r="S34" s="718">
        <f t="shared" si="12"/>
        <v>100</v>
      </c>
      <c r="T34" s="717" t="s">
        <v>17</v>
      </c>
      <c r="U34" s="718">
        <f t="shared" si="13"/>
        <v>100</v>
      </c>
      <c r="V34" s="717" t="s">
        <v>17</v>
      </c>
      <c r="W34" s="718">
        <f t="shared" si="14"/>
        <v>100</v>
      </c>
      <c r="X34" s="719"/>
      <c r="Y34" s="3365"/>
      <c r="Z34" s="720" t="str">
        <f t="shared" si="15"/>
        <v>项目建筑规模</v>
      </c>
      <c r="AA34" s="1537">
        <f t="shared" si="3"/>
        <v>1</v>
      </c>
      <c r="AB34" s="1537">
        <f t="shared" si="4"/>
        <v>1</v>
      </c>
      <c r="AC34" s="2148">
        <f t="shared" si="5"/>
        <v>1</v>
      </c>
    </row>
    <row r="35" spans="1:29" ht="15">
      <c r="A35" s="431"/>
      <c r="B35" s="381" t="s">
        <v>2385</v>
      </c>
      <c r="C35" s="419" t="s">
        <v>3114</v>
      </c>
      <c r="D35" s="394">
        <v>100</v>
      </c>
      <c r="E35" s="419" t="s">
        <v>3114</v>
      </c>
      <c r="F35" s="420">
        <f>SUMIF(106:106,E35,107:107)-SUMIF(106:106,C35,107:107)+100</f>
        <v>100</v>
      </c>
      <c r="G35" s="419" t="s">
        <v>3114</v>
      </c>
      <c r="H35" s="394">
        <f>SUMIF(106:106,G35,107:107)-SUMIF(106:106,C35,107:107)+100</f>
        <v>100</v>
      </c>
      <c r="I35" s="419" t="s">
        <v>3114</v>
      </c>
      <c r="J35" s="394">
        <f>SUMIF(106:106,I35,107:107)-SUMIF(106:106,C35,107:107)+100</f>
        <v>100</v>
      </c>
      <c r="K35" s="569">
        <v>2</v>
      </c>
      <c r="L35" s="2948"/>
      <c r="M35" s="2942"/>
      <c r="N35" s="2942"/>
      <c r="O35" s="2942"/>
      <c r="P35" s="3363"/>
      <c r="Q35" s="1536" t="str">
        <f t="shared" si="11"/>
        <v>建筑结构</v>
      </c>
      <c r="R35" s="714" t="s">
        <v>17</v>
      </c>
      <c r="S35" s="715">
        <f t="shared" si="12"/>
        <v>100</v>
      </c>
      <c r="T35" s="714" t="s">
        <v>17</v>
      </c>
      <c r="U35" s="715">
        <f t="shared" si="13"/>
        <v>100</v>
      </c>
      <c r="V35" s="714" t="s">
        <v>17</v>
      </c>
      <c r="W35" s="715">
        <f t="shared" si="14"/>
        <v>100</v>
      </c>
      <c r="X35" s="1539"/>
      <c r="Y35" s="3365"/>
      <c r="Z35" s="1540" t="str">
        <f t="shared" si="15"/>
        <v>建筑结构</v>
      </c>
      <c r="AA35" s="1537">
        <f t="shared" si="3"/>
        <v>1</v>
      </c>
      <c r="AB35" s="1537">
        <f t="shared" si="4"/>
        <v>1</v>
      </c>
      <c r="AC35" s="2148">
        <f t="shared" si="5"/>
        <v>1</v>
      </c>
    </row>
    <row r="36" spans="1:29" ht="15">
      <c r="A36" s="431"/>
      <c r="B36" s="381" t="s">
        <v>2479</v>
      </c>
      <c r="C36" s="419" t="s">
        <v>3134</v>
      </c>
      <c r="D36" s="394">
        <v>100</v>
      </c>
      <c r="E36" s="419" t="s">
        <v>3134</v>
      </c>
      <c r="F36" s="420">
        <f>SUMIF(108:108,E36,109:109)-SUMIF(108:108,C36,109:109)+100</f>
        <v>100</v>
      </c>
      <c r="G36" s="419" t="s">
        <v>3134</v>
      </c>
      <c r="H36" s="394">
        <f>SUMIF(108:108,G36,109:109)-SUMIF(108:108,C36,109:109)+100</f>
        <v>100</v>
      </c>
      <c r="I36" s="419" t="s">
        <v>3134</v>
      </c>
      <c r="J36" s="394">
        <f>SUMIF(108:108,I36,109:109)-SUMIF(108:108,C36,109:109)+100</f>
        <v>100</v>
      </c>
      <c r="K36" s="569">
        <v>2</v>
      </c>
      <c r="L36" s="2948"/>
      <c r="M36" s="2942"/>
      <c r="N36" s="2942"/>
      <c r="O36" s="2942"/>
      <c r="P36" s="3363"/>
      <c r="Q36" s="1536" t="str">
        <f t="shared" si="11"/>
        <v>公共部分装修</v>
      </c>
      <c r="R36" s="714" t="s">
        <v>17</v>
      </c>
      <c r="S36" s="715">
        <f t="shared" si="12"/>
        <v>100</v>
      </c>
      <c r="T36" s="714" t="s">
        <v>17</v>
      </c>
      <c r="U36" s="715">
        <f t="shared" si="13"/>
        <v>100</v>
      </c>
      <c r="V36" s="714" t="s">
        <v>17</v>
      </c>
      <c r="W36" s="715">
        <f t="shared" si="14"/>
        <v>100</v>
      </c>
      <c r="X36" s="1539"/>
      <c r="Y36" s="3365"/>
      <c r="Z36" s="1540" t="str">
        <f t="shared" si="15"/>
        <v>公共部分装修</v>
      </c>
      <c r="AA36" s="1537">
        <f t="shared" si="3"/>
        <v>1</v>
      </c>
      <c r="AB36" s="1537">
        <f t="shared" si="4"/>
        <v>1</v>
      </c>
      <c r="AC36" s="2148">
        <f t="shared" si="5"/>
        <v>1</v>
      </c>
    </row>
    <row r="37" spans="1:29" ht="15">
      <c r="A37" s="431"/>
      <c r="B37" s="381" t="s">
        <v>2480</v>
      </c>
      <c r="C37" s="433">
        <f>'数据-取费表'!N6</f>
        <v>0.79</v>
      </c>
      <c r="D37" s="394">
        <v>100</v>
      </c>
      <c r="E37" s="433">
        <f>C37</f>
        <v>0.79</v>
      </c>
      <c r="F37" s="420">
        <f>LOOKUP(E37,111:111,112:112)-LOOKUP(C37,111:111,112:112)+100</f>
        <v>100</v>
      </c>
      <c r="G37" s="433">
        <f>C37</f>
        <v>0.79</v>
      </c>
      <c r="H37" s="420">
        <f>LOOKUP(G37,111:111,112:112)-LOOKUP(C37,111:111,112:112)+100</f>
        <v>100</v>
      </c>
      <c r="I37" s="433">
        <f>C37</f>
        <v>0.79</v>
      </c>
      <c r="J37" s="394">
        <f>LOOKUP(I37,111:111,112:112)-LOOKUP(C37,111:111,112:112)+100</f>
        <v>100</v>
      </c>
      <c r="K37" s="569">
        <v>2</v>
      </c>
      <c r="L37" s="2948"/>
      <c r="M37" s="2942"/>
      <c r="N37" s="2942"/>
      <c r="O37" s="2942"/>
      <c r="P37" s="3363"/>
      <c r="Q37" s="1536" t="str">
        <f t="shared" si="11"/>
        <v>成新度</v>
      </c>
      <c r="R37" s="714" t="s">
        <v>17</v>
      </c>
      <c r="S37" s="715">
        <f t="shared" si="12"/>
        <v>100</v>
      </c>
      <c r="T37" s="714" t="s">
        <v>17</v>
      </c>
      <c r="U37" s="715">
        <f t="shared" si="13"/>
        <v>100</v>
      </c>
      <c r="V37" s="714" t="s">
        <v>17</v>
      </c>
      <c r="W37" s="715">
        <f t="shared" si="14"/>
        <v>100</v>
      </c>
      <c r="X37" s="1539"/>
      <c r="Y37" s="3365"/>
      <c r="Z37" s="1540" t="str">
        <f t="shared" si="15"/>
        <v>成新度</v>
      </c>
      <c r="AA37" s="1537">
        <f t="shared" si="3"/>
        <v>1</v>
      </c>
      <c r="AB37" s="1537">
        <f t="shared" si="4"/>
        <v>1</v>
      </c>
      <c r="AC37" s="2148">
        <f t="shared" si="5"/>
        <v>1</v>
      </c>
    </row>
    <row r="38" spans="1:29" s="113" customFormat="1" ht="15">
      <c r="A38" s="432"/>
      <c r="B38" s="381" t="s">
        <v>2512</v>
      </c>
      <c r="C38" s="419" t="s">
        <v>3139</v>
      </c>
      <c r="D38" s="132">
        <v>100</v>
      </c>
      <c r="E38" s="419" t="s">
        <v>3139</v>
      </c>
      <c r="F38" s="420">
        <f>SUMIF(113:113,E38,114:114)-SUMIF(113:113,C38,114:114)+100</f>
        <v>100</v>
      </c>
      <c r="G38" s="419" t="s">
        <v>3139</v>
      </c>
      <c r="H38" s="394">
        <f>SUMIF(113:113,G38,114:114)-SUMIF(113:113,C38,114:114)+100</f>
        <v>100</v>
      </c>
      <c r="I38" s="419" t="s">
        <v>3139</v>
      </c>
      <c r="J38" s="394">
        <f>SUMIF(113:113,I38,114:114)-SUMIF(113:113,C38,114:114)+100</f>
        <v>100</v>
      </c>
      <c r="K38" s="569">
        <v>4</v>
      </c>
      <c r="L38" s="2943"/>
      <c r="M38" s="2944"/>
      <c r="N38" s="2944"/>
      <c r="O38" s="2944"/>
      <c r="P38" s="3363"/>
      <c r="Q38" s="1527" t="str">
        <f t="shared" si="11"/>
        <v>写字楼等级</v>
      </c>
      <c r="R38" s="710" t="s">
        <v>17</v>
      </c>
      <c r="S38" s="711">
        <f t="shared" si="12"/>
        <v>100</v>
      </c>
      <c r="T38" s="710" t="s">
        <v>17</v>
      </c>
      <c r="U38" s="711">
        <f t="shared" si="13"/>
        <v>100</v>
      </c>
      <c r="V38" s="710" t="s">
        <v>17</v>
      </c>
      <c r="W38" s="711">
        <f t="shared" si="14"/>
        <v>100</v>
      </c>
      <c r="X38" s="712"/>
      <c r="Y38" s="3365"/>
      <c r="Z38" s="55" t="str">
        <f t="shared" si="15"/>
        <v>写字楼等级</v>
      </c>
      <c r="AA38" s="713">
        <f t="shared" si="3"/>
        <v>1</v>
      </c>
      <c r="AB38" s="713">
        <f t="shared" si="4"/>
        <v>1</v>
      </c>
      <c r="AC38" s="2145">
        <f t="shared" si="5"/>
        <v>1</v>
      </c>
    </row>
    <row r="39" spans="1:29" ht="15">
      <c r="A39" s="431"/>
      <c r="B39" s="381" t="s">
        <v>2513</v>
      </c>
      <c r="C39" s="419" t="s">
        <v>3143</v>
      </c>
      <c r="D39" s="394">
        <v>100</v>
      </c>
      <c r="E39" s="419" t="s">
        <v>3143</v>
      </c>
      <c r="F39" s="420">
        <f>SUMIF(115:115,E39,116:116)-SUMIF(115:115,C39,116:116)+100</f>
        <v>100</v>
      </c>
      <c r="G39" s="419" t="s">
        <v>3143</v>
      </c>
      <c r="H39" s="394">
        <f>SUMIF(115:115,G39,116:116)-SUMIF(115:115,C39,116:116)+100</f>
        <v>100</v>
      </c>
      <c r="I39" s="419" t="s">
        <v>3143</v>
      </c>
      <c r="J39" s="394">
        <f>SUMIF(115:115,I39,116:116)-SUMIF(115:115,C39,116:116)+100</f>
        <v>100</v>
      </c>
      <c r="K39" s="569">
        <v>3</v>
      </c>
      <c r="L39" s="2948"/>
      <c r="M39" s="2942"/>
      <c r="N39" s="2942"/>
      <c r="O39" s="2942"/>
      <c r="P39" s="3363" t="s">
        <v>2383</v>
      </c>
      <c r="Q39" s="1536" t="str">
        <f t="shared" si="11"/>
        <v>物业管理</v>
      </c>
      <c r="R39" s="714" t="s">
        <v>17</v>
      </c>
      <c r="S39" s="715">
        <f t="shared" si="12"/>
        <v>100</v>
      </c>
      <c r="T39" s="714" t="s">
        <v>17</v>
      </c>
      <c r="U39" s="715">
        <f t="shared" si="13"/>
        <v>100</v>
      </c>
      <c r="V39" s="714" t="s">
        <v>17</v>
      </c>
      <c r="W39" s="715">
        <f t="shared" si="14"/>
        <v>100</v>
      </c>
      <c r="X39" s="1539"/>
      <c r="Y39" s="3365" t="s">
        <v>2383</v>
      </c>
      <c r="Z39" s="1540" t="str">
        <f t="shared" si="15"/>
        <v>物业管理</v>
      </c>
      <c r="AA39" s="1537">
        <f t="shared" si="3"/>
        <v>1</v>
      </c>
      <c r="AB39" s="1537">
        <f t="shared" si="4"/>
        <v>1</v>
      </c>
      <c r="AC39" s="2148">
        <f t="shared" si="5"/>
        <v>1</v>
      </c>
    </row>
    <row r="40" spans="1:29" ht="15">
      <c r="A40" s="431"/>
      <c r="B40" s="381" t="s">
        <v>2481</v>
      </c>
      <c r="C40" s="419" t="s">
        <v>3146</v>
      </c>
      <c r="D40" s="394">
        <v>100</v>
      </c>
      <c r="E40" s="419" t="s">
        <v>3146</v>
      </c>
      <c r="F40" s="420">
        <f>SUMIF(117:117,E40,118:118)-SUMIF(117:117,C40,118:118)+100</f>
        <v>100</v>
      </c>
      <c r="G40" s="419" t="s">
        <v>3146</v>
      </c>
      <c r="H40" s="394">
        <f>SUMIF(117:117,G40,118:118)-SUMIF(117:117,C40,118:118)+100</f>
        <v>100</v>
      </c>
      <c r="I40" s="419" t="s">
        <v>3146</v>
      </c>
      <c r="J40" s="394">
        <f>SUMIF(117:117,I40,118:118)-SUMIF(117:117,C40,118:118)+100</f>
        <v>100</v>
      </c>
      <c r="K40" s="569">
        <v>1</v>
      </c>
      <c r="L40" s="2948"/>
      <c r="M40" s="2942"/>
      <c r="N40" s="2942"/>
      <c r="O40" s="2942"/>
      <c r="P40" s="3363"/>
      <c r="Q40" s="1536" t="str">
        <f t="shared" si="11"/>
        <v>市政基础设施</v>
      </c>
      <c r="R40" s="714" t="s">
        <v>17</v>
      </c>
      <c r="S40" s="715">
        <f t="shared" si="12"/>
        <v>100</v>
      </c>
      <c r="T40" s="714" t="s">
        <v>17</v>
      </c>
      <c r="U40" s="715">
        <f t="shared" si="13"/>
        <v>100</v>
      </c>
      <c r="V40" s="714" t="s">
        <v>17</v>
      </c>
      <c r="W40" s="715">
        <f t="shared" si="14"/>
        <v>100</v>
      </c>
      <c r="X40" s="1539"/>
      <c r="Y40" s="3365"/>
      <c r="Z40" s="1540" t="str">
        <f t="shared" si="15"/>
        <v>市政基础设施</v>
      </c>
      <c r="AA40" s="1537">
        <f t="shared" si="3"/>
        <v>1</v>
      </c>
      <c r="AB40" s="1537">
        <f t="shared" si="4"/>
        <v>1</v>
      </c>
      <c r="AC40" s="2148">
        <f t="shared" si="5"/>
        <v>1</v>
      </c>
    </row>
    <row r="41" spans="1:29" ht="15" hidden="1">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63"/>
      <c r="Q41" s="1536" t="str">
        <f t="shared" si="11"/>
        <v>层高</v>
      </c>
      <c r="R41" s="714" t="s">
        <v>17</v>
      </c>
      <c r="S41" s="715">
        <f t="shared" si="12"/>
        <v>100</v>
      </c>
      <c r="T41" s="714" t="s">
        <v>17</v>
      </c>
      <c r="U41" s="715">
        <f t="shared" si="13"/>
        <v>100</v>
      </c>
      <c r="V41" s="714" t="s">
        <v>17</v>
      </c>
      <c r="W41" s="715">
        <f t="shared" si="14"/>
        <v>100</v>
      </c>
      <c r="X41" s="1539"/>
      <c r="Y41" s="3365"/>
      <c r="Z41" s="1540" t="str">
        <f t="shared" si="15"/>
        <v>层高</v>
      </c>
      <c r="AA41" s="1537">
        <f t="shared" si="3"/>
        <v>1</v>
      </c>
      <c r="AB41" s="1537">
        <f t="shared" si="4"/>
        <v>1</v>
      </c>
      <c r="AC41" s="2148">
        <f t="shared" si="5"/>
        <v>1</v>
      </c>
    </row>
    <row r="42" spans="1:29" s="430" customFormat="1" ht="15">
      <c r="A42" s="427"/>
      <c r="B42" s="1538" t="s">
        <v>2514</v>
      </c>
      <c r="C42" s="393" t="str">
        <f>D121</f>
        <v>100(含)-150</v>
      </c>
      <c r="D42" s="394">
        <v>100</v>
      </c>
      <c r="E42" s="393" t="str">
        <f>D121</f>
        <v>100(含)-150</v>
      </c>
      <c r="F42" s="420">
        <f>SUMIF(121:121,E42,122:122)-SUMIF(121:121,C42,122:122)+100</f>
        <v>100</v>
      </c>
      <c r="G42" s="393" t="str">
        <f>H121</f>
        <v>300(含)-500</v>
      </c>
      <c r="H42" s="394">
        <f>SUMIF(121:121,G42,122:122)-SUMIF(121:121,C42,122:122)+100</f>
        <v>104</v>
      </c>
      <c r="I42" s="393" t="str">
        <f>I121</f>
        <v>500(含)-750</v>
      </c>
      <c r="J42" s="394">
        <f>SUMIF(121:121,I42,122:122)-SUMIF(121:121,C42,122:122)+100</f>
        <v>102</v>
      </c>
      <c r="K42" s="570"/>
      <c r="L42" s="2947"/>
      <c r="M42" s="2949"/>
      <c r="N42" s="2949"/>
      <c r="O42" s="2949"/>
      <c r="P42" s="3363"/>
      <c r="Q42" s="716" t="str">
        <f t="shared" si="11"/>
        <v>单套建筑面积</v>
      </c>
      <c r="R42" s="717" t="s">
        <v>17</v>
      </c>
      <c r="S42" s="718">
        <f t="shared" si="12"/>
        <v>100</v>
      </c>
      <c r="T42" s="717" t="s">
        <v>17</v>
      </c>
      <c r="U42" s="718">
        <f t="shared" si="13"/>
        <v>104</v>
      </c>
      <c r="V42" s="717" t="s">
        <v>17</v>
      </c>
      <c r="W42" s="718">
        <f t="shared" si="14"/>
        <v>102</v>
      </c>
      <c r="X42" s="719"/>
      <c r="Y42" s="3365"/>
      <c r="Z42" s="720" t="str">
        <f t="shared" si="15"/>
        <v>单套建筑面积</v>
      </c>
      <c r="AA42" s="1537">
        <f t="shared" si="3"/>
        <v>1</v>
      </c>
      <c r="AB42" s="1537">
        <f t="shared" si="4"/>
        <v>0.96153846153846156</v>
      </c>
      <c r="AC42" s="2148">
        <f t="shared" si="5"/>
        <v>0.98039215686274506</v>
      </c>
    </row>
    <row r="43" spans="1:29" ht="15">
      <c r="A43" s="431"/>
      <c r="B43" s="381" t="s">
        <v>2486</v>
      </c>
      <c r="C43" s="419" t="s">
        <v>3134</v>
      </c>
      <c r="D43" s="394">
        <v>100</v>
      </c>
      <c r="E43" s="419" t="s">
        <v>3134</v>
      </c>
      <c r="F43" s="420">
        <f>SUMIF(123:123,E43,124:124)-SUMIF(123:123,C43,124:124)+100</f>
        <v>100</v>
      </c>
      <c r="G43" s="419" t="s">
        <v>3134</v>
      </c>
      <c r="H43" s="394">
        <f>SUMIF(123:123,G43,124:124)-SUMIF(123:123,C43,124:124)+100</f>
        <v>100</v>
      </c>
      <c r="I43" s="419" t="s">
        <v>3154</v>
      </c>
      <c r="J43" s="394">
        <f>SUMIF(123:123,I43,124:124)-SUMIF(123:123,C43,124:124)+100</f>
        <v>104</v>
      </c>
      <c r="K43" s="3099">
        <v>4</v>
      </c>
      <c r="L43" s="2948"/>
      <c r="M43" s="2942"/>
      <c r="N43" s="2942"/>
      <c r="O43" s="2942"/>
      <c r="P43" s="3363"/>
      <c r="Q43" s="1536" t="str">
        <f t="shared" si="11"/>
        <v>内部装修</v>
      </c>
      <c r="R43" s="714" t="s">
        <v>17</v>
      </c>
      <c r="S43" s="715">
        <f t="shared" si="12"/>
        <v>100</v>
      </c>
      <c r="T43" s="714" t="s">
        <v>17</v>
      </c>
      <c r="U43" s="715">
        <f t="shared" si="13"/>
        <v>100</v>
      </c>
      <c r="V43" s="714" t="s">
        <v>17</v>
      </c>
      <c r="W43" s="715">
        <f t="shared" si="14"/>
        <v>104</v>
      </c>
      <c r="X43" s="1539"/>
      <c r="Y43" s="3365"/>
      <c r="Z43" s="1540" t="str">
        <f t="shared" si="15"/>
        <v>内部装修</v>
      </c>
      <c r="AA43" s="1537">
        <f t="shared" si="3"/>
        <v>1</v>
      </c>
      <c r="AB43" s="1537">
        <f t="shared" si="4"/>
        <v>1</v>
      </c>
      <c r="AC43" s="2148">
        <f t="shared" si="5"/>
        <v>0.96153846153846156</v>
      </c>
    </row>
    <row r="44" spans="1:29" ht="15.75" thickBot="1">
      <c r="A44" s="431"/>
      <c r="B44" s="381" t="s">
        <v>2394</v>
      </c>
      <c r="C44" s="419" t="s">
        <v>3122</v>
      </c>
      <c r="D44" s="394">
        <v>100</v>
      </c>
      <c r="E44" s="419" t="s">
        <v>3122</v>
      </c>
      <c r="F44" s="420">
        <f>SUMIF(125:125,E44,126:126)-SUMIF(125:125,C44,126:126)+100</f>
        <v>100</v>
      </c>
      <c r="G44" s="419" t="s">
        <v>3122</v>
      </c>
      <c r="H44" s="394">
        <f>SUMIF(125:125,G44,126:126)-SUMIF(125:125,C44,126:126)+100</f>
        <v>100</v>
      </c>
      <c r="I44" s="419" t="s">
        <v>3122</v>
      </c>
      <c r="J44" s="394">
        <f>SUMIF(125:125,I44,126:126)-SUMIF(125:125,C44,126:126)+100</f>
        <v>100</v>
      </c>
      <c r="K44" s="569">
        <v>2</v>
      </c>
      <c r="L44" s="2948"/>
      <c r="M44" s="2942"/>
      <c r="N44" s="2942"/>
      <c r="O44" s="2942"/>
      <c r="P44" s="3363"/>
      <c r="Q44" s="1536" t="str">
        <f t="shared" si="11"/>
        <v>内部装修维护情况</v>
      </c>
      <c r="R44" s="714" t="s">
        <v>17</v>
      </c>
      <c r="S44" s="715">
        <f t="shared" si="12"/>
        <v>100</v>
      </c>
      <c r="T44" s="714" t="s">
        <v>17</v>
      </c>
      <c r="U44" s="715">
        <f t="shared" si="13"/>
        <v>100</v>
      </c>
      <c r="V44" s="714" t="s">
        <v>17</v>
      </c>
      <c r="W44" s="715">
        <f t="shared" si="14"/>
        <v>100</v>
      </c>
      <c r="X44" s="1539"/>
      <c r="Y44" s="3365"/>
      <c r="Z44" s="1540" t="str">
        <f t="shared" si="15"/>
        <v>内部装修维护情况</v>
      </c>
      <c r="AA44" s="1537">
        <f t="shared" si="3"/>
        <v>1</v>
      </c>
      <c r="AB44" s="1537">
        <f t="shared" si="4"/>
        <v>1</v>
      </c>
      <c r="AC44" s="2148">
        <f t="shared" si="5"/>
        <v>1</v>
      </c>
    </row>
    <row r="45" spans="1:29" s="113" customFormat="1" ht="15" hidden="1">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63"/>
      <c r="Q45" s="1527">
        <f t="shared" si="11"/>
        <v>111</v>
      </c>
      <c r="R45" s="710" t="s">
        <v>17</v>
      </c>
      <c r="S45" s="711">
        <f t="shared" si="12"/>
        <v>100</v>
      </c>
      <c r="T45" s="710" t="s">
        <v>17</v>
      </c>
      <c r="U45" s="711">
        <f t="shared" si="13"/>
        <v>100</v>
      </c>
      <c r="V45" s="710" t="s">
        <v>17</v>
      </c>
      <c r="W45" s="711">
        <f t="shared" si="14"/>
        <v>100</v>
      </c>
      <c r="X45" s="712"/>
      <c r="Y45" s="3365"/>
      <c r="Z45" s="55">
        <f t="shared" si="15"/>
        <v>111</v>
      </c>
      <c r="AA45" s="713">
        <f t="shared" si="3"/>
        <v>1</v>
      </c>
      <c r="AB45" s="713">
        <f t="shared" si="4"/>
        <v>1</v>
      </c>
      <c r="AC45" s="2145">
        <f t="shared" si="5"/>
        <v>1</v>
      </c>
    </row>
    <row r="46" spans="1:29" ht="15" hidden="1">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63"/>
      <c r="Q46" s="1536">
        <f t="shared" si="11"/>
        <v>111</v>
      </c>
      <c r="R46" s="714" t="s">
        <v>17</v>
      </c>
      <c r="S46" s="715">
        <f t="shared" si="12"/>
        <v>100</v>
      </c>
      <c r="T46" s="714" t="s">
        <v>17</v>
      </c>
      <c r="U46" s="715">
        <f t="shared" si="13"/>
        <v>100</v>
      </c>
      <c r="V46" s="714" t="s">
        <v>17</v>
      </c>
      <c r="W46" s="715">
        <f t="shared" si="14"/>
        <v>100</v>
      </c>
      <c r="X46" s="1539"/>
      <c r="Y46" s="3365"/>
      <c r="Z46" s="1540">
        <f t="shared" si="15"/>
        <v>111</v>
      </c>
      <c r="AA46" s="1537">
        <f t="shared" si="3"/>
        <v>1</v>
      </c>
      <c r="AB46" s="1537">
        <f t="shared" si="4"/>
        <v>1</v>
      </c>
      <c r="AC46" s="2148">
        <f t="shared" si="5"/>
        <v>1</v>
      </c>
    </row>
    <row r="47" spans="1:29" ht="15.75" hidden="1"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64"/>
      <c r="Q47" s="1536">
        <f t="shared" si="11"/>
        <v>111</v>
      </c>
      <c r="R47" s="714" t="s">
        <v>17</v>
      </c>
      <c r="S47" s="715">
        <f t="shared" si="12"/>
        <v>100</v>
      </c>
      <c r="T47" s="714" t="s">
        <v>17</v>
      </c>
      <c r="U47" s="715">
        <f t="shared" si="13"/>
        <v>100</v>
      </c>
      <c r="V47" s="714" t="s">
        <v>17</v>
      </c>
      <c r="W47" s="715">
        <f t="shared" si="14"/>
        <v>100</v>
      </c>
      <c r="X47" s="1539"/>
      <c r="Y47" s="3366"/>
      <c r="Z47" s="1540">
        <f t="shared" si="15"/>
        <v>111</v>
      </c>
      <c r="AA47" s="1537">
        <f t="shared" si="3"/>
        <v>1</v>
      </c>
      <c r="AB47" s="1537">
        <f t="shared" si="4"/>
        <v>1</v>
      </c>
      <c r="AC47" s="2148">
        <f t="shared" si="5"/>
        <v>1</v>
      </c>
    </row>
    <row r="48" spans="1:29" ht="15">
      <c r="A48" s="438" t="s">
        <v>2395</v>
      </c>
      <c r="B48" s="439"/>
      <c r="C48" s="1316" t="s">
        <v>1</v>
      </c>
      <c r="D48" s="1317"/>
      <c r="E48" s="1318">
        <f>45000*D51</f>
        <v>44550</v>
      </c>
      <c r="F48" s="1319"/>
      <c r="G48" s="1320">
        <f>40000*D51</f>
        <v>39600</v>
      </c>
      <c r="H48" s="1321"/>
      <c r="I48" s="1318">
        <f>50000*0.98</f>
        <v>49000</v>
      </c>
      <c r="J48" s="444"/>
      <c r="K48" s="723"/>
      <c r="L48" s="2950"/>
      <c r="M48" s="2942"/>
      <c r="N48" s="2942"/>
      <c r="O48" s="2942"/>
      <c r="P48" s="3340" t="str">
        <f>A48</f>
        <v>成交单价（元/平方米）</v>
      </c>
      <c r="Q48" s="3358"/>
      <c r="R48" s="3359">
        <f>E48</f>
        <v>44550</v>
      </c>
      <c r="S48" s="3359"/>
      <c r="T48" s="3359">
        <f>G48</f>
        <v>39600</v>
      </c>
      <c r="U48" s="3359"/>
      <c r="V48" s="3359">
        <f>I48</f>
        <v>49000</v>
      </c>
      <c r="W48" s="3359"/>
      <c r="X48" s="405"/>
      <c r="Y48" s="721"/>
      <c r="Z48" s="405"/>
      <c r="AA48" s="405"/>
      <c r="AB48" s="405"/>
      <c r="AC48" s="586"/>
    </row>
    <row r="49" spans="1:29" ht="15.75" thickBot="1">
      <c r="A49" s="445" t="s">
        <v>2487</v>
      </c>
      <c r="B49" s="446"/>
      <c r="C49" s="1322">
        <f>R50</f>
        <v>43502</v>
      </c>
      <c r="D49" s="2538" t="s">
        <v>2877</v>
      </c>
      <c r="E49" s="1323">
        <f>R49</f>
        <v>45459</v>
      </c>
      <c r="F49" s="2539"/>
      <c r="G49" s="1322">
        <f>T49</f>
        <v>38854</v>
      </c>
      <c r="H49" s="2539"/>
      <c r="I49" s="1323">
        <f>V49</f>
        <v>46192</v>
      </c>
      <c r="J49" s="2539"/>
      <c r="K49" s="2541">
        <f>F49+H49+J49</f>
        <v>0</v>
      </c>
      <c r="L49" s="2950"/>
      <c r="M49" s="2942"/>
      <c r="N49" s="2942"/>
      <c r="O49" s="2942"/>
      <c r="P49" s="3340" t="str">
        <f>A49</f>
        <v>比较价值（元/平方米）</v>
      </c>
      <c r="Q49" s="3358"/>
      <c r="R49" s="3359">
        <f>IF(F1="售价",ROUND(PRODUCT(R48,AA7:AA47),0),ROUND(PRODUCT(R48,AA7:AA47),1))</f>
        <v>45459</v>
      </c>
      <c r="S49" s="3359"/>
      <c r="T49" s="3359">
        <f>IF(F1="售价",ROUND(PRODUCT(T48,AB7:AB47),0),ROUND(PRODUCT(T48,AB7:AB47),1))</f>
        <v>38854</v>
      </c>
      <c r="U49" s="3359"/>
      <c r="V49" s="3359">
        <f>IF(F1="售价",ROUND(PRODUCT(V48,AC7:AC47),0),ROUND(PRODUCT(V48,AC7:AC47),1))</f>
        <v>46192</v>
      </c>
      <c r="W49" s="3359"/>
      <c r="X49" s="405"/>
      <c r="Y49" s="405"/>
      <c r="Z49" s="405"/>
      <c r="AA49" s="405"/>
      <c r="AB49" s="405"/>
      <c r="AC49" s="586"/>
    </row>
    <row r="50" spans="1:29" ht="15.75" thickBot="1">
      <c r="A50" s="449" t="s">
        <v>2488</v>
      </c>
      <c r="B50" s="450"/>
      <c r="C50" s="1325">
        <f>R50</f>
        <v>43502</v>
      </c>
      <c r="D50" s="1325"/>
      <c r="E50" s="1325"/>
      <c r="F50" s="1325"/>
      <c r="G50" s="1325"/>
      <c r="H50" s="1325"/>
      <c r="I50" s="1325"/>
      <c r="J50" s="451"/>
      <c r="K50" s="724"/>
      <c r="L50" s="2950"/>
      <c r="M50" s="2942"/>
      <c r="N50" s="2942"/>
      <c r="O50" s="2942"/>
      <c r="P50" s="3382" t="str">
        <f>A50</f>
        <v>估价对象XX用房的比较价值（楼面单价，元/平方米）</v>
      </c>
      <c r="Q50" s="3383"/>
      <c r="R50" s="3384">
        <f>IF(F1="售价",ROUND(IF(D49="简单平均",AVERAGE(R49:V49),R49*F49+T49*H49+V49*J49),0),ROUND(IF(D49="简单平均",AVERAGE(R49:V49),R49*F49+T49*H49+V49*J49),1))</f>
        <v>43502</v>
      </c>
      <c r="S50" s="3384"/>
      <c r="T50" s="3384"/>
      <c r="U50" s="3384"/>
      <c r="V50" s="3384"/>
      <c r="W50" s="3384"/>
      <c r="X50" s="2132"/>
      <c r="Y50" s="2132"/>
      <c r="Z50" s="2132"/>
      <c r="AA50" s="2132"/>
      <c r="AB50" s="2132"/>
      <c r="AC50" s="2133"/>
    </row>
    <row r="51" spans="1:29">
      <c r="A51" s="2951"/>
      <c r="B51" s="2951"/>
      <c r="C51" s="2951"/>
      <c r="D51" s="2951">
        <v>0.99</v>
      </c>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2489</v>
      </c>
      <c r="D53" s="455"/>
      <c r="E53" s="456">
        <f>IF(E48&lt;E49,E49/E48-1,E48/E49-1)</f>
        <v>2.0404040404040424E-2</v>
      </c>
      <c r="F53" s="457" t="str">
        <f>IF(OR(E53&gt;=0.3,E53&lt;=-0.3),"超过30%","")</f>
        <v/>
      </c>
      <c r="G53" s="456">
        <f>IF(G48&lt;G49,G49/G48-1,G48/G49-1)</f>
        <v>1.9200082359602577E-2</v>
      </c>
      <c r="H53" s="457" t="str">
        <f>IF(OR(G53&gt;=0.3,G53&lt;=-0.3),"超过30%","")</f>
        <v/>
      </c>
      <c r="I53" s="456">
        <f>IF(I48&lt;I49,I49/I48-1,I48/I49-1)</f>
        <v>6.0789747142362405E-2</v>
      </c>
      <c r="J53" s="457" t="str">
        <f>IF(OR(I53&gt;=0.3,I53&lt;=-0.3),"超过30%","")</f>
        <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2490</v>
      </c>
      <c r="D54" s="458"/>
      <c r="E54" s="456">
        <f>IF(E49&lt;G49,G49/E49-1,E49/G49-1)</f>
        <v>0.16999536727235287</v>
      </c>
      <c r="F54" s="457" t="str">
        <f>IF(OR(E54&gt;=0.2,E54&lt;=-0.2),"超过20%","")</f>
        <v/>
      </c>
      <c r="G54" s="456">
        <f>IF(G49&lt;I49,I49/G49-1,G49/I49-1)</f>
        <v>0.18886086374633249</v>
      </c>
      <c r="H54" s="457" t="str">
        <f>IF(OR(G54&gt;=0.2,G54&lt;=-0.2),"超过20%","")</f>
        <v/>
      </c>
      <c r="I54" s="456">
        <f>IF(I49&lt;E49,E49/I49-1,I49/E49-1)</f>
        <v>1.6124419806858858E-2</v>
      </c>
      <c r="J54" s="457" t="str">
        <f>IF(OR(I54&gt;=0.2,I54&lt;=-0.2),"超过20%","")</f>
        <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2491</v>
      </c>
      <c r="D55" s="458"/>
      <c r="E55" s="456">
        <f>IF(E48&lt;G48,G48/E48-1,E48/G48-1)</f>
        <v>0.125</v>
      </c>
      <c r="F55" s="457" t="str">
        <f>IF(OR(E55&gt;=0.3,E55&lt;=-0.3),"超过30%","")</f>
        <v/>
      </c>
      <c r="G55" s="456">
        <f>IF(G48&lt;I48,I48/G48-1,G48/I48-1)</f>
        <v>0.23737373737373746</v>
      </c>
      <c r="H55" s="457" t="str">
        <f>IF(OR(G55&gt;=0.3,G55&lt;=-0.3),"超过30%","")</f>
        <v/>
      </c>
      <c r="I55" s="456">
        <f>IF(I48&lt;E48,E48/I48-1,I48/E48-1)</f>
        <v>9.9887766554433322E-2</v>
      </c>
      <c r="J55" s="457" t="str">
        <f>IF(OR(I55&gt;=0.3,I55&lt;=-0.3),"超过30%","")</f>
        <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2492</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2366</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5"/>
      <c r="Q59" s="2967"/>
      <c r="R59" s="2967"/>
      <c r="S59" s="2967"/>
      <c r="T59" s="2967"/>
      <c r="U59" s="2967"/>
      <c r="V59" s="2967"/>
      <c r="W59" s="2967"/>
      <c r="X59" s="2967"/>
      <c r="Y59" s="2967"/>
      <c r="Z59" s="2967"/>
      <c r="AA59" s="2967"/>
      <c r="AB59" s="2967"/>
      <c r="AC59" s="2967"/>
    </row>
    <row r="60" spans="1:29" s="113" customFormat="1" ht="15">
      <c r="A60" s="466"/>
      <c r="B60" s="467"/>
      <c r="C60" s="1345">
        <v>100</v>
      </c>
      <c r="D60" s="469">
        <f>C60-$C$61</f>
        <v>99.5</v>
      </c>
      <c r="E60" s="469">
        <f t="shared" ref="E60:M60" si="17">D60-$C$61</f>
        <v>99</v>
      </c>
      <c r="F60" s="469">
        <f t="shared" si="17"/>
        <v>98.5</v>
      </c>
      <c r="G60" s="469">
        <f t="shared" si="17"/>
        <v>98</v>
      </c>
      <c r="H60" s="469">
        <f t="shared" si="17"/>
        <v>97.5</v>
      </c>
      <c r="I60" s="469">
        <f t="shared" si="17"/>
        <v>97</v>
      </c>
      <c r="J60" s="469">
        <f t="shared" si="17"/>
        <v>96.5</v>
      </c>
      <c r="K60" s="469">
        <f t="shared" si="17"/>
        <v>96</v>
      </c>
      <c r="L60" s="469">
        <f t="shared" si="17"/>
        <v>95.5</v>
      </c>
      <c r="M60" s="469">
        <f t="shared" si="17"/>
        <v>95</v>
      </c>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2403</v>
      </c>
      <c r="B61" s="473"/>
      <c r="C61" s="474">
        <v>0.5</v>
      </c>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2368</v>
      </c>
      <c r="B62" s="467"/>
      <c r="C62" s="479" t="s">
        <v>2470</v>
      </c>
      <c r="D62" s="480"/>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2406</v>
      </c>
      <c r="B64" s="485" t="s">
        <v>2372</v>
      </c>
      <c r="C64" s="486" t="str">
        <f>C9</f>
        <v>办公</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2376</v>
      </c>
      <c r="C68" s="504" t="str">
        <f>C69&amp;"（含）"&amp;"-"&amp;D69</f>
        <v>0（含）-1</v>
      </c>
      <c r="D68" s="504" t="str">
        <f t="shared" ref="D68:L68" si="18">D69&amp;"（含）"&amp;"-"&amp;E69</f>
        <v>1（含）-2</v>
      </c>
      <c r="E68" s="504" t="str">
        <f t="shared" si="18"/>
        <v>2（含）-3</v>
      </c>
      <c r="F68" s="504" t="str">
        <f t="shared" si="18"/>
        <v>3（含）-4</v>
      </c>
      <c r="G68" s="504" t="str">
        <f t="shared" si="18"/>
        <v>4（含）-</v>
      </c>
      <c r="H68" s="504" t="str">
        <f t="shared" si="18"/>
        <v>（含）-</v>
      </c>
      <c r="I68" s="504" t="str">
        <f t="shared" si="18"/>
        <v>（含）-</v>
      </c>
      <c r="J68" s="504" t="str">
        <f t="shared" si="18"/>
        <v>（含）-</v>
      </c>
      <c r="K68" s="504" t="str">
        <f t="shared" si="18"/>
        <v>（含）-</v>
      </c>
      <c r="L68" s="504" t="str">
        <f t="shared" si="18"/>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v>0</v>
      </c>
      <c r="D69" s="506">
        <v>1</v>
      </c>
      <c r="E69" s="506">
        <v>2</v>
      </c>
      <c r="F69" s="506">
        <v>3</v>
      </c>
      <c r="G69" s="506">
        <v>4</v>
      </c>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9">C70-$K11</f>
        <v>98</v>
      </c>
      <c r="E70" s="501">
        <f t="shared" si="19"/>
        <v>96</v>
      </c>
      <c r="F70" s="501">
        <f t="shared" si="19"/>
        <v>94</v>
      </c>
      <c r="G70" s="501">
        <f t="shared" si="19"/>
        <v>92</v>
      </c>
      <c r="H70" s="501">
        <f t="shared" si="19"/>
        <v>90</v>
      </c>
      <c r="I70" s="501">
        <f t="shared" si="19"/>
        <v>88</v>
      </c>
      <c r="J70" s="501">
        <f t="shared" si="19"/>
        <v>86</v>
      </c>
      <c r="K70" s="501">
        <f t="shared" si="19"/>
        <v>84</v>
      </c>
      <c r="L70" s="501">
        <f t="shared" si="19"/>
        <v>82</v>
      </c>
      <c r="M70" s="502">
        <f t="shared" si="19"/>
        <v>80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2377</v>
      </c>
      <c r="B77" s="485" t="s">
        <v>2515</v>
      </c>
      <c r="C77" s="530" t="s">
        <v>2415</v>
      </c>
      <c r="D77" s="530" t="s">
        <v>2416</v>
      </c>
      <c r="E77" s="530" t="s">
        <v>2417</v>
      </c>
      <c r="F77" s="530" t="s">
        <v>2418</v>
      </c>
      <c r="G77" s="530" t="s">
        <v>2419</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98.5</v>
      </c>
      <c r="E78" s="501">
        <f>D78-$K15</f>
        <v>97</v>
      </c>
      <c r="F78" s="501">
        <f>E78-$K15</f>
        <v>95.5</v>
      </c>
      <c r="G78" s="501">
        <f>F78-$K15</f>
        <v>94</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2420</v>
      </c>
      <c r="C79" s="535" t="s">
        <v>2415</v>
      </c>
      <c r="D79" s="535" t="s">
        <v>2416</v>
      </c>
      <c r="E79" s="535" t="s">
        <v>2417</v>
      </c>
      <c r="F79" s="535" t="s">
        <v>2418</v>
      </c>
      <c r="G79" s="535" t="s">
        <v>2419</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97</v>
      </c>
      <c r="E80" s="501">
        <f>D80-$K17</f>
        <v>94</v>
      </c>
      <c r="F80" s="501">
        <f>E80-$K17</f>
        <v>91</v>
      </c>
      <c r="G80" s="501">
        <f>F80-$K17</f>
        <v>88</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2421</v>
      </c>
      <c r="C81" s="535" t="s">
        <v>2415</v>
      </c>
      <c r="D81" s="535" t="s">
        <v>2416</v>
      </c>
      <c r="E81" s="535" t="s">
        <v>2417</v>
      </c>
      <c r="F81" s="535" t="s">
        <v>2418</v>
      </c>
      <c r="G81" s="535" t="s">
        <v>2419</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97.5</v>
      </c>
      <c r="E82" s="501">
        <f>D82-$K19</f>
        <v>95</v>
      </c>
      <c r="F82" s="501">
        <f>E82-$K19</f>
        <v>92.5</v>
      </c>
      <c r="G82" s="501">
        <f>F82-$K19</f>
        <v>90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2507</v>
      </c>
      <c r="C83" s="616" t="s">
        <v>2493</v>
      </c>
      <c r="D83" s="616" t="s">
        <v>2494</v>
      </c>
      <c r="E83" s="616" t="s">
        <v>2495</v>
      </c>
      <c r="F83" s="616" t="s">
        <v>2496</v>
      </c>
      <c r="G83" s="616" t="s">
        <v>2497</v>
      </c>
      <c r="H83" s="496"/>
      <c r="I83" s="496"/>
      <c r="J83" s="496"/>
      <c r="K83" s="496"/>
      <c r="L83" s="496"/>
      <c r="M83" s="1291"/>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98.5</v>
      </c>
      <c r="E84" s="501">
        <f>D84-$K21</f>
        <v>97</v>
      </c>
      <c r="F84" s="501">
        <f>E84-$K21</f>
        <v>95.5</v>
      </c>
      <c r="G84" s="501">
        <f>F84-$K21</f>
        <v>94</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2516</v>
      </c>
      <c r="C85" s="535" t="s">
        <v>2415</v>
      </c>
      <c r="D85" s="535" t="s">
        <v>2416</v>
      </c>
      <c r="E85" s="535" t="s">
        <v>2417</v>
      </c>
      <c r="F85" s="535" t="s">
        <v>2418</v>
      </c>
      <c r="G85" s="535" t="s">
        <v>2419</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98.5</v>
      </c>
      <c r="E86" s="501">
        <f>D86-$K23</f>
        <v>97</v>
      </c>
      <c r="F86" s="501">
        <f>E86-$K23</f>
        <v>95.5</v>
      </c>
      <c r="G86" s="501">
        <f>F86-$K23</f>
        <v>94</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2517</v>
      </c>
      <c r="C87" s="511" t="s">
        <v>3125</v>
      </c>
      <c r="D87" s="511" t="s">
        <v>3126</v>
      </c>
      <c r="E87" s="511" t="s">
        <v>3127</v>
      </c>
      <c r="F87" s="511" t="s">
        <v>3128</v>
      </c>
      <c r="G87" s="511" t="s">
        <v>3129</v>
      </c>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20">C88-$K25</f>
        <v>98.5</v>
      </c>
      <c r="E88" s="501">
        <f t="shared" si="20"/>
        <v>97</v>
      </c>
      <c r="F88" s="501">
        <f t="shared" si="20"/>
        <v>95.5</v>
      </c>
      <c r="G88" s="501">
        <f t="shared" si="20"/>
        <v>94</v>
      </c>
      <c r="H88" s="501">
        <f t="shared" si="20"/>
        <v>92.5</v>
      </c>
      <c r="I88" s="501">
        <f t="shared" si="20"/>
        <v>91</v>
      </c>
      <c r="J88" s="501">
        <f t="shared" si="20"/>
        <v>89.5</v>
      </c>
      <c r="K88" s="501">
        <f t="shared" si="20"/>
        <v>88</v>
      </c>
      <c r="L88" s="501">
        <f t="shared" si="20"/>
        <v>86.5</v>
      </c>
      <c r="M88" s="501">
        <f t="shared" si="20"/>
        <v>85</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t="s">
        <v>3130</v>
      </c>
      <c r="D89" s="511" t="s">
        <v>3131</v>
      </c>
      <c r="E89" s="511" t="s">
        <v>3132</v>
      </c>
      <c r="F89" s="2113"/>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98</v>
      </c>
      <c r="E90" s="501">
        <f t="shared" ref="E90:M90" si="21">D90-$K27</f>
        <v>96</v>
      </c>
      <c r="F90" s="501">
        <f t="shared" si="21"/>
        <v>94</v>
      </c>
      <c r="G90" s="501">
        <f t="shared" si="21"/>
        <v>92</v>
      </c>
      <c r="H90" s="501">
        <f t="shared" si="21"/>
        <v>90</v>
      </c>
      <c r="I90" s="501">
        <f t="shared" si="21"/>
        <v>88</v>
      </c>
      <c r="J90" s="501">
        <f t="shared" si="21"/>
        <v>86</v>
      </c>
      <c r="K90" s="501">
        <f t="shared" si="21"/>
        <v>84</v>
      </c>
      <c r="L90" s="501">
        <f t="shared" si="21"/>
        <v>82</v>
      </c>
      <c r="M90" s="501">
        <f t="shared" si="21"/>
        <v>80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4"/>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2381</v>
      </c>
      <c r="B101" s="485" t="s">
        <v>2430</v>
      </c>
      <c r="C101" s="3102" t="s">
        <v>3157</v>
      </c>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3">C102-$K33</f>
        <v>98.5</v>
      </c>
      <c r="E102" s="501">
        <f t="shared" si="23"/>
        <v>97</v>
      </c>
      <c r="F102" s="501">
        <f t="shared" si="23"/>
        <v>95.5</v>
      </c>
      <c r="G102" s="501">
        <f t="shared" si="23"/>
        <v>94</v>
      </c>
      <c r="H102" s="501">
        <f t="shared" si="23"/>
        <v>92.5</v>
      </c>
      <c r="I102" s="501">
        <f t="shared" si="23"/>
        <v>91</v>
      </c>
      <c r="J102" s="501">
        <f t="shared" si="23"/>
        <v>89.5</v>
      </c>
      <c r="K102" s="501">
        <f t="shared" si="23"/>
        <v>88</v>
      </c>
      <c r="L102" s="501">
        <f t="shared" si="23"/>
        <v>86.5</v>
      </c>
      <c r="M102" s="502">
        <f t="shared" si="23"/>
        <v>85</v>
      </c>
      <c r="N102" s="2980"/>
      <c r="O102" s="2980"/>
      <c r="P102" s="2988"/>
      <c r="Q102" s="2965"/>
      <c r="R102" s="2951"/>
      <c r="S102" s="2951"/>
      <c r="T102" s="2951"/>
      <c r="U102" s="2951"/>
      <c r="V102" s="2951"/>
      <c r="W102" s="2951"/>
      <c r="X102" s="2951"/>
      <c r="Y102" s="2951"/>
      <c r="Z102" s="2951"/>
      <c r="AA102" s="2951"/>
      <c r="AB102" s="2951"/>
      <c r="AC102" s="2951"/>
    </row>
    <row r="103" spans="1:29" ht="29.25" thickTop="1">
      <c r="A103" s="491"/>
      <c r="B103" s="495" t="s">
        <v>2431</v>
      </c>
      <c r="C103" s="535" t="str">
        <f>C104&amp;"(含)"&amp;"-"&amp;D104</f>
        <v>100(含)-500</v>
      </c>
      <c r="D103" s="535" t="str">
        <f t="shared" ref="D103:L103" si="24">D104&amp;"(含)"&amp;"-"&amp;E104</f>
        <v>500(含)-2000</v>
      </c>
      <c r="E103" s="535" t="str">
        <f t="shared" si="24"/>
        <v>2000(含)-5000</v>
      </c>
      <c r="F103" s="535" t="str">
        <f t="shared" si="24"/>
        <v>5000(含)-10000</v>
      </c>
      <c r="G103" s="535" t="str">
        <f t="shared" si="24"/>
        <v>10000(含)-15000</v>
      </c>
      <c r="H103" s="535" t="str">
        <f t="shared" si="24"/>
        <v>15000(含)-</v>
      </c>
      <c r="I103" s="535" t="str">
        <f t="shared" si="24"/>
        <v>(含)-</v>
      </c>
      <c r="J103" s="535" t="str">
        <f t="shared" si="24"/>
        <v>(含)-</v>
      </c>
      <c r="K103" s="535" t="str">
        <f t="shared" si="24"/>
        <v>(含)-</v>
      </c>
      <c r="L103" s="535" t="str">
        <f t="shared" si="24"/>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v>100</v>
      </c>
      <c r="D104" s="552">
        <v>500</v>
      </c>
      <c r="E104" s="552">
        <v>2000</v>
      </c>
      <c r="F104" s="552">
        <v>5000</v>
      </c>
      <c r="G104" s="552">
        <v>10000</v>
      </c>
      <c r="H104" s="552">
        <v>15000</v>
      </c>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v>100</v>
      </c>
      <c r="D105" s="493">
        <v>102</v>
      </c>
      <c r="E105" s="493">
        <v>104</v>
      </c>
      <c r="F105" s="493">
        <v>106</v>
      </c>
      <c r="G105" s="493">
        <v>108</v>
      </c>
      <c r="H105" s="493">
        <v>110</v>
      </c>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2432</v>
      </c>
      <c r="C106" s="511" t="s">
        <v>3114</v>
      </c>
      <c r="D106" s="511" t="s">
        <v>3133</v>
      </c>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2434</v>
      </c>
      <c r="C108" s="3097" t="s">
        <v>3135</v>
      </c>
      <c r="D108" s="3097" t="s">
        <v>3136</v>
      </c>
      <c r="E108" s="3097" t="s">
        <v>3137</v>
      </c>
      <c r="F108" s="3098" t="s">
        <v>3138</v>
      </c>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102</v>
      </c>
      <c r="E112" s="501">
        <f t="shared" ref="E112:M112" si="27">D112+$K37</f>
        <v>104</v>
      </c>
      <c r="F112" s="501">
        <f t="shared" si="27"/>
        <v>106</v>
      </c>
      <c r="G112" s="501">
        <f t="shared" si="27"/>
        <v>108</v>
      </c>
      <c r="H112" s="501">
        <f t="shared" si="27"/>
        <v>110</v>
      </c>
      <c r="I112" s="501">
        <f t="shared" si="27"/>
        <v>112</v>
      </c>
      <c r="J112" s="501">
        <f t="shared" si="27"/>
        <v>114</v>
      </c>
      <c r="K112" s="501">
        <f t="shared" si="27"/>
        <v>116</v>
      </c>
      <c r="L112" s="501">
        <f t="shared" si="27"/>
        <v>118</v>
      </c>
      <c r="M112" s="501">
        <f t="shared" si="27"/>
        <v>120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2518</v>
      </c>
      <c r="C113" s="511" t="s">
        <v>3139</v>
      </c>
      <c r="D113" s="511" t="s">
        <v>3140</v>
      </c>
      <c r="E113" s="511" t="s">
        <v>3141</v>
      </c>
      <c r="F113" s="511" t="s">
        <v>3142</v>
      </c>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96</v>
      </c>
      <c r="E114" s="501">
        <f t="shared" ref="E114:M114" si="28">D114-$K38</f>
        <v>92</v>
      </c>
      <c r="F114" s="501">
        <f t="shared" si="28"/>
        <v>88</v>
      </c>
      <c r="G114" s="501">
        <f t="shared" si="28"/>
        <v>84</v>
      </c>
      <c r="H114" s="501">
        <f t="shared" si="28"/>
        <v>80</v>
      </c>
      <c r="I114" s="501">
        <f t="shared" si="28"/>
        <v>76</v>
      </c>
      <c r="J114" s="501">
        <f t="shared" si="28"/>
        <v>72</v>
      </c>
      <c r="K114" s="501">
        <f t="shared" si="28"/>
        <v>68</v>
      </c>
      <c r="L114" s="501">
        <f t="shared" si="28"/>
        <v>64</v>
      </c>
      <c r="M114" s="501">
        <f t="shared" si="28"/>
        <v>60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2435</v>
      </c>
      <c r="C115" s="511" t="s">
        <v>3143</v>
      </c>
      <c r="D115" s="511" t="s">
        <v>3144</v>
      </c>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9">C116-$K39</f>
        <v>97</v>
      </c>
      <c r="E116" s="501">
        <f t="shared" si="29"/>
        <v>94</v>
      </c>
      <c r="F116" s="501">
        <f t="shared" si="29"/>
        <v>91</v>
      </c>
      <c r="G116" s="501">
        <f t="shared" si="29"/>
        <v>88</v>
      </c>
      <c r="H116" s="501">
        <f t="shared" si="29"/>
        <v>85</v>
      </c>
      <c r="I116" s="501">
        <f t="shared" si="29"/>
        <v>82</v>
      </c>
      <c r="J116" s="501">
        <f t="shared" si="29"/>
        <v>79</v>
      </c>
      <c r="K116" s="501">
        <f t="shared" si="29"/>
        <v>76</v>
      </c>
      <c r="L116" s="501">
        <f t="shared" si="29"/>
        <v>73</v>
      </c>
      <c r="M116" s="502">
        <f t="shared" si="29"/>
        <v>70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2436</v>
      </c>
      <c r="C117" s="511" t="s">
        <v>3124</v>
      </c>
      <c r="D117" s="511" t="s">
        <v>3145</v>
      </c>
      <c r="E117" s="511" t="s">
        <v>3146</v>
      </c>
      <c r="F117" s="511" t="s">
        <v>3147</v>
      </c>
      <c r="G117" s="3097" t="s">
        <v>3148</v>
      </c>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2519</v>
      </c>
      <c r="C119" s="540" t="s">
        <v>3149</v>
      </c>
      <c r="D119" s="540" t="s">
        <v>3150</v>
      </c>
      <c r="E119" s="540"/>
      <c r="F119" s="540"/>
      <c r="G119" s="540"/>
      <c r="H119" s="540"/>
      <c r="I119" s="540"/>
      <c r="J119" s="540"/>
      <c r="K119" s="540"/>
      <c r="L119" s="2154"/>
      <c r="M119" s="2155"/>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2502</v>
      </c>
      <c r="C121" s="511" t="str">
        <f>[1]典型户型修正!C2</f>
        <v>0(含)-100</v>
      </c>
      <c r="D121" s="511" t="str">
        <f>[1]典型户型修正!D2</f>
        <v>100(含)-150</v>
      </c>
      <c r="E121" s="511" t="str">
        <f>[1]典型户型修正!E2</f>
        <v>150(含)-200</v>
      </c>
      <c r="F121" s="511" t="str">
        <f>[1]典型户型修正!F2</f>
        <v>200(含)-250</v>
      </c>
      <c r="G121" s="511" t="str">
        <f>[1]典型户型修正!G2</f>
        <v>250(含)-300</v>
      </c>
      <c r="H121" s="511" t="str">
        <f>[1]典型户型修正!H2</f>
        <v>300(含)-500</v>
      </c>
      <c r="I121" s="511" t="str">
        <f>[1]典型户型修正!I2</f>
        <v>500(含)-750</v>
      </c>
      <c r="J121" s="511" t="str">
        <f>[1]典型户型修正!J2</f>
        <v>750(含)-1000</v>
      </c>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f>[1]典型户型修正!C4</f>
        <v>92</v>
      </c>
      <c r="D122" s="517">
        <f>[1]典型户型修正!D4</f>
        <v>94</v>
      </c>
      <c r="E122" s="517">
        <f>[1]典型户型修正!E4</f>
        <v>96</v>
      </c>
      <c r="F122" s="517">
        <f>[1]典型户型修正!F4</f>
        <v>98</v>
      </c>
      <c r="G122" s="517">
        <f>[1]典型户型修正!G4</f>
        <v>100</v>
      </c>
      <c r="H122" s="517">
        <f>[1]典型户型修正!H4</f>
        <v>98</v>
      </c>
      <c r="I122" s="517">
        <f>[1]典型户型修正!I4</f>
        <v>96</v>
      </c>
      <c r="J122" s="517">
        <f>[1]典型户型修正!J4</f>
        <v>94</v>
      </c>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2438</v>
      </c>
      <c r="C123" s="3097" t="s">
        <v>3155</v>
      </c>
      <c r="D123" s="3097" t="s">
        <v>3135</v>
      </c>
      <c r="E123" s="3097" t="s">
        <v>3136</v>
      </c>
      <c r="F123" s="3097" t="s">
        <v>3137</v>
      </c>
      <c r="G123" s="3098" t="s">
        <v>3138</v>
      </c>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1">C124-$K43</f>
        <v>96</v>
      </c>
      <c r="E124" s="501">
        <f t="shared" si="31"/>
        <v>92</v>
      </c>
      <c r="F124" s="501">
        <f t="shared" si="31"/>
        <v>88</v>
      </c>
      <c r="G124" s="501">
        <f t="shared" si="31"/>
        <v>84</v>
      </c>
      <c r="H124" s="501">
        <f t="shared" si="31"/>
        <v>80</v>
      </c>
      <c r="I124" s="501">
        <f t="shared" si="31"/>
        <v>76</v>
      </c>
      <c r="J124" s="501">
        <f t="shared" si="31"/>
        <v>72</v>
      </c>
      <c r="K124" s="501">
        <f t="shared" si="31"/>
        <v>68</v>
      </c>
      <c r="L124" s="501">
        <f t="shared" si="31"/>
        <v>64</v>
      </c>
      <c r="M124" s="502">
        <f t="shared" si="31"/>
        <v>60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4"/>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准信智慧消防股份有限公司：</v>
      </c>
    </row>
    <row r="4" spans="1:1" ht="36">
      <c r="A4" s="1665" t="str">
        <f>"受贵公司委托，我公司对"&amp;项目基本情况!S1&amp;"进行了预评估。"</f>
        <v>受贵公司委托，我公司对北京市西城区西直门外大街1号院2号楼17层19C5-19C13共9套办公用房房地产抵押价值进行了预评估。</v>
      </c>
    </row>
    <row r="5" spans="1:1" ht="18.75">
      <c r="A5" s="1666" t="s">
        <v>1577</v>
      </c>
    </row>
    <row r="6" spans="1:1" ht="18.75">
      <c r="A6" s="1667" t="s">
        <v>1578</v>
      </c>
    </row>
    <row r="7" spans="1:1" ht="7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1号院2号楼17层19C5-19C13共9套办公用房房地产，为准信智慧消防股份有限公司所有。根据《国有土地使用证》[]，估价对象（分摊）出让国有建设用地使用权面积为0平方米，建筑面积为1141.77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1号院2号楼17层19C5-19C13共9套办公用房房地产,属准信智慧消防股份有限公司开发建设的办公项目，该项目尚在开发建设中。根据《国有土地使用证》[]，估价对象（分摊）出让国有建设用地使用权面积为0平方米，规划建筑面积为1141.77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为估价委托人在向中国银行股份有限公司厦门开元分行办理贷款手续过程中，确定房地产抵押贷款额度提供参考依据而评估房地产抵押价值。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2021年6月23日（评估专业人员实地查勘之日）</v>
      </c>
    </row>
    <row r="16" spans="1:1" ht="18.75">
      <c r="A16" s="1670" t="s">
        <v>1584</v>
      </c>
    </row>
    <row r="17" spans="1:1" ht="75">
      <c r="A17" s="1665" t="s">
        <v>1585</v>
      </c>
    </row>
    <row r="18" spans="1:1" ht="72">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23日，估价对象规划用途为办公用房，土地取得方式为出让，出让国有建设用地使用权剩余土地使用年限为办公33.18年，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用房，实际开发程度为宗地红线外“七通”（即通路、通电、通讯、通上水、通下水、、）、红线内场地平整条件下，剩余土地使用年限为办公33.18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3" t="s">
        <v>2520</v>
      </c>
      <c r="C1" s="1392" t="s">
        <v>2348</v>
      </c>
      <c r="D1" s="1393"/>
      <c r="E1" s="1402"/>
      <c r="F1" s="2065"/>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2145</v>
      </c>
      <c r="B2" s="1326" t="e">
        <f ca="1">IF(C2="——",ROUND(C43*D3/10000,0),ROUND(C43*D3/10000,0)-D2)</f>
        <v>#DIV/0!</v>
      </c>
      <c r="C2" s="2067"/>
      <c r="D2" s="1038" t="e">
        <f ca="1">SUMIF(INDIRECT("'"&amp;F2&amp;"'"&amp;"!A:A"),"承租人权益价值",INDIRECT("'"&amp;F2&amp;"'"&amp;"!c:c"))</f>
        <v>#REF!</v>
      </c>
      <c r="E2" s="2068" t="s">
        <v>2146</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2462</v>
      </c>
      <c r="D3" s="359">
        <f>IF(D1="",'数据-汇总表'!E3,SUMIF('数据-汇总表'!$C19:$C33,D1,'数据-汇总表'!$E19:$E33))</f>
        <v>1141.77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2463</v>
      </c>
      <c r="B4" s="362"/>
      <c r="C4" s="3341" t="s">
        <v>2464</v>
      </c>
      <c r="D4" s="3342"/>
      <c r="E4" s="3343" t="s">
        <v>2465</v>
      </c>
      <c r="F4" s="3344"/>
      <c r="G4" s="3341" t="s">
        <v>2466</v>
      </c>
      <c r="H4" s="3342"/>
      <c r="I4" s="3341" t="s">
        <v>2467</v>
      </c>
      <c r="J4" s="3342"/>
      <c r="K4" s="567" t="s">
        <v>2468</v>
      </c>
      <c r="L4" s="1044"/>
      <c r="M4" s="1045"/>
      <c r="N4" s="1045"/>
      <c r="O4" s="1045"/>
      <c r="P4" s="3345" t="s">
        <v>2469</v>
      </c>
      <c r="Q4" s="3346"/>
      <c r="R4" s="3328" t="s">
        <v>2465</v>
      </c>
      <c r="S4" s="3329"/>
      <c r="T4" s="3328" t="s">
        <v>2466</v>
      </c>
      <c r="U4" s="3329"/>
      <c r="V4" s="3353" t="s">
        <v>2467</v>
      </c>
      <c r="W4" s="3353"/>
      <c r="X4" s="1539"/>
      <c r="Y4" s="3328" t="s">
        <v>2469</v>
      </c>
      <c r="Z4" s="3329"/>
      <c r="AA4" s="3323" t="s">
        <v>2465</v>
      </c>
      <c r="AB4" s="3324" t="s">
        <v>2466</v>
      </c>
      <c r="AC4" s="3323" t="s">
        <v>2467</v>
      </c>
    </row>
    <row r="5" spans="1:29" ht="15">
      <c r="A5" s="364"/>
      <c r="B5" s="365"/>
      <c r="C5" s="3334" t="s">
        <v>2360</v>
      </c>
      <c r="D5" s="3335"/>
      <c r="E5" s="3332" t="s">
        <v>2361</v>
      </c>
      <c r="F5" s="3333"/>
      <c r="G5" s="3334" t="s">
        <v>2362</v>
      </c>
      <c r="H5" s="3335"/>
      <c r="I5" s="3334" t="s">
        <v>2363</v>
      </c>
      <c r="J5" s="3335"/>
      <c r="K5" s="567"/>
      <c r="L5" s="1044"/>
      <c r="M5" s="1045"/>
      <c r="N5" s="1045"/>
      <c r="O5" s="1045"/>
      <c r="P5" s="3347"/>
      <c r="Q5" s="3348"/>
      <c r="R5" s="3330"/>
      <c r="S5" s="3331"/>
      <c r="T5" s="3330"/>
      <c r="U5" s="3331"/>
      <c r="V5" s="3353"/>
      <c r="W5" s="3353"/>
      <c r="X5" s="1539"/>
      <c r="Y5" s="3330"/>
      <c r="Z5" s="3331"/>
      <c r="AA5" s="3324"/>
      <c r="AB5" s="3324"/>
      <c r="AC5" s="3324"/>
    </row>
    <row r="6" spans="1:29" ht="15.75" thickBot="1">
      <c r="A6" s="366"/>
      <c r="B6" s="367"/>
      <c r="C6" s="3336" t="s">
        <v>2364</v>
      </c>
      <c r="D6" s="3337"/>
      <c r="E6" s="3338" t="s">
        <v>2364</v>
      </c>
      <c r="F6" s="3339"/>
      <c r="G6" s="3336" t="s">
        <v>2364</v>
      </c>
      <c r="H6" s="3337"/>
      <c r="I6" s="3336" t="s">
        <v>2364</v>
      </c>
      <c r="J6" s="3337"/>
      <c r="K6" s="567" t="s">
        <v>2365</v>
      </c>
      <c r="L6" s="1044"/>
      <c r="M6" s="1045"/>
      <c r="N6" s="1045"/>
      <c r="O6" s="1045"/>
      <c r="P6" s="3349"/>
      <c r="Q6" s="3350"/>
      <c r="R6" s="3330"/>
      <c r="S6" s="3331"/>
      <c r="T6" s="3351"/>
      <c r="U6" s="3352"/>
      <c r="V6" s="3353"/>
      <c r="W6" s="3353"/>
      <c r="X6" s="1539"/>
      <c r="Y6" s="3351"/>
      <c r="Z6" s="3352"/>
      <c r="AA6" s="3325"/>
      <c r="AB6" s="3325"/>
      <c r="AC6" s="3325"/>
    </row>
    <row r="7" spans="1:29" s="113" customFormat="1" ht="15.75" thickBot="1">
      <c r="A7" s="368" t="s">
        <v>2366</v>
      </c>
      <c r="B7" s="369"/>
      <c r="C7" s="370">
        <f>'数据-取费表'!B2</f>
        <v>44370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6" t="s">
        <v>2367</v>
      </c>
      <c r="Q7" s="3354"/>
      <c r="R7" s="710" t="s">
        <v>17</v>
      </c>
      <c r="S7" s="711">
        <f t="shared" ref="S7:S15" si="0">F7</f>
        <v>0</v>
      </c>
      <c r="T7" s="710" t="s">
        <v>17</v>
      </c>
      <c r="U7" s="711">
        <f t="shared" ref="U7:U15" si="1">H7</f>
        <v>0</v>
      </c>
      <c r="V7" s="710" t="s">
        <v>17</v>
      </c>
      <c r="W7" s="711">
        <f t="shared" ref="W7:W15" si="2">J7</f>
        <v>0</v>
      </c>
      <c r="X7" s="712"/>
      <c r="Y7" s="3326" t="s">
        <v>2367</v>
      </c>
      <c r="Z7" s="3327"/>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6" t="s">
        <v>2370</v>
      </c>
      <c r="Q8" s="3327"/>
      <c r="R8" s="710" t="s">
        <v>17</v>
      </c>
      <c r="S8" s="711">
        <f t="shared" si="0"/>
        <v>0</v>
      </c>
      <c r="T8" s="710" t="s">
        <v>17</v>
      </c>
      <c r="U8" s="711">
        <f t="shared" si="1"/>
        <v>0</v>
      </c>
      <c r="V8" s="710" t="s">
        <v>17</v>
      </c>
      <c r="W8" s="711">
        <f t="shared" si="2"/>
        <v>0</v>
      </c>
      <c r="X8" s="712"/>
      <c r="Y8" s="3326" t="s">
        <v>2370</v>
      </c>
      <c r="Z8" s="3327"/>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58" t="s">
        <v>2373</v>
      </c>
      <c r="Q9" s="1527" t="str">
        <f t="shared" ref="Q9:Q15" si="6">B9</f>
        <v>用途</v>
      </c>
      <c r="R9" s="710" t="s">
        <v>17</v>
      </c>
      <c r="S9" s="711">
        <f t="shared" si="0"/>
        <v>100</v>
      </c>
      <c r="T9" s="710" t="s">
        <v>17</v>
      </c>
      <c r="U9" s="711">
        <f t="shared" si="1"/>
        <v>100</v>
      </c>
      <c r="V9" s="710" t="s">
        <v>17</v>
      </c>
      <c r="W9" s="711">
        <f t="shared" si="2"/>
        <v>100</v>
      </c>
      <c r="X9" s="712"/>
      <c r="Y9" s="3268"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58"/>
      <c r="Q10" s="1527" t="str">
        <f t="shared" si="6"/>
        <v>土地使用年限（年）</v>
      </c>
      <c r="R10" s="710" t="s">
        <v>17</v>
      </c>
      <c r="S10" s="711">
        <f t="shared" si="0"/>
        <v>100</v>
      </c>
      <c r="T10" s="710" t="s">
        <v>17</v>
      </c>
      <c r="U10" s="711">
        <f t="shared" si="1"/>
        <v>100</v>
      </c>
      <c r="V10" s="710" t="s">
        <v>17</v>
      </c>
      <c r="W10" s="711">
        <f t="shared" si="2"/>
        <v>100</v>
      </c>
      <c r="X10" s="712"/>
      <c r="Y10" s="3268"/>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58"/>
      <c r="Q11" s="1527" t="str">
        <f t="shared" si="6"/>
        <v>容积率</v>
      </c>
      <c r="R11" s="710" t="s">
        <v>17</v>
      </c>
      <c r="S11" s="711" t="e">
        <f t="shared" si="0"/>
        <v>#N/A</v>
      </c>
      <c r="T11" s="710" t="s">
        <v>17</v>
      </c>
      <c r="U11" s="711" t="e">
        <f t="shared" si="1"/>
        <v>#N/A</v>
      </c>
      <c r="V11" s="710" t="s">
        <v>17</v>
      </c>
      <c r="W11" s="711" t="e">
        <f t="shared" si="2"/>
        <v>#N/A</v>
      </c>
      <c r="X11" s="712"/>
      <c r="Y11" s="326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58"/>
      <c r="Q12" s="1527">
        <f t="shared" si="6"/>
        <v>111</v>
      </c>
      <c r="R12" s="710" t="s">
        <v>17</v>
      </c>
      <c r="S12" s="711">
        <f t="shared" si="0"/>
        <v>100</v>
      </c>
      <c r="T12" s="710" t="s">
        <v>17</v>
      </c>
      <c r="U12" s="711">
        <f t="shared" si="1"/>
        <v>100</v>
      </c>
      <c r="V12" s="710" t="s">
        <v>17</v>
      </c>
      <c r="W12" s="711">
        <f t="shared" si="2"/>
        <v>100</v>
      </c>
      <c r="X12" s="712"/>
      <c r="Y12" s="3268"/>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58"/>
      <c r="Q13" s="1527">
        <f t="shared" si="6"/>
        <v>111</v>
      </c>
      <c r="R13" s="710" t="s">
        <v>17</v>
      </c>
      <c r="S13" s="711">
        <f t="shared" si="0"/>
        <v>100</v>
      </c>
      <c r="T13" s="710" t="s">
        <v>17</v>
      </c>
      <c r="U13" s="711">
        <f t="shared" si="1"/>
        <v>100</v>
      </c>
      <c r="V13" s="710" t="s">
        <v>17</v>
      </c>
      <c r="W13" s="711">
        <f t="shared" si="2"/>
        <v>100</v>
      </c>
      <c r="X13" s="712"/>
      <c r="Y13" s="3268"/>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58"/>
      <c r="Q14" s="1527">
        <f t="shared" si="6"/>
        <v>111</v>
      </c>
      <c r="R14" s="710" t="s">
        <v>17</v>
      </c>
      <c r="S14" s="711">
        <f t="shared" si="0"/>
        <v>100</v>
      </c>
      <c r="T14" s="710" t="s">
        <v>17</v>
      </c>
      <c r="U14" s="711">
        <f t="shared" si="1"/>
        <v>100</v>
      </c>
      <c r="V14" s="710" t="s">
        <v>17</v>
      </c>
      <c r="W14" s="711">
        <f t="shared" si="2"/>
        <v>100</v>
      </c>
      <c r="X14" s="712"/>
      <c r="Y14" s="3268"/>
      <c r="Z14" s="55">
        <f t="shared" si="7"/>
        <v>111</v>
      </c>
      <c r="AA14" s="713">
        <f t="shared" si="3"/>
        <v>1</v>
      </c>
      <c r="AB14" s="713">
        <f t="shared" si="4"/>
        <v>1</v>
      </c>
      <c r="AC14" s="713">
        <f t="shared" si="5"/>
        <v>1</v>
      </c>
    </row>
    <row r="15" spans="1:29" ht="57">
      <c r="A15" s="399" t="s">
        <v>2377</v>
      </c>
      <c r="B15" s="65" t="s">
        <v>2521</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60" t="s">
        <v>2378</v>
      </c>
      <c r="Q15" s="1536" t="str">
        <f t="shared" si="6"/>
        <v>产业集聚程度</v>
      </c>
      <c r="R15" s="714" t="s">
        <v>17</v>
      </c>
      <c r="S15" s="715">
        <f t="shared" si="0"/>
        <v>100</v>
      </c>
      <c r="T15" s="714" t="s">
        <v>17</v>
      </c>
      <c r="U15" s="715">
        <f t="shared" si="1"/>
        <v>100</v>
      </c>
      <c r="V15" s="714" t="s">
        <v>17</v>
      </c>
      <c r="W15" s="715">
        <f t="shared" si="2"/>
        <v>100</v>
      </c>
      <c r="X15" s="1539"/>
      <c r="Y15" s="3360" t="s">
        <v>2378</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61"/>
      <c r="Q16" s="1536"/>
      <c r="R16" s="714"/>
      <c r="S16" s="715"/>
      <c r="T16" s="714"/>
      <c r="U16" s="715"/>
      <c r="V16" s="714"/>
      <c r="W16" s="715"/>
      <c r="X16" s="1539"/>
      <c r="Y16" s="3361"/>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61"/>
      <c r="Q17" s="1536" t="str">
        <f>B17</f>
        <v>交通便捷度</v>
      </c>
      <c r="R17" s="714" t="s">
        <v>17</v>
      </c>
      <c r="S17" s="715">
        <f>F17</f>
        <v>100</v>
      </c>
      <c r="T17" s="714" t="s">
        <v>17</v>
      </c>
      <c r="U17" s="715">
        <f>H17</f>
        <v>100</v>
      </c>
      <c r="V17" s="714" t="s">
        <v>17</v>
      </c>
      <c r="W17" s="715">
        <f>J17</f>
        <v>100</v>
      </c>
      <c r="X17" s="1539"/>
      <c r="Y17" s="336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61"/>
      <c r="Q18" s="1536"/>
      <c r="R18" s="714"/>
      <c r="S18" s="715"/>
      <c r="T18" s="714"/>
      <c r="U18" s="715"/>
      <c r="V18" s="714"/>
      <c r="W18" s="715"/>
      <c r="X18" s="1539"/>
      <c r="Y18" s="3361"/>
      <c r="Z18" s="1540"/>
      <c r="AA18" s="1537">
        <v>1</v>
      </c>
      <c r="AB18" s="1537">
        <v>1</v>
      </c>
      <c r="AC18" s="1537">
        <v>1</v>
      </c>
    </row>
    <row r="19" spans="1:29" ht="42.75">
      <c r="A19" s="387"/>
      <c r="B19" s="410" t="s">
        <v>2506</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61"/>
      <c r="Q19" s="1536" t="str">
        <f>B19</f>
        <v>公共配套设施</v>
      </c>
      <c r="R19" s="714" t="s">
        <v>17</v>
      </c>
      <c r="S19" s="715">
        <f>F19</f>
        <v>100</v>
      </c>
      <c r="T19" s="714" t="s">
        <v>17</v>
      </c>
      <c r="U19" s="715">
        <f>H19</f>
        <v>100</v>
      </c>
      <c r="V19" s="714" t="s">
        <v>17</v>
      </c>
      <c r="W19" s="715">
        <f>J19</f>
        <v>100</v>
      </c>
      <c r="X19" s="1539"/>
      <c r="Y19" s="336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61"/>
      <c r="Q20" s="1536"/>
      <c r="R20" s="714"/>
      <c r="S20" s="715"/>
      <c r="T20" s="714"/>
      <c r="U20" s="715"/>
      <c r="V20" s="714"/>
      <c r="W20" s="715"/>
      <c r="X20" s="1539"/>
      <c r="Y20" s="3361"/>
      <c r="Z20" s="1540"/>
      <c r="AA20" s="1537">
        <v>1</v>
      </c>
      <c r="AB20" s="1537">
        <v>1</v>
      </c>
      <c r="AC20" s="1537">
        <v>1</v>
      </c>
    </row>
    <row r="21" spans="1:29" ht="28.5">
      <c r="A21" s="387"/>
      <c r="B21" s="1293" t="s">
        <v>2507</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61"/>
      <c r="Q21" s="1536" t="str">
        <f>B21</f>
        <v>基础设施水平</v>
      </c>
      <c r="R21" s="714" t="s">
        <v>17</v>
      </c>
      <c r="S21" s="715">
        <f>F21</f>
        <v>100</v>
      </c>
      <c r="T21" s="714" t="s">
        <v>17</v>
      </c>
      <c r="U21" s="715">
        <f>H21</f>
        <v>100</v>
      </c>
      <c r="V21" s="714" t="s">
        <v>17</v>
      </c>
      <c r="W21" s="715">
        <f>J21</f>
        <v>100</v>
      </c>
      <c r="X21" s="1539"/>
      <c r="Y21" s="336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61"/>
      <c r="Q22" s="1536"/>
      <c r="R22" s="714"/>
      <c r="S22" s="715"/>
      <c r="T22" s="714"/>
      <c r="U22" s="715"/>
      <c r="V22" s="714"/>
      <c r="W22" s="715"/>
      <c r="X22" s="1539"/>
      <c r="Y22" s="3361"/>
      <c r="Z22" s="1540"/>
      <c r="AA22" s="1537">
        <v>1</v>
      </c>
      <c r="AB22" s="1537">
        <v>1</v>
      </c>
      <c r="AC22" s="1537">
        <v>1</v>
      </c>
    </row>
    <row r="23" spans="1:29" ht="71.25">
      <c r="A23" s="387"/>
      <c r="B23" s="410" t="s">
        <v>2508</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61"/>
      <c r="Q23" s="1536" t="str">
        <f>B23</f>
        <v>环境质量</v>
      </c>
      <c r="R23" s="714" t="s">
        <v>17</v>
      </c>
      <c r="S23" s="715">
        <f>F23</f>
        <v>100</v>
      </c>
      <c r="T23" s="714" t="s">
        <v>17</v>
      </c>
      <c r="U23" s="715">
        <f>H23</f>
        <v>100</v>
      </c>
      <c r="V23" s="714" t="s">
        <v>17</v>
      </c>
      <c r="W23" s="715">
        <f>J23</f>
        <v>100</v>
      </c>
      <c r="X23" s="1539"/>
      <c r="Y23" s="3361"/>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61"/>
      <c r="Q24" s="1536"/>
      <c r="R24" s="714"/>
      <c r="S24" s="715"/>
      <c r="T24" s="714"/>
      <c r="U24" s="715"/>
      <c r="V24" s="714"/>
      <c r="W24" s="715"/>
      <c r="X24" s="1539"/>
      <c r="Y24" s="336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61"/>
      <c r="Q25" s="1536">
        <f>B25</f>
        <v>111</v>
      </c>
      <c r="R25" s="714" t="s">
        <v>17</v>
      </c>
      <c r="S25" s="715">
        <f>F25</f>
        <v>100</v>
      </c>
      <c r="T25" s="714" t="s">
        <v>17</v>
      </c>
      <c r="U25" s="715">
        <f>H25</f>
        <v>100</v>
      </c>
      <c r="V25" s="714" t="s">
        <v>17</v>
      </c>
      <c r="W25" s="715">
        <f>J25</f>
        <v>100</v>
      </c>
      <c r="X25" s="1539"/>
      <c r="Y25" s="336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61"/>
      <c r="Q26" s="1536">
        <f t="shared" ref="Q26:Q40" si="11">B26</f>
        <v>111</v>
      </c>
      <c r="R26" s="714" t="s">
        <v>17</v>
      </c>
      <c r="S26" s="715">
        <f>F26</f>
        <v>100</v>
      </c>
      <c r="T26" s="714" t="s">
        <v>17</v>
      </c>
      <c r="U26" s="715">
        <f>H26</f>
        <v>100</v>
      </c>
      <c r="V26" s="714" t="s">
        <v>17</v>
      </c>
      <c r="W26" s="715">
        <f>J26</f>
        <v>100</v>
      </c>
      <c r="X26" s="1539"/>
      <c r="Y26" s="336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61"/>
      <c r="Q27" s="1527">
        <f t="shared" si="11"/>
        <v>111</v>
      </c>
      <c r="R27" s="710" t="s">
        <v>17</v>
      </c>
      <c r="S27" s="711">
        <f>F27</f>
        <v>100</v>
      </c>
      <c r="T27" s="710" t="s">
        <v>17</v>
      </c>
      <c r="U27" s="711">
        <f>H27</f>
        <v>100</v>
      </c>
      <c r="V27" s="710" t="s">
        <v>17</v>
      </c>
      <c r="W27" s="711">
        <f>J27</f>
        <v>100</v>
      </c>
      <c r="X27" s="712"/>
      <c r="Y27" s="3361"/>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61"/>
      <c r="Q28" s="1536">
        <f t="shared" si="11"/>
        <v>111</v>
      </c>
      <c r="R28" s="714" t="s">
        <v>17</v>
      </c>
      <c r="S28" s="715">
        <f t="shared" ref="S28:S40" si="12">F28</f>
        <v>100</v>
      </c>
      <c r="T28" s="714" t="s">
        <v>17</v>
      </c>
      <c r="U28" s="715">
        <f t="shared" ref="U28:U40" si="13">H28</f>
        <v>100</v>
      </c>
      <c r="V28" s="714" t="s">
        <v>17</v>
      </c>
      <c r="W28" s="715">
        <f t="shared" ref="W28:W40" si="14">J28</f>
        <v>100</v>
      </c>
      <c r="X28" s="1539"/>
      <c r="Y28" s="3361"/>
      <c r="Z28" s="1540">
        <f t="shared" ref="Z28:Z40" si="15">Q28</f>
        <v>111</v>
      </c>
      <c r="AA28" s="1537">
        <f t="shared" si="3"/>
        <v>1</v>
      </c>
      <c r="AB28" s="1537">
        <f t="shared" si="4"/>
        <v>1</v>
      </c>
      <c r="AC28" s="1537">
        <f t="shared" si="5"/>
        <v>1</v>
      </c>
    </row>
    <row r="29" spans="1:29" ht="28.5">
      <c r="A29" s="425" t="s">
        <v>2381</v>
      </c>
      <c r="B29" s="67" t="s">
        <v>2511</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85" t="s">
        <v>2383</v>
      </c>
      <c r="Q29" s="1536" t="str">
        <f t="shared" si="11"/>
        <v>建筑类型</v>
      </c>
      <c r="R29" s="714" t="s">
        <v>17</v>
      </c>
      <c r="S29" s="715">
        <f t="shared" si="12"/>
        <v>100</v>
      </c>
      <c r="T29" s="714" t="s">
        <v>17</v>
      </c>
      <c r="U29" s="715">
        <f t="shared" si="13"/>
        <v>100</v>
      </c>
      <c r="V29" s="714" t="s">
        <v>17</v>
      </c>
      <c r="W29" s="715">
        <f t="shared" si="14"/>
        <v>100</v>
      </c>
      <c r="X29" s="1539"/>
      <c r="Y29" s="3365" t="s">
        <v>2383</v>
      </c>
      <c r="Z29" s="1540" t="str">
        <f t="shared" si="15"/>
        <v>建筑类型</v>
      </c>
      <c r="AA29" s="1537">
        <f t="shared" si="3"/>
        <v>1</v>
      </c>
      <c r="AB29" s="1537">
        <f t="shared" si="4"/>
        <v>1</v>
      </c>
      <c r="AC29" s="1537">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65"/>
      <c r="Q30" s="716" t="str">
        <f t="shared" si="11"/>
        <v>项目建筑规模</v>
      </c>
      <c r="R30" s="717" t="s">
        <v>17</v>
      </c>
      <c r="S30" s="718" t="e">
        <f t="shared" si="12"/>
        <v>#N/A</v>
      </c>
      <c r="T30" s="717" t="s">
        <v>17</v>
      </c>
      <c r="U30" s="718" t="e">
        <f t="shared" si="13"/>
        <v>#N/A</v>
      </c>
      <c r="V30" s="717" t="s">
        <v>17</v>
      </c>
      <c r="W30" s="718" t="e">
        <f t="shared" si="14"/>
        <v>#N/A</v>
      </c>
      <c r="X30" s="719"/>
      <c r="Y30" s="3365"/>
      <c r="Z30" s="720" t="str">
        <f t="shared" si="15"/>
        <v>项目建筑规模</v>
      </c>
      <c r="AA30" s="1537" t="e">
        <f t="shared" si="3"/>
        <v>#N/A</v>
      </c>
      <c r="AB30" s="1537" t="e">
        <f t="shared" si="4"/>
        <v>#N/A</v>
      </c>
      <c r="AC30" s="1537"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65"/>
      <c r="Q31" s="1536" t="str">
        <f t="shared" si="11"/>
        <v>建筑结构</v>
      </c>
      <c r="R31" s="714" t="s">
        <v>17</v>
      </c>
      <c r="S31" s="715">
        <f t="shared" si="12"/>
        <v>100</v>
      </c>
      <c r="T31" s="714" t="s">
        <v>17</v>
      </c>
      <c r="U31" s="715">
        <f t="shared" si="13"/>
        <v>100</v>
      </c>
      <c r="V31" s="714" t="s">
        <v>17</v>
      </c>
      <c r="W31" s="715">
        <f t="shared" si="14"/>
        <v>100</v>
      </c>
      <c r="X31" s="1539"/>
      <c r="Y31" s="3365"/>
      <c r="Z31" s="1540" t="str">
        <f t="shared" si="15"/>
        <v>建筑结构</v>
      </c>
      <c r="AA31" s="1537">
        <f t="shared" si="3"/>
        <v>1</v>
      </c>
      <c r="AB31" s="1537">
        <f t="shared" si="4"/>
        <v>1</v>
      </c>
      <c r="AC31" s="1537">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65"/>
      <c r="Q32" s="1536" t="str">
        <f t="shared" si="11"/>
        <v>公共部分装修</v>
      </c>
      <c r="R32" s="714" t="s">
        <v>17</v>
      </c>
      <c r="S32" s="715">
        <f t="shared" si="12"/>
        <v>100</v>
      </c>
      <c r="T32" s="714" t="s">
        <v>17</v>
      </c>
      <c r="U32" s="715">
        <f t="shared" si="13"/>
        <v>100</v>
      </c>
      <c r="V32" s="714" t="s">
        <v>17</v>
      </c>
      <c r="W32" s="715">
        <f t="shared" si="14"/>
        <v>100</v>
      </c>
      <c r="X32" s="1539"/>
      <c r="Y32" s="3365"/>
      <c r="Z32" s="1540" t="str">
        <f t="shared" si="15"/>
        <v>公共部分装修</v>
      </c>
      <c r="AA32" s="1537">
        <f t="shared" si="3"/>
        <v>1</v>
      </c>
      <c r="AB32" s="1537">
        <f t="shared" si="4"/>
        <v>1</v>
      </c>
      <c r="AC32" s="1537">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65"/>
      <c r="Q33" s="1536" t="str">
        <f t="shared" si="11"/>
        <v>成新度</v>
      </c>
      <c r="R33" s="714" t="s">
        <v>17</v>
      </c>
      <c r="S33" s="715" t="e">
        <f t="shared" si="12"/>
        <v>#N/A</v>
      </c>
      <c r="T33" s="714" t="s">
        <v>17</v>
      </c>
      <c r="U33" s="715" t="e">
        <f t="shared" si="13"/>
        <v>#N/A</v>
      </c>
      <c r="V33" s="714" t="s">
        <v>17</v>
      </c>
      <c r="W33" s="715" t="e">
        <f t="shared" si="14"/>
        <v>#N/A</v>
      </c>
      <c r="X33" s="1539"/>
      <c r="Y33" s="3365"/>
      <c r="Z33" s="1540" t="str">
        <f t="shared" si="15"/>
        <v>成新度</v>
      </c>
      <c r="AA33" s="1537" t="e">
        <f t="shared" si="3"/>
        <v>#N/A</v>
      </c>
      <c r="AB33" s="1537" t="e">
        <f t="shared" si="4"/>
        <v>#N/A</v>
      </c>
      <c r="AC33" s="1537"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65"/>
      <c r="Q34" s="1527" t="str">
        <f t="shared" si="11"/>
        <v>物业管理</v>
      </c>
      <c r="R34" s="710" t="s">
        <v>17</v>
      </c>
      <c r="S34" s="711">
        <f t="shared" si="12"/>
        <v>100</v>
      </c>
      <c r="T34" s="710" t="s">
        <v>17</v>
      </c>
      <c r="U34" s="711">
        <f t="shared" si="13"/>
        <v>100</v>
      </c>
      <c r="V34" s="710" t="s">
        <v>17</v>
      </c>
      <c r="W34" s="711">
        <f t="shared" si="14"/>
        <v>100</v>
      </c>
      <c r="X34" s="712"/>
      <c r="Y34" s="3365"/>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65" t="s">
        <v>2383</v>
      </c>
      <c r="Q35" s="1536" t="str">
        <f t="shared" si="11"/>
        <v>市政基础设施</v>
      </c>
      <c r="R35" s="714" t="s">
        <v>17</v>
      </c>
      <c r="S35" s="715">
        <f t="shared" si="12"/>
        <v>100</v>
      </c>
      <c r="T35" s="714" t="s">
        <v>17</v>
      </c>
      <c r="U35" s="715">
        <f t="shared" si="13"/>
        <v>100</v>
      </c>
      <c r="V35" s="714" t="s">
        <v>17</v>
      </c>
      <c r="W35" s="715">
        <f t="shared" si="14"/>
        <v>100</v>
      </c>
      <c r="X35" s="1539"/>
      <c r="Y35" s="3365" t="s">
        <v>2383</v>
      </c>
      <c r="Z35" s="1540" t="str">
        <f t="shared" si="15"/>
        <v>市政基础设施</v>
      </c>
      <c r="AA35" s="1537">
        <f t="shared" si="3"/>
        <v>1</v>
      </c>
      <c r="AB35" s="1537">
        <f t="shared" si="4"/>
        <v>1</v>
      </c>
      <c r="AC35" s="1537">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65"/>
      <c r="Q36" s="1536" t="str">
        <f t="shared" si="11"/>
        <v>内部装修</v>
      </c>
      <c r="R36" s="714" t="s">
        <v>17</v>
      </c>
      <c r="S36" s="715">
        <f t="shared" si="12"/>
        <v>100</v>
      </c>
      <c r="T36" s="714" t="s">
        <v>17</v>
      </c>
      <c r="U36" s="715">
        <f t="shared" si="13"/>
        <v>100</v>
      </c>
      <c r="V36" s="714" t="s">
        <v>17</v>
      </c>
      <c r="W36" s="715">
        <f t="shared" si="14"/>
        <v>100</v>
      </c>
      <c r="X36" s="1539"/>
      <c r="Y36" s="3365"/>
      <c r="Z36" s="1540" t="str">
        <f t="shared" si="15"/>
        <v>内部装修</v>
      </c>
      <c r="AA36" s="1537">
        <f t="shared" si="3"/>
        <v>1</v>
      </c>
      <c r="AB36" s="1537">
        <f t="shared" si="4"/>
        <v>1</v>
      </c>
      <c r="AC36" s="1537">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65"/>
      <c r="Q37" s="1536" t="str">
        <f t="shared" si="11"/>
        <v>内部装修状况</v>
      </c>
      <c r="R37" s="714" t="s">
        <v>17</v>
      </c>
      <c r="S37" s="715">
        <f t="shared" si="12"/>
        <v>100</v>
      </c>
      <c r="T37" s="714" t="s">
        <v>17</v>
      </c>
      <c r="U37" s="715">
        <f t="shared" si="13"/>
        <v>100</v>
      </c>
      <c r="V37" s="714" t="s">
        <v>17</v>
      </c>
      <c r="W37" s="715">
        <f t="shared" si="14"/>
        <v>100</v>
      </c>
      <c r="X37" s="1539"/>
      <c r="Y37" s="336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65"/>
      <c r="Q38" s="716">
        <f t="shared" si="11"/>
        <v>111</v>
      </c>
      <c r="R38" s="717" t="s">
        <v>17</v>
      </c>
      <c r="S38" s="718">
        <f t="shared" si="12"/>
        <v>100</v>
      </c>
      <c r="T38" s="717" t="s">
        <v>17</v>
      </c>
      <c r="U38" s="718">
        <f t="shared" si="13"/>
        <v>100</v>
      </c>
      <c r="V38" s="717" t="s">
        <v>17</v>
      </c>
      <c r="W38" s="718">
        <f t="shared" si="14"/>
        <v>100</v>
      </c>
      <c r="X38" s="719"/>
      <c r="Y38" s="336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65"/>
      <c r="Q39" s="1536">
        <f t="shared" si="11"/>
        <v>111</v>
      </c>
      <c r="R39" s="714" t="s">
        <v>17</v>
      </c>
      <c r="S39" s="715">
        <f t="shared" si="12"/>
        <v>100</v>
      </c>
      <c r="T39" s="714" t="s">
        <v>17</v>
      </c>
      <c r="U39" s="715">
        <f t="shared" si="13"/>
        <v>100</v>
      </c>
      <c r="V39" s="714" t="s">
        <v>17</v>
      </c>
      <c r="W39" s="715">
        <f t="shared" si="14"/>
        <v>100</v>
      </c>
      <c r="X39" s="1539"/>
      <c r="Y39" s="3365"/>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66"/>
      <c r="Q40" s="1536">
        <f t="shared" si="11"/>
        <v>111</v>
      </c>
      <c r="R40" s="714" t="s">
        <v>17</v>
      </c>
      <c r="S40" s="715">
        <f t="shared" si="12"/>
        <v>100</v>
      </c>
      <c r="T40" s="714" t="s">
        <v>17</v>
      </c>
      <c r="U40" s="715">
        <f t="shared" si="13"/>
        <v>100</v>
      </c>
      <c r="V40" s="714" t="s">
        <v>17</v>
      </c>
      <c r="W40" s="715">
        <f t="shared" si="14"/>
        <v>100</v>
      </c>
      <c r="X40" s="1539"/>
      <c r="Y40" s="3366"/>
      <c r="Z40" s="1540">
        <f t="shared" si="15"/>
        <v>111</v>
      </c>
      <c r="AA40" s="1537">
        <f t="shared" si="3"/>
        <v>1</v>
      </c>
      <c r="AB40" s="1537">
        <f t="shared" si="4"/>
        <v>1</v>
      </c>
      <c r="AC40" s="1537">
        <f t="shared" si="5"/>
        <v>1</v>
      </c>
    </row>
    <row r="41" spans="1:29" ht="15">
      <c r="A41" s="438" t="s">
        <v>2395</v>
      </c>
      <c r="B41" s="439"/>
      <c r="C41" s="1316" t="s">
        <v>1</v>
      </c>
      <c r="D41" s="1317"/>
      <c r="E41" s="1318"/>
      <c r="F41" s="1319"/>
      <c r="G41" s="1320"/>
      <c r="H41" s="1321"/>
      <c r="I41" s="1318"/>
      <c r="J41" s="1321"/>
      <c r="K41" s="723"/>
      <c r="L41" s="1057"/>
      <c r="M41" s="1058"/>
      <c r="N41" s="1045"/>
      <c r="O41" s="1058"/>
      <c r="P41" s="3358" t="str">
        <f>A41</f>
        <v>成交单价（元/平方米）</v>
      </c>
      <c r="Q41" s="3358"/>
      <c r="R41" s="3359">
        <f>E41</f>
        <v>0</v>
      </c>
      <c r="S41" s="3359"/>
      <c r="T41" s="3359">
        <f>G41</f>
        <v>0</v>
      </c>
      <c r="U41" s="3359"/>
      <c r="V41" s="3359">
        <f>I41</f>
        <v>0</v>
      </c>
      <c r="W41" s="3359"/>
      <c r="X41" s="699"/>
      <c r="Y41" s="721"/>
      <c r="Z41" s="699"/>
      <c r="AA41" s="699"/>
      <c r="AB41" s="699"/>
      <c r="AC41" s="699"/>
    </row>
    <row r="42" spans="1:29" ht="15.75" thickBot="1">
      <c r="A42" s="445" t="s">
        <v>2487</v>
      </c>
      <c r="B42" s="446"/>
      <c r="C42" s="1322" t="e">
        <f>R43</f>
        <v>#DIV/0!</v>
      </c>
      <c r="D42" s="2538" t="s">
        <v>2877</v>
      </c>
      <c r="E42" s="1323" t="e">
        <f>R42</f>
        <v>#DIV/0!</v>
      </c>
      <c r="F42" s="2539"/>
      <c r="G42" s="1322" t="e">
        <f>T42</f>
        <v>#DIV/0!</v>
      </c>
      <c r="H42" s="2539"/>
      <c r="I42" s="1323" t="e">
        <f>V42</f>
        <v>#DIV/0!</v>
      </c>
      <c r="J42" s="2539"/>
      <c r="K42" s="2541">
        <f>F42+H42+J42</f>
        <v>0</v>
      </c>
      <c r="L42" s="1057"/>
      <c r="M42" s="1058"/>
      <c r="N42" s="1045"/>
      <c r="O42" s="1058"/>
      <c r="P42" s="3358" t="str">
        <f>A42</f>
        <v>比较价值（元/平方米）</v>
      </c>
      <c r="Q42" s="3358"/>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699"/>
      <c r="Y42" s="699"/>
      <c r="Z42" s="699"/>
      <c r="AA42" s="699"/>
      <c r="AB42" s="699"/>
      <c r="AC42" s="699"/>
    </row>
    <row r="43" spans="1:29" ht="15.75" thickBot="1">
      <c r="A43" s="449" t="s">
        <v>2488</v>
      </c>
      <c r="B43" s="450"/>
      <c r="C43" s="1325" t="e">
        <f>R43</f>
        <v>#DIV/0!</v>
      </c>
      <c r="D43" s="1325"/>
      <c r="E43" s="1325"/>
      <c r="F43" s="1325"/>
      <c r="G43" s="1325"/>
      <c r="H43" s="1325"/>
      <c r="I43" s="1325"/>
      <c r="J43" s="1325"/>
      <c r="K43" s="724"/>
      <c r="L43" s="1057"/>
      <c r="M43" s="1058"/>
      <c r="N43" s="1058"/>
      <c r="O43" s="1058"/>
      <c r="P43" s="3355" t="str">
        <f>A43</f>
        <v>估价对象XX用房的比较价值（楼面单价，元/平方米）</v>
      </c>
      <c r="Q43" s="3356"/>
      <c r="R43" s="3357" t="e">
        <f>IF(F1="售价",ROUND(IF(D42="简单平均",AVERAGE(R42:V42),R42*F42+T42*H42+V42*J42),0),ROUND(IF(D42="简单平均",AVERAGE(R42:V42),R42*F42+T42*H42+V42*J42),1))</f>
        <v>#DIV/0!</v>
      </c>
      <c r="S43" s="3357"/>
      <c r="T43" s="3357"/>
      <c r="U43" s="3357"/>
      <c r="V43" s="3357"/>
      <c r="W43" s="3357"/>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1.75" thickBot="1">
      <c r="A51" s="703" t="s">
        <v>2492</v>
      </c>
      <c r="B51" s="699"/>
      <c r="C51" s="704"/>
      <c r="D51" s="704"/>
      <c r="E51" s="704"/>
      <c r="F51" s="705"/>
      <c r="G51" s="705"/>
      <c r="H51" s="704"/>
      <c r="I51" s="704"/>
      <c r="J51" s="704"/>
      <c r="K51" s="1072"/>
      <c r="L51" s="1073"/>
      <c r="M51" s="1071"/>
      <c r="N51" s="1071"/>
      <c r="O51" s="1071"/>
      <c r="P51" s="460"/>
      <c r="Q51" s="461"/>
    </row>
    <row r="52" spans="1:17" s="465" customFormat="1" ht="15">
      <c r="A52" s="462" t="s">
        <v>2366</v>
      </c>
      <c r="B52" s="463"/>
      <c r="C52" s="1346" t="str">
        <f>YEAR(C7)&amp;"-"&amp;MONTH(C7)</f>
        <v>2021-6</v>
      </c>
      <c r="D52" s="1347">
        <f>EDATE(C52,-1)</f>
        <v>44317</v>
      </c>
      <c r="E52" s="1347">
        <f t="shared" ref="E52:O52" si="16">EDATE(D52,-1)</f>
        <v>44287</v>
      </c>
      <c r="F52" s="1347">
        <f t="shared" si="16"/>
        <v>44256</v>
      </c>
      <c r="G52" s="1347">
        <f t="shared" si="16"/>
        <v>44228</v>
      </c>
      <c r="H52" s="1347">
        <f t="shared" si="16"/>
        <v>44197</v>
      </c>
      <c r="I52" s="1347">
        <f t="shared" si="16"/>
        <v>44166</v>
      </c>
      <c r="J52" s="1347">
        <f t="shared" si="16"/>
        <v>44136</v>
      </c>
      <c r="K52" s="1347">
        <f t="shared" si="16"/>
        <v>44105</v>
      </c>
      <c r="L52" s="1347">
        <f t="shared" si="16"/>
        <v>44075</v>
      </c>
      <c r="M52" s="1347">
        <f t="shared" si="16"/>
        <v>44044</v>
      </c>
      <c r="N52" s="1347">
        <f t="shared" si="16"/>
        <v>44013</v>
      </c>
      <c r="O52" s="1347">
        <f t="shared" si="16"/>
        <v>43983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6"/>
      <c r="O54" s="2997"/>
      <c r="P54" s="461"/>
      <c r="Q54" s="461"/>
    </row>
    <row r="55" spans="1:17" s="113" customFormat="1" ht="15">
      <c r="A55" s="478" t="s">
        <v>2368</v>
      </c>
      <c r="B55" s="467"/>
      <c r="C55" s="479" t="s">
        <v>2470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2406</v>
      </c>
      <c r="B57" s="485" t="s">
        <v>2372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2381</v>
      </c>
      <c r="B88" s="485" t="s">
        <v>2430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2525</v>
      </c>
      <c r="B1" s="1391"/>
      <c r="C1" s="1392" t="s">
        <v>2348</v>
      </c>
      <c r="D1" s="1393"/>
      <c r="E1" s="1394"/>
      <c r="F1" s="2065"/>
      <c r="G1" s="1395" t="s">
        <v>2461</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2145</v>
      </c>
      <c r="B2" s="1326" t="e">
        <f ca="1">IF(C2="——",IF(B37="元/平方米",ROUND(C39*D3/10000,0),ROUND(F3*C39/10000,0)),IF(B37="元/平方米",ROUND(C39*D3/10000,0),ROUND(F3*C39/10000,0))-D2)</f>
        <v>#DIV/0!</v>
      </c>
      <c r="C2" s="2067"/>
      <c r="D2" s="1038" t="e">
        <f ca="1">SUMIF(INDIRECT("'"&amp;F2&amp;"'"&amp;"!A:A"),"承租人权益价值",INDIRECT("'"&amp;F2&amp;"'"&amp;"!c:c"))</f>
        <v>#REF!</v>
      </c>
      <c r="E2" s="2068" t="s">
        <v>2146</v>
      </c>
      <c r="F2" s="2069"/>
      <c r="G2" s="1039"/>
      <c r="H2" s="1039"/>
      <c r="I2" s="1039"/>
      <c r="J2" s="1039"/>
      <c r="K2" s="1041"/>
      <c r="L2" s="2960"/>
      <c r="M2" s="2961"/>
      <c r="N2" s="2961"/>
      <c r="O2" s="2961"/>
      <c r="P2" s="1327"/>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0"/>
      <c r="M3" s="2961"/>
      <c r="N3" s="2961"/>
      <c r="O3" s="2961"/>
      <c r="P3" s="1327"/>
      <c r="Q3" s="708"/>
      <c r="R3" s="708"/>
      <c r="S3" s="708"/>
      <c r="T3" s="708"/>
      <c r="U3" s="708"/>
      <c r="V3" s="708"/>
      <c r="W3" s="708"/>
      <c r="X3" s="708"/>
      <c r="Y3" s="708"/>
      <c r="Z3" s="708"/>
      <c r="AA3" s="708"/>
      <c r="AB3" s="725"/>
      <c r="AC3" s="722"/>
    </row>
    <row r="4" spans="1:29" ht="15">
      <c r="A4" s="361" t="s">
        <v>2463</v>
      </c>
      <c r="B4" s="362"/>
      <c r="C4" s="3341" t="s">
        <v>2464</v>
      </c>
      <c r="D4" s="3342"/>
      <c r="E4" s="3343" t="s">
        <v>2465</v>
      </c>
      <c r="F4" s="3344"/>
      <c r="G4" s="3341" t="s">
        <v>2466</v>
      </c>
      <c r="H4" s="3342"/>
      <c r="I4" s="3341" t="s">
        <v>2467</v>
      </c>
      <c r="J4" s="3342"/>
      <c r="K4" s="567" t="s">
        <v>2468</v>
      </c>
      <c r="L4" s="2941"/>
      <c r="M4" s="2942"/>
      <c r="N4" s="2942"/>
      <c r="O4" s="2942"/>
      <c r="P4" s="3345" t="s">
        <v>2469</v>
      </c>
      <c r="Q4" s="3346"/>
      <c r="R4" s="3328" t="s">
        <v>2465</v>
      </c>
      <c r="S4" s="3329"/>
      <c r="T4" s="3328" t="s">
        <v>2466</v>
      </c>
      <c r="U4" s="3329"/>
      <c r="V4" s="3353" t="s">
        <v>2467</v>
      </c>
      <c r="W4" s="3353"/>
      <c r="X4" s="1539"/>
      <c r="Y4" s="3328" t="s">
        <v>2469</v>
      </c>
      <c r="Z4" s="3329"/>
      <c r="AA4" s="3323" t="s">
        <v>2465</v>
      </c>
      <c r="AB4" s="3324" t="s">
        <v>2466</v>
      </c>
      <c r="AC4" s="3323" t="s">
        <v>2467</v>
      </c>
    </row>
    <row r="5" spans="1:29" ht="15">
      <c r="A5" s="364"/>
      <c r="B5" s="365"/>
      <c r="C5" s="3334" t="s">
        <v>2360</v>
      </c>
      <c r="D5" s="3335"/>
      <c r="E5" s="3332" t="s">
        <v>2361</v>
      </c>
      <c r="F5" s="3333"/>
      <c r="G5" s="3334" t="s">
        <v>2362</v>
      </c>
      <c r="H5" s="3335"/>
      <c r="I5" s="3334" t="s">
        <v>2363</v>
      </c>
      <c r="J5" s="3335"/>
      <c r="K5" s="567"/>
      <c r="L5" s="2941"/>
      <c r="M5" s="2942"/>
      <c r="N5" s="2942"/>
      <c r="O5" s="2942"/>
      <c r="P5" s="3347"/>
      <c r="Q5" s="3348"/>
      <c r="R5" s="3330"/>
      <c r="S5" s="3331"/>
      <c r="T5" s="3330"/>
      <c r="U5" s="3331"/>
      <c r="V5" s="3353"/>
      <c r="W5" s="3353"/>
      <c r="X5" s="1539"/>
      <c r="Y5" s="3330"/>
      <c r="Z5" s="3331"/>
      <c r="AA5" s="3324"/>
      <c r="AB5" s="3324"/>
      <c r="AC5" s="3324"/>
    </row>
    <row r="6" spans="1:29" ht="15.75" thickBot="1">
      <c r="A6" s="366"/>
      <c r="B6" s="367"/>
      <c r="C6" s="3336" t="s">
        <v>2364</v>
      </c>
      <c r="D6" s="3337"/>
      <c r="E6" s="3338" t="s">
        <v>2364</v>
      </c>
      <c r="F6" s="3339"/>
      <c r="G6" s="3336" t="s">
        <v>2364</v>
      </c>
      <c r="H6" s="3337"/>
      <c r="I6" s="3336" t="s">
        <v>2364</v>
      </c>
      <c r="J6" s="3337"/>
      <c r="K6" s="567" t="s">
        <v>2365</v>
      </c>
      <c r="L6" s="2941"/>
      <c r="M6" s="2942"/>
      <c r="N6" s="2942"/>
      <c r="O6" s="2942"/>
      <c r="P6" s="3349"/>
      <c r="Q6" s="3350"/>
      <c r="R6" s="3330"/>
      <c r="S6" s="3331"/>
      <c r="T6" s="3351"/>
      <c r="U6" s="3352"/>
      <c r="V6" s="3353"/>
      <c r="W6" s="3353"/>
      <c r="X6" s="1539"/>
      <c r="Y6" s="3351"/>
      <c r="Z6" s="3352"/>
      <c r="AA6" s="3325"/>
      <c r="AB6" s="3325"/>
      <c r="AC6" s="3325"/>
    </row>
    <row r="7" spans="1:29" s="113" customFormat="1" ht="15.75" thickBot="1">
      <c r="A7" s="368" t="s">
        <v>2366</v>
      </c>
      <c r="B7" s="369"/>
      <c r="C7" s="370">
        <f>'数据-取费表'!B2</f>
        <v>44370</v>
      </c>
      <c r="D7" s="371">
        <v>100</v>
      </c>
      <c r="E7" s="372"/>
      <c r="F7" s="373">
        <f>SUMIF(48:48,YEAR(E7)&amp;"-"&amp;MONTH(E7),49:49)</f>
        <v>0</v>
      </c>
      <c r="G7" s="372"/>
      <c r="H7" s="371">
        <f>SUMIF(48:48,YEAR(G7)&amp;"-"&amp;MONTH(G7),49:49)</f>
        <v>0</v>
      </c>
      <c r="I7" s="372"/>
      <c r="J7" s="371">
        <f>SUMIF(48:48,YEAR(I7)&amp;"-"&amp;MONTH(I7),49:49)</f>
        <v>0</v>
      </c>
      <c r="K7" s="568"/>
      <c r="L7" s="2943"/>
      <c r="M7" s="2944"/>
      <c r="N7" s="2944"/>
      <c r="O7" s="2944"/>
      <c r="P7" s="3326" t="s">
        <v>2367</v>
      </c>
      <c r="Q7" s="3354"/>
      <c r="R7" s="710" t="s">
        <v>17</v>
      </c>
      <c r="S7" s="711">
        <f t="shared" ref="S7:S14" si="0">F7</f>
        <v>0</v>
      </c>
      <c r="T7" s="710" t="s">
        <v>17</v>
      </c>
      <c r="U7" s="711">
        <f t="shared" ref="U7:U14" si="1">H7</f>
        <v>0</v>
      </c>
      <c r="V7" s="710" t="s">
        <v>17</v>
      </c>
      <c r="W7" s="711">
        <f t="shared" ref="W7:W14" si="2">J7</f>
        <v>0</v>
      </c>
      <c r="X7" s="712"/>
      <c r="Y7" s="3326" t="s">
        <v>2367</v>
      </c>
      <c r="Z7" s="3327"/>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326" t="s">
        <v>2370</v>
      </c>
      <c r="Q8" s="3327"/>
      <c r="R8" s="710" t="s">
        <v>17</v>
      </c>
      <c r="S8" s="711">
        <f t="shared" si="0"/>
        <v>0</v>
      </c>
      <c r="T8" s="710" t="s">
        <v>17</v>
      </c>
      <c r="U8" s="711">
        <f t="shared" si="1"/>
        <v>0</v>
      </c>
      <c r="V8" s="710" t="s">
        <v>17</v>
      </c>
      <c r="W8" s="711">
        <f t="shared" si="2"/>
        <v>0</v>
      </c>
      <c r="X8" s="712"/>
      <c r="Y8" s="3326" t="s">
        <v>2370</v>
      </c>
      <c r="Z8" s="3327"/>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358" t="s">
        <v>2373</v>
      </c>
      <c r="Q9" s="1527" t="str">
        <f t="shared" ref="Q9:Q14" si="6">B9</f>
        <v>用途</v>
      </c>
      <c r="R9" s="710" t="s">
        <v>17</v>
      </c>
      <c r="S9" s="711">
        <f t="shared" si="0"/>
        <v>100</v>
      </c>
      <c r="T9" s="710" t="s">
        <v>17</v>
      </c>
      <c r="U9" s="711">
        <f t="shared" si="1"/>
        <v>100</v>
      </c>
      <c r="V9" s="710" t="s">
        <v>17</v>
      </c>
      <c r="W9" s="711">
        <f t="shared" si="2"/>
        <v>100</v>
      </c>
      <c r="X9" s="712"/>
      <c r="Y9" s="3268"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58"/>
      <c r="Q10" s="1527" t="str">
        <f t="shared" si="6"/>
        <v>土地使用年限（年）</v>
      </c>
      <c r="R10" s="710" t="s">
        <v>17</v>
      </c>
      <c r="S10" s="711">
        <f t="shared" si="0"/>
        <v>100</v>
      </c>
      <c r="T10" s="710" t="s">
        <v>17</v>
      </c>
      <c r="U10" s="711">
        <f t="shared" si="1"/>
        <v>100</v>
      </c>
      <c r="V10" s="710" t="s">
        <v>17</v>
      </c>
      <c r="W10" s="711">
        <f t="shared" si="2"/>
        <v>100</v>
      </c>
      <c r="X10" s="712"/>
      <c r="Y10" s="326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58"/>
      <c r="Q11" s="1527">
        <f t="shared" si="6"/>
        <v>111</v>
      </c>
      <c r="R11" s="710" t="s">
        <v>17</v>
      </c>
      <c r="S11" s="711">
        <f t="shared" si="0"/>
        <v>100</v>
      </c>
      <c r="T11" s="710" t="s">
        <v>17</v>
      </c>
      <c r="U11" s="711">
        <f t="shared" si="1"/>
        <v>100</v>
      </c>
      <c r="V11" s="710" t="s">
        <v>17</v>
      </c>
      <c r="W11" s="711">
        <f t="shared" si="2"/>
        <v>100</v>
      </c>
      <c r="X11" s="712"/>
      <c r="Y11" s="326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58"/>
      <c r="Q12" s="1527">
        <f t="shared" si="6"/>
        <v>111</v>
      </c>
      <c r="R12" s="710" t="s">
        <v>17</v>
      </c>
      <c r="S12" s="711">
        <f t="shared" si="0"/>
        <v>100</v>
      </c>
      <c r="T12" s="710" t="s">
        <v>17</v>
      </c>
      <c r="U12" s="711">
        <f t="shared" si="1"/>
        <v>100</v>
      </c>
      <c r="V12" s="710" t="s">
        <v>17</v>
      </c>
      <c r="W12" s="711">
        <f t="shared" si="2"/>
        <v>100</v>
      </c>
      <c r="X12" s="712"/>
      <c r="Y12" s="326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58"/>
      <c r="Q13" s="1527">
        <f t="shared" si="6"/>
        <v>111</v>
      </c>
      <c r="R13" s="710" t="s">
        <v>17</v>
      </c>
      <c r="S13" s="711">
        <f t="shared" si="0"/>
        <v>100</v>
      </c>
      <c r="T13" s="710" t="s">
        <v>17</v>
      </c>
      <c r="U13" s="711">
        <f t="shared" si="1"/>
        <v>100</v>
      </c>
      <c r="V13" s="710" t="s">
        <v>17</v>
      </c>
      <c r="W13" s="711">
        <f t="shared" si="2"/>
        <v>100</v>
      </c>
      <c r="X13" s="712"/>
      <c r="Y13" s="3268"/>
      <c r="Z13" s="55">
        <f t="shared" si="7"/>
        <v>111</v>
      </c>
      <c r="AA13" s="713">
        <f t="shared" si="3"/>
        <v>1</v>
      </c>
      <c r="AB13" s="713">
        <f t="shared" si="4"/>
        <v>1</v>
      </c>
      <c r="AC13" s="713">
        <f t="shared" si="5"/>
        <v>1</v>
      </c>
    </row>
    <row r="14" spans="1:29" ht="85.5">
      <c r="A14" s="361" t="s">
        <v>2377</v>
      </c>
      <c r="B14" s="585" t="s">
        <v>2527</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360" t="s">
        <v>2378</v>
      </c>
      <c r="Q14" s="1536" t="str">
        <f t="shared" si="6"/>
        <v>交通便捷度</v>
      </c>
      <c r="R14" s="714" t="s">
        <v>17</v>
      </c>
      <c r="S14" s="715">
        <f t="shared" si="0"/>
        <v>100</v>
      </c>
      <c r="T14" s="714" t="s">
        <v>17</v>
      </c>
      <c r="U14" s="715">
        <f t="shared" si="1"/>
        <v>100</v>
      </c>
      <c r="V14" s="714" t="s">
        <v>17</v>
      </c>
      <c r="W14" s="715">
        <f t="shared" si="2"/>
        <v>100</v>
      </c>
      <c r="X14" s="1539"/>
      <c r="Y14" s="3360" t="s">
        <v>2378</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8"/>
      <c r="M15" s="2942"/>
      <c r="N15" s="2942"/>
      <c r="O15" s="2942"/>
      <c r="P15" s="3361"/>
      <c r="Q15" s="1536"/>
      <c r="R15" s="714"/>
      <c r="S15" s="715"/>
      <c r="T15" s="714"/>
      <c r="U15" s="715"/>
      <c r="V15" s="714"/>
      <c r="W15" s="715"/>
      <c r="X15" s="1539"/>
      <c r="Y15" s="3361"/>
      <c r="Z15" s="1540"/>
      <c r="AA15" s="1537">
        <v>1</v>
      </c>
      <c r="AB15" s="1537">
        <v>1</v>
      </c>
      <c r="AC15" s="1537">
        <v>1</v>
      </c>
    </row>
    <row r="16" spans="1:29" ht="42.75">
      <c r="A16" s="364"/>
      <c r="B16" s="587" t="s">
        <v>2506</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361"/>
      <c r="Q16" s="1536" t="str">
        <f>B16</f>
        <v>公共配套设施</v>
      </c>
      <c r="R16" s="714" t="s">
        <v>17</v>
      </c>
      <c r="S16" s="715">
        <f>F16</f>
        <v>100</v>
      </c>
      <c r="T16" s="714" t="s">
        <v>17</v>
      </c>
      <c r="U16" s="715">
        <f>H16</f>
        <v>100</v>
      </c>
      <c r="V16" s="714" t="s">
        <v>17</v>
      </c>
      <c r="W16" s="715">
        <f>J16</f>
        <v>100</v>
      </c>
      <c r="X16" s="1539"/>
      <c r="Y16" s="3361"/>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8"/>
      <c r="M17" s="2942"/>
      <c r="N17" s="2942"/>
      <c r="O17" s="2942"/>
      <c r="P17" s="3361"/>
      <c r="Q17" s="1536"/>
      <c r="R17" s="714"/>
      <c r="S17" s="715"/>
      <c r="T17" s="714"/>
      <c r="U17" s="715"/>
      <c r="V17" s="714"/>
      <c r="W17" s="715"/>
      <c r="X17" s="1539"/>
      <c r="Y17" s="3361"/>
      <c r="Z17" s="1540"/>
      <c r="AA17" s="1537">
        <v>1</v>
      </c>
      <c r="AB17" s="1537">
        <v>1</v>
      </c>
      <c r="AC17" s="1537">
        <v>1</v>
      </c>
    </row>
    <row r="18" spans="1:29" ht="28.5">
      <c r="A18" s="364"/>
      <c r="B18" s="589" t="s">
        <v>2507</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361"/>
      <c r="Q18" s="1536" t="str">
        <f>B18</f>
        <v>基础设施水平</v>
      </c>
      <c r="R18" s="714" t="s">
        <v>17</v>
      </c>
      <c r="S18" s="715">
        <f>F18</f>
        <v>100</v>
      </c>
      <c r="T18" s="714" t="s">
        <v>17</v>
      </c>
      <c r="U18" s="715">
        <f>H18</f>
        <v>100</v>
      </c>
      <c r="V18" s="714" t="s">
        <v>17</v>
      </c>
      <c r="W18" s="715">
        <f>J18</f>
        <v>100</v>
      </c>
      <c r="X18" s="1539"/>
      <c r="Y18" s="3361"/>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8"/>
      <c r="M19" s="2942"/>
      <c r="N19" s="2942"/>
      <c r="O19" s="2942"/>
      <c r="P19" s="3361"/>
      <c r="Q19" s="1536"/>
      <c r="R19" s="714"/>
      <c r="S19" s="715"/>
      <c r="T19" s="714"/>
      <c r="U19" s="715"/>
      <c r="V19" s="714"/>
      <c r="W19" s="715"/>
      <c r="X19" s="1539"/>
      <c r="Y19" s="3361"/>
      <c r="Z19" s="1540"/>
      <c r="AA19" s="1537">
        <v>1</v>
      </c>
      <c r="AB19" s="1537">
        <v>1</v>
      </c>
      <c r="AC19" s="1537">
        <v>1</v>
      </c>
    </row>
    <row r="20" spans="1:29" ht="57">
      <c r="A20" s="364"/>
      <c r="B20" s="587" t="s">
        <v>2528</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361"/>
      <c r="Q20" s="1536" t="str">
        <f>B20</f>
        <v>自然及人文环境</v>
      </c>
      <c r="R20" s="714" t="s">
        <v>17</v>
      </c>
      <c r="S20" s="715">
        <f>F20</f>
        <v>100</v>
      </c>
      <c r="T20" s="714" t="s">
        <v>17</v>
      </c>
      <c r="U20" s="715">
        <f>H20</f>
        <v>100</v>
      </c>
      <c r="V20" s="714" t="s">
        <v>17</v>
      </c>
      <c r="W20" s="715">
        <f>J20</f>
        <v>100</v>
      </c>
      <c r="X20" s="1539"/>
      <c r="Y20" s="336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8"/>
      <c r="M21" s="2942"/>
      <c r="N21" s="2942"/>
      <c r="O21" s="2942"/>
      <c r="P21" s="3361"/>
      <c r="Q21" s="1536"/>
      <c r="R21" s="714"/>
      <c r="S21" s="715"/>
      <c r="T21" s="714"/>
      <c r="U21" s="715"/>
      <c r="V21" s="714"/>
      <c r="W21" s="715"/>
      <c r="X21" s="1539"/>
      <c r="Y21" s="3361"/>
      <c r="Z21" s="1540"/>
      <c r="AA21" s="1537">
        <v>1</v>
      </c>
      <c r="AB21" s="1537">
        <v>1</v>
      </c>
      <c r="AC21" s="1537">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61"/>
      <c r="Q22" s="1536" t="str">
        <f>B22</f>
        <v>楼层</v>
      </c>
      <c r="R22" s="714" t="s">
        <v>17</v>
      </c>
      <c r="S22" s="715">
        <f>F22</f>
        <v>100</v>
      </c>
      <c r="T22" s="714" t="s">
        <v>17</v>
      </c>
      <c r="U22" s="715">
        <f>H22</f>
        <v>100</v>
      </c>
      <c r="V22" s="714" t="s">
        <v>17</v>
      </c>
      <c r="W22" s="715">
        <f>J22</f>
        <v>100</v>
      </c>
      <c r="X22" s="1539"/>
      <c r="Y22" s="336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61"/>
      <c r="Q23" s="1536">
        <f>B23</f>
        <v>111</v>
      </c>
      <c r="R23" s="714" t="s">
        <v>17</v>
      </c>
      <c r="S23" s="715">
        <f>F23</f>
        <v>100</v>
      </c>
      <c r="T23" s="714" t="s">
        <v>17</v>
      </c>
      <c r="U23" s="715">
        <f>H23</f>
        <v>100</v>
      </c>
      <c r="V23" s="714" t="s">
        <v>17</v>
      </c>
      <c r="W23" s="715">
        <f>J23</f>
        <v>100</v>
      </c>
      <c r="X23" s="1539"/>
      <c r="Y23" s="336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61"/>
      <c r="Q24" s="1536">
        <f t="shared" ref="Q24:Q36" si="11">B24</f>
        <v>111</v>
      </c>
      <c r="R24" s="714" t="s">
        <v>17</v>
      </c>
      <c r="S24" s="715">
        <f>F24</f>
        <v>100</v>
      </c>
      <c r="T24" s="714" t="s">
        <v>17</v>
      </c>
      <c r="U24" s="715">
        <f>H24</f>
        <v>100</v>
      </c>
      <c r="V24" s="714" t="s">
        <v>17</v>
      </c>
      <c r="W24" s="715">
        <f>J24</f>
        <v>100</v>
      </c>
      <c r="X24" s="1539"/>
      <c r="Y24" s="3361"/>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61"/>
      <c r="Q25" s="1527">
        <f t="shared" si="11"/>
        <v>111</v>
      </c>
      <c r="R25" s="710" t="s">
        <v>17</v>
      </c>
      <c r="S25" s="711">
        <f>F25</f>
        <v>100</v>
      </c>
      <c r="T25" s="710" t="s">
        <v>17</v>
      </c>
      <c r="U25" s="711">
        <f>H25</f>
        <v>100</v>
      </c>
      <c r="V25" s="710" t="s">
        <v>17</v>
      </c>
      <c r="W25" s="711">
        <f>J25</f>
        <v>100</v>
      </c>
      <c r="X25" s="712"/>
      <c r="Y25" s="3361"/>
      <c r="Z25" s="55">
        <f>Q25</f>
        <v>111</v>
      </c>
      <c r="AA25" s="1537">
        <f>D25/F25</f>
        <v>1</v>
      </c>
      <c r="AB25" s="1537">
        <f>D25/H25</f>
        <v>1</v>
      </c>
      <c r="AC25" s="1537">
        <f>D25/J25</f>
        <v>1</v>
      </c>
    </row>
    <row r="26" spans="1:29" ht="28.5">
      <c r="A26" s="608" t="s">
        <v>2381</v>
      </c>
      <c r="B26" s="66" t="s">
        <v>2530</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385" t="s">
        <v>2383</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65" t="s">
        <v>2383</v>
      </c>
      <c r="Z26" s="1540" t="str">
        <f t="shared" ref="Z26:Z36" si="15">Q26</f>
        <v>配套类型</v>
      </c>
      <c r="AA26" s="1537">
        <f t="shared" si="3"/>
        <v>1</v>
      </c>
      <c r="AB26" s="1537">
        <f t="shared" si="4"/>
        <v>1</v>
      </c>
      <c r="AC26" s="1537">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65"/>
      <c r="Q27" s="716" t="str">
        <f t="shared" si="11"/>
        <v>项目停车位配比</v>
      </c>
      <c r="R27" s="717" t="s">
        <v>17</v>
      </c>
      <c r="S27" s="718">
        <f t="shared" si="12"/>
        <v>100</v>
      </c>
      <c r="T27" s="717" t="s">
        <v>17</v>
      </c>
      <c r="U27" s="718">
        <f t="shared" si="13"/>
        <v>100</v>
      </c>
      <c r="V27" s="717" t="s">
        <v>17</v>
      </c>
      <c r="W27" s="718">
        <f t="shared" si="14"/>
        <v>100</v>
      </c>
      <c r="X27" s="719"/>
      <c r="Y27" s="3365"/>
      <c r="Z27" s="720" t="str">
        <f t="shared" si="15"/>
        <v>项目停车位配比</v>
      </c>
      <c r="AA27" s="1537">
        <f t="shared" si="3"/>
        <v>1</v>
      </c>
      <c r="AB27" s="1537">
        <f t="shared" si="4"/>
        <v>1</v>
      </c>
      <c r="AC27" s="1537">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365"/>
      <c r="Q28" s="1536" t="str">
        <f t="shared" si="11"/>
        <v>公共部分装修</v>
      </c>
      <c r="R28" s="714" t="s">
        <v>17</v>
      </c>
      <c r="S28" s="715">
        <f t="shared" si="12"/>
        <v>100</v>
      </c>
      <c r="T28" s="714" t="s">
        <v>17</v>
      </c>
      <c r="U28" s="715">
        <f t="shared" si="13"/>
        <v>100</v>
      </c>
      <c r="V28" s="714" t="s">
        <v>17</v>
      </c>
      <c r="W28" s="715">
        <f t="shared" si="14"/>
        <v>100</v>
      </c>
      <c r="X28" s="1539"/>
      <c r="Y28" s="3365"/>
      <c r="Z28" s="1540" t="str">
        <f t="shared" si="15"/>
        <v>公共部分装修</v>
      </c>
      <c r="AA28" s="1537">
        <f t="shared" si="3"/>
        <v>1</v>
      </c>
      <c r="AB28" s="1537">
        <f t="shared" si="4"/>
        <v>1</v>
      </c>
      <c r="AC28" s="1537">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365"/>
      <c r="Q29" s="1536" t="str">
        <f t="shared" si="11"/>
        <v>成新率</v>
      </c>
      <c r="R29" s="714" t="s">
        <v>17</v>
      </c>
      <c r="S29" s="715" t="e">
        <f t="shared" si="12"/>
        <v>#N/A</v>
      </c>
      <c r="T29" s="714" t="s">
        <v>17</v>
      </c>
      <c r="U29" s="715" t="e">
        <f t="shared" si="13"/>
        <v>#N/A</v>
      </c>
      <c r="V29" s="714" t="s">
        <v>17</v>
      </c>
      <c r="W29" s="715" t="e">
        <f t="shared" si="14"/>
        <v>#N/A</v>
      </c>
      <c r="X29" s="1539"/>
      <c r="Y29" s="3365"/>
      <c r="Z29" s="1540" t="str">
        <f t="shared" si="15"/>
        <v>成新率</v>
      </c>
      <c r="AA29" s="1537" t="e">
        <f t="shared" si="3"/>
        <v>#N/A</v>
      </c>
      <c r="AB29" s="1537" t="e">
        <f t="shared" si="4"/>
        <v>#N/A</v>
      </c>
      <c r="AC29" s="1537"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65"/>
      <c r="Q30" s="1536" t="str">
        <f t="shared" si="11"/>
        <v>物业等级</v>
      </c>
      <c r="R30" s="714" t="s">
        <v>17</v>
      </c>
      <c r="S30" s="715">
        <f t="shared" si="12"/>
        <v>100</v>
      </c>
      <c r="T30" s="714" t="s">
        <v>17</v>
      </c>
      <c r="U30" s="715">
        <f t="shared" si="13"/>
        <v>100</v>
      </c>
      <c r="V30" s="714" t="s">
        <v>17</v>
      </c>
      <c r="W30" s="715">
        <f t="shared" si="14"/>
        <v>100</v>
      </c>
      <c r="X30" s="1539"/>
      <c r="Y30" s="3365"/>
      <c r="Z30" s="1540" t="str">
        <f t="shared" si="15"/>
        <v>物业等级</v>
      </c>
      <c r="AA30" s="1537">
        <f t="shared" si="3"/>
        <v>1</v>
      </c>
      <c r="AB30" s="1537">
        <f t="shared" si="4"/>
        <v>1</v>
      </c>
      <c r="AC30" s="1537">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365"/>
      <c r="Q31" s="1527" t="str">
        <f t="shared" si="11"/>
        <v>停车位面积</v>
      </c>
      <c r="R31" s="710" t="s">
        <v>17</v>
      </c>
      <c r="S31" s="711" t="e">
        <f t="shared" si="12"/>
        <v>#N/A</v>
      </c>
      <c r="T31" s="710" t="s">
        <v>17</v>
      </c>
      <c r="U31" s="711" t="e">
        <f t="shared" si="13"/>
        <v>#N/A</v>
      </c>
      <c r="V31" s="710" t="s">
        <v>17</v>
      </c>
      <c r="W31" s="711" t="e">
        <f t="shared" si="14"/>
        <v>#N/A</v>
      </c>
      <c r="X31" s="712"/>
      <c r="Y31" s="3365"/>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365" t="s">
        <v>2383</v>
      </c>
      <c r="Q32" s="1536" t="str">
        <f t="shared" si="11"/>
        <v>车位类型</v>
      </c>
      <c r="R32" s="714" t="s">
        <v>17</v>
      </c>
      <c r="S32" s="715">
        <f t="shared" si="12"/>
        <v>100</v>
      </c>
      <c r="T32" s="714" t="s">
        <v>17</v>
      </c>
      <c r="U32" s="715">
        <f t="shared" si="13"/>
        <v>100</v>
      </c>
      <c r="V32" s="714" t="s">
        <v>17</v>
      </c>
      <c r="W32" s="715">
        <f t="shared" si="14"/>
        <v>100</v>
      </c>
      <c r="X32" s="1539"/>
      <c r="Y32" s="3365" t="s">
        <v>2383</v>
      </c>
      <c r="Z32" s="1540" t="str">
        <f t="shared" si="15"/>
        <v>车位类型</v>
      </c>
      <c r="AA32" s="1537">
        <f t="shared" si="3"/>
        <v>1</v>
      </c>
      <c r="AB32" s="1537">
        <f t="shared" si="4"/>
        <v>1</v>
      </c>
      <c r="AC32" s="1537">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65"/>
      <c r="Q33" s="1536" t="str">
        <f t="shared" si="11"/>
        <v>是否直接入户</v>
      </c>
      <c r="R33" s="714" t="s">
        <v>17</v>
      </c>
      <c r="S33" s="715">
        <f t="shared" si="12"/>
        <v>100</v>
      </c>
      <c r="T33" s="714" t="s">
        <v>17</v>
      </c>
      <c r="U33" s="715">
        <f t="shared" si="13"/>
        <v>100</v>
      </c>
      <c r="V33" s="714" t="s">
        <v>17</v>
      </c>
      <c r="W33" s="715">
        <f t="shared" si="14"/>
        <v>100</v>
      </c>
      <c r="X33" s="1539"/>
      <c r="Y33" s="336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65"/>
      <c r="Q34" s="1536">
        <f t="shared" si="11"/>
        <v>111</v>
      </c>
      <c r="R34" s="714" t="s">
        <v>17</v>
      </c>
      <c r="S34" s="715">
        <f t="shared" si="12"/>
        <v>100</v>
      </c>
      <c r="T34" s="714" t="s">
        <v>17</v>
      </c>
      <c r="U34" s="715">
        <f t="shared" si="13"/>
        <v>100</v>
      </c>
      <c r="V34" s="714" t="s">
        <v>17</v>
      </c>
      <c r="W34" s="715">
        <f t="shared" si="14"/>
        <v>100</v>
      </c>
      <c r="X34" s="1539"/>
      <c r="Y34" s="336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65"/>
      <c r="Q35" s="716">
        <f t="shared" si="11"/>
        <v>111</v>
      </c>
      <c r="R35" s="717" t="s">
        <v>17</v>
      </c>
      <c r="S35" s="718">
        <f t="shared" si="12"/>
        <v>100</v>
      </c>
      <c r="T35" s="717" t="s">
        <v>17</v>
      </c>
      <c r="U35" s="718">
        <f t="shared" si="13"/>
        <v>100</v>
      </c>
      <c r="V35" s="717" t="s">
        <v>17</v>
      </c>
      <c r="W35" s="718">
        <f t="shared" si="14"/>
        <v>100</v>
      </c>
      <c r="X35" s="719"/>
      <c r="Y35" s="336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65"/>
      <c r="Q36" s="1536">
        <f t="shared" si="11"/>
        <v>111</v>
      </c>
      <c r="R36" s="714" t="s">
        <v>17</v>
      </c>
      <c r="S36" s="715">
        <f t="shared" si="12"/>
        <v>100</v>
      </c>
      <c r="T36" s="714" t="s">
        <v>17</v>
      </c>
      <c r="U36" s="715">
        <f t="shared" si="13"/>
        <v>100</v>
      </c>
      <c r="V36" s="714" t="s">
        <v>17</v>
      </c>
      <c r="W36" s="715">
        <f t="shared" si="14"/>
        <v>100</v>
      </c>
      <c r="X36" s="1539"/>
      <c r="Y36" s="3365"/>
      <c r="Z36" s="1540">
        <f t="shared" si="15"/>
        <v>111</v>
      </c>
      <c r="AA36" s="1537">
        <f t="shared" si="3"/>
        <v>1</v>
      </c>
      <c r="AB36" s="1537">
        <f t="shared" si="4"/>
        <v>1</v>
      </c>
      <c r="AC36" s="1537">
        <f t="shared" si="5"/>
        <v>1</v>
      </c>
    </row>
    <row r="37" spans="1:29" ht="15">
      <c r="A37" s="438" t="s">
        <v>2538</v>
      </c>
      <c r="B37" s="2159" t="s">
        <v>2539</v>
      </c>
      <c r="C37" s="1316" t="s">
        <v>1</v>
      </c>
      <c r="D37" s="1317"/>
      <c r="E37" s="1318"/>
      <c r="F37" s="1319"/>
      <c r="G37" s="1320"/>
      <c r="H37" s="1321"/>
      <c r="I37" s="1318"/>
      <c r="J37" s="1321"/>
      <c r="K37" s="576"/>
      <c r="L37" s="2950"/>
      <c r="M37" s="2951"/>
      <c r="N37" s="2942"/>
      <c r="O37" s="2951"/>
      <c r="P37" s="3358" t="str">
        <f>A37</f>
        <v>成交单价</v>
      </c>
      <c r="Q37" s="3358"/>
      <c r="R37" s="3359">
        <f>E37</f>
        <v>0</v>
      </c>
      <c r="S37" s="3359"/>
      <c r="T37" s="3359">
        <f>G37</f>
        <v>0</v>
      </c>
      <c r="U37" s="3359"/>
      <c r="V37" s="3359">
        <f>I37</f>
        <v>0</v>
      </c>
      <c r="W37" s="3359"/>
      <c r="X37" s="699"/>
      <c r="Y37" s="721"/>
      <c r="Z37" s="699"/>
      <c r="AA37" s="699"/>
      <c r="AB37" s="699"/>
      <c r="AC37" s="699"/>
    </row>
    <row r="38" spans="1:29" ht="15.75" thickBot="1">
      <c r="A38" s="445" t="s">
        <v>2540</v>
      </c>
      <c r="B38" s="446" t="str">
        <f>B37</f>
        <v>元/车位</v>
      </c>
      <c r="C38" s="1322" t="e">
        <f>R39</f>
        <v>#DIV/0!</v>
      </c>
      <c r="D38" s="2538" t="s">
        <v>2877</v>
      </c>
      <c r="E38" s="1323" t="e">
        <f>R38</f>
        <v>#DIV/0!</v>
      </c>
      <c r="F38" s="2539"/>
      <c r="G38" s="1322" t="e">
        <f>T38</f>
        <v>#DIV/0!</v>
      </c>
      <c r="H38" s="2539"/>
      <c r="I38" s="1323" t="e">
        <f>V38</f>
        <v>#DIV/0!</v>
      </c>
      <c r="J38" s="2539"/>
      <c r="K38" s="2541">
        <f>F38+H38+J38</f>
        <v>0</v>
      </c>
      <c r="L38" s="2950"/>
      <c r="M38" s="2951"/>
      <c r="N38" s="2951"/>
      <c r="O38" s="2951"/>
      <c r="P38" s="3358" t="str">
        <f>A38</f>
        <v>比较价值（元/平方米）</v>
      </c>
      <c r="Q38" s="3358"/>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699"/>
      <c r="Y38" s="699"/>
      <c r="Z38" s="699"/>
      <c r="AA38" s="699"/>
      <c r="AB38" s="699"/>
      <c r="AC38" s="699"/>
    </row>
    <row r="39" spans="1:29" ht="15.75" thickBot="1">
      <c r="A39" s="449" t="s">
        <v>2541</v>
      </c>
      <c r="B39" s="450"/>
      <c r="C39" s="1325" t="e">
        <f>R39</f>
        <v>#DIV/0!</v>
      </c>
      <c r="D39" s="1325"/>
      <c r="E39" s="1325"/>
      <c r="F39" s="1325"/>
      <c r="G39" s="1325"/>
      <c r="H39" s="1325"/>
      <c r="I39" s="1325"/>
      <c r="J39" s="1325"/>
      <c r="K39" s="577"/>
      <c r="L39" s="2950"/>
      <c r="M39" s="2951"/>
      <c r="N39" s="2951"/>
      <c r="O39" s="2951"/>
      <c r="P39" s="3355" t="str">
        <f>A39</f>
        <v>估价对象XX用房的比较价值（楼面单价，元/平方米）</v>
      </c>
      <c r="Q39" s="3356"/>
      <c r="R39" s="3386" t="e">
        <f>IF(F1="售价",ROUND(IF(D38="简单平均",AVERAGE(R38:W38),R38*F38+T38*H38+V38*J38),0),ROUND(IF(D38="简单平均",AVERAGE(R38:V38),R38*F38+T38*H38+V38*J38),1))</f>
        <v>#DIV/0!</v>
      </c>
      <c r="S39" s="3386"/>
      <c r="T39" s="3386"/>
      <c r="U39" s="3386"/>
      <c r="V39" s="3386"/>
      <c r="W39" s="3386"/>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8" t="s">
        <v>2545</v>
      </c>
      <c r="B47" s="1058"/>
      <c r="C47" s="1071"/>
      <c r="D47" s="1071"/>
      <c r="E47" s="1071"/>
      <c r="F47" s="1329"/>
      <c r="G47" s="1329"/>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ht="15">
      <c r="A48" s="462" t="s">
        <v>2546</v>
      </c>
      <c r="B48" s="463"/>
      <c r="C48" s="1346" t="str">
        <f>YEAR(C7)&amp;"-"&amp;MONTH(C7)</f>
        <v>2021-6</v>
      </c>
      <c r="D48" s="1347">
        <f>EDATE(C48,-1)</f>
        <v>44317</v>
      </c>
      <c r="E48" s="1347">
        <f t="shared" ref="E48:O48" si="16">EDATE(D48,-1)</f>
        <v>44287</v>
      </c>
      <c r="F48" s="1347">
        <f t="shared" si="16"/>
        <v>44256</v>
      </c>
      <c r="G48" s="1347">
        <f t="shared" si="16"/>
        <v>44228</v>
      </c>
      <c r="H48" s="1347">
        <f t="shared" si="16"/>
        <v>44197</v>
      </c>
      <c r="I48" s="1347">
        <f t="shared" si="16"/>
        <v>44166</v>
      </c>
      <c r="J48" s="1347">
        <f t="shared" si="16"/>
        <v>44136</v>
      </c>
      <c r="K48" s="1347">
        <f t="shared" si="16"/>
        <v>44105</v>
      </c>
      <c r="L48" s="1347">
        <f t="shared" si="16"/>
        <v>44075</v>
      </c>
      <c r="M48" s="1347">
        <f t="shared" si="16"/>
        <v>44044</v>
      </c>
      <c r="N48" s="1347">
        <f t="shared" si="16"/>
        <v>44013</v>
      </c>
      <c r="O48" s="1347">
        <f t="shared" si="16"/>
        <v>43983</v>
      </c>
      <c r="P48" s="2985"/>
      <c r="Q48" s="2967"/>
      <c r="R48" s="2967"/>
      <c r="S48" s="2967"/>
      <c r="T48" s="2967"/>
      <c r="U48" s="2967"/>
      <c r="V48" s="2967"/>
      <c r="W48" s="2967"/>
      <c r="X48" s="2967"/>
      <c r="Y48" s="2967"/>
      <c r="Z48" s="2967"/>
      <c r="AA48" s="2967"/>
      <c r="AB48" s="2967"/>
      <c r="AC48" s="2967"/>
    </row>
    <row r="49" spans="1:29" s="113" customFormat="1" ht="15">
      <c r="A49" s="466"/>
      <c r="B49" s="467"/>
      <c r="C49" s="1339">
        <v>100</v>
      </c>
      <c r="D49" s="469"/>
      <c r="E49" s="469"/>
      <c r="F49" s="469"/>
      <c r="G49" s="469"/>
      <c r="H49" s="469"/>
      <c r="I49" s="469"/>
      <c r="J49" s="469"/>
      <c r="K49" s="469"/>
      <c r="L49" s="469"/>
      <c r="M49" s="470"/>
      <c r="N49" s="469"/>
      <c r="O49" s="470"/>
      <c r="P49" s="2986"/>
      <c r="Q49" s="2885"/>
      <c r="R49" s="2885"/>
      <c r="S49" s="2885"/>
      <c r="T49" s="2885"/>
      <c r="U49" s="2885"/>
      <c r="V49" s="2885"/>
      <c r="W49" s="2885"/>
      <c r="X49" s="2885"/>
      <c r="Y49" s="2885"/>
      <c r="Z49" s="2885"/>
      <c r="AA49" s="2885"/>
      <c r="AB49" s="2885"/>
      <c r="AC49" s="2885"/>
    </row>
    <row r="50" spans="1:29" s="113" customFormat="1" ht="15.75" thickBot="1">
      <c r="A50" s="472" t="s">
        <v>2403</v>
      </c>
      <c r="B50" s="473"/>
      <c r="C50" s="474"/>
      <c r="D50" s="475"/>
      <c r="E50" s="475"/>
      <c r="F50" s="475"/>
      <c r="G50" s="475"/>
      <c r="H50" s="475"/>
      <c r="I50" s="475"/>
      <c r="J50" s="475"/>
      <c r="K50" s="475"/>
      <c r="L50" s="475"/>
      <c r="M50" s="476"/>
      <c r="N50" s="475"/>
      <c r="O50" s="476"/>
      <c r="P50" s="2986"/>
      <c r="Q50" s="2965"/>
      <c r="R50" s="2885"/>
      <c r="S50" s="2885"/>
      <c r="T50" s="2885"/>
      <c r="U50" s="2885"/>
      <c r="V50" s="2885"/>
      <c r="W50" s="2885"/>
      <c r="X50" s="2885"/>
      <c r="Y50" s="2885"/>
      <c r="Z50" s="2885"/>
      <c r="AA50" s="2885"/>
      <c r="AB50" s="2885"/>
      <c r="AC50" s="2885"/>
    </row>
    <row r="51" spans="1:29" s="113" customFormat="1" ht="15">
      <c r="A51" s="478" t="s">
        <v>2368</v>
      </c>
      <c r="B51" s="467"/>
      <c r="C51" s="479" t="s">
        <v>2470</v>
      </c>
      <c r="D51" s="480"/>
      <c r="E51" s="480"/>
      <c r="F51" s="480"/>
      <c r="G51" s="480"/>
      <c r="H51" s="480"/>
      <c r="I51" s="480"/>
      <c r="J51" s="480"/>
      <c r="K51" s="480"/>
      <c r="L51" s="481"/>
      <c r="M51" s="482"/>
      <c r="N51" s="2978"/>
      <c r="O51" s="2978"/>
      <c r="P51" s="2987"/>
      <c r="Q51" s="2965"/>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5"/>
      <c r="S52" s="2885"/>
      <c r="T52" s="2885"/>
      <c r="U52" s="2885"/>
      <c r="V52" s="2885"/>
      <c r="W52" s="2885"/>
      <c r="X52" s="2885"/>
      <c r="Y52" s="2885"/>
      <c r="Z52" s="2885"/>
      <c r="AA52" s="2885"/>
      <c r="AB52" s="2885"/>
      <c r="AC52" s="2885"/>
    </row>
    <row r="53" spans="1:29">
      <c r="A53" s="484" t="s">
        <v>2406</v>
      </c>
      <c r="B53" s="485" t="s">
        <v>2372</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2421</v>
      </c>
      <c r="C65" s="535" t="s">
        <v>2415</v>
      </c>
      <c r="D65" s="535" t="s">
        <v>2416</v>
      </c>
      <c r="E65" s="535" t="s">
        <v>2417</v>
      </c>
      <c r="F65" s="535" t="s">
        <v>2418</v>
      </c>
      <c r="G65" s="535" t="s">
        <v>2419</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2507</v>
      </c>
      <c r="C67" s="616" t="s">
        <v>2493</v>
      </c>
      <c r="D67" s="616" t="s">
        <v>2494</v>
      </c>
      <c r="E67" s="616" t="s">
        <v>2495</v>
      </c>
      <c r="F67" s="616" t="s">
        <v>2496</v>
      </c>
      <c r="G67" s="616" t="s">
        <v>2497</v>
      </c>
      <c r="H67" s="496"/>
      <c r="I67" s="496"/>
      <c r="J67" s="496"/>
      <c r="K67" s="496"/>
      <c r="L67" s="496"/>
      <c r="M67" s="1291"/>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2427</v>
      </c>
      <c r="C69" s="535" t="s">
        <v>2415</v>
      </c>
      <c r="D69" s="535" t="s">
        <v>2416</v>
      </c>
      <c r="E69" s="535" t="s">
        <v>2417</v>
      </c>
      <c r="F69" s="535" t="s">
        <v>2418</v>
      </c>
      <c r="G69" s="535" t="s">
        <v>2419</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2547</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80"/>
      <c r="O74" s="2980"/>
      <c r="P74" s="2988"/>
      <c r="Q74" s="2965"/>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80"/>
      <c r="O76" s="2980"/>
      <c r="P76" s="2988"/>
      <c r="Q76" s="2965"/>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2381</v>
      </c>
      <c r="B79" s="485" t="s">
        <v>2548</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2549</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2434</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2551</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2553</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2554</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2525</v>
      </c>
      <c r="B1" s="1391"/>
      <c r="C1" s="1392" t="s">
        <v>2348</v>
      </c>
      <c r="D1" s="1393"/>
      <c r="E1" s="1402"/>
      <c r="F1" s="2065"/>
      <c r="G1" s="1403" t="s">
        <v>2461</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2145</v>
      </c>
      <c r="B2" s="1326" t="e">
        <f ca="1">IF(C2="——",ROUND(C37*D3/10000,0),ROUND(C37*D3/10000,0)-D2)</f>
        <v>#DIV/0!</v>
      </c>
      <c r="C2" s="2067"/>
      <c r="D2" s="1038" t="e">
        <f ca="1">SUMIF(INDIRECT("'"&amp;F2&amp;"'"&amp;"!A:A"),"承租人权益价值",INDIRECT("'"&amp;F2&amp;"'"&amp;"!c:c"))</f>
        <v>#REF!</v>
      </c>
      <c r="E2" s="2068" t="s">
        <v>2146</v>
      </c>
      <c r="F2" s="2069"/>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2462</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2463</v>
      </c>
      <c r="B4" s="362"/>
      <c r="C4" s="3341" t="s">
        <v>2464</v>
      </c>
      <c r="D4" s="3342"/>
      <c r="E4" s="3343" t="s">
        <v>2465</v>
      </c>
      <c r="F4" s="3344"/>
      <c r="G4" s="3341" t="s">
        <v>2466</v>
      </c>
      <c r="H4" s="3342"/>
      <c r="I4" s="3341" t="s">
        <v>2467</v>
      </c>
      <c r="J4" s="3342"/>
      <c r="K4" s="567" t="s">
        <v>2468</v>
      </c>
      <c r="L4" s="2941"/>
      <c r="M4" s="2942"/>
      <c r="N4" s="2942"/>
      <c r="O4" s="2942"/>
      <c r="P4" s="3345" t="s">
        <v>2469</v>
      </c>
      <c r="Q4" s="3346"/>
      <c r="R4" s="3328" t="s">
        <v>2465</v>
      </c>
      <c r="S4" s="3329"/>
      <c r="T4" s="3328" t="s">
        <v>2466</v>
      </c>
      <c r="U4" s="3329"/>
      <c r="V4" s="3353" t="s">
        <v>2467</v>
      </c>
      <c r="W4" s="3353"/>
      <c r="X4" s="1539"/>
      <c r="Y4" s="3328" t="s">
        <v>2469</v>
      </c>
      <c r="Z4" s="3329"/>
      <c r="AA4" s="3323" t="s">
        <v>2465</v>
      </c>
      <c r="AB4" s="3324" t="s">
        <v>2466</v>
      </c>
      <c r="AC4" s="3323" t="s">
        <v>2467</v>
      </c>
    </row>
    <row r="5" spans="1:29" ht="15">
      <c r="A5" s="364"/>
      <c r="B5" s="365"/>
      <c r="C5" s="3334" t="s">
        <v>2360</v>
      </c>
      <c r="D5" s="3335"/>
      <c r="E5" s="3332" t="s">
        <v>2361</v>
      </c>
      <c r="F5" s="3333"/>
      <c r="G5" s="3334" t="s">
        <v>2362</v>
      </c>
      <c r="H5" s="3335"/>
      <c r="I5" s="3334" t="s">
        <v>2363</v>
      </c>
      <c r="J5" s="3335"/>
      <c r="K5" s="567"/>
      <c r="L5" s="2941"/>
      <c r="M5" s="2942"/>
      <c r="N5" s="2942"/>
      <c r="O5" s="2942"/>
      <c r="P5" s="3347"/>
      <c r="Q5" s="3348"/>
      <c r="R5" s="3330"/>
      <c r="S5" s="3331"/>
      <c r="T5" s="3330"/>
      <c r="U5" s="3331"/>
      <c r="V5" s="3353"/>
      <c r="W5" s="3353"/>
      <c r="X5" s="1539"/>
      <c r="Y5" s="3330"/>
      <c r="Z5" s="3331"/>
      <c r="AA5" s="3324"/>
      <c r="AB5" s="3324"/>
      <c r="AC5" s="3324"/>
    </row>
    <row r="6" spans="1:29" ht="15.75" thickBot="1">
      <c r="A6" s="366"/>
      <c r="B6" s="367"/>
      <c r="C6" s="3336" t="s">
        <v>2364</v>
      </c>
      <c r="D6" s="3337"/>
      <c r="E6" s="3338" t="s">
        <v>2364</v>
      </c>
      <c r="F6" s="3339"/>
      <c r="G6" s="3336" t="s">
        <v>2364</v>
      </c>
      <c r="H6" s="3337"/>
      <c r="I6" s="3336" t="s">
        <v>2364</v>
      </c>
      <c r="J6" s="3337"/>
      <c r="K6" s="567" t="s">
        <v>2365</v>
      </c>
      <c r="L6" s="2941"/>
      <c r="M6" s="2942"/>
      <c r="N6" s="2942"/>
      <c r="O6" s="2942"/>
      <c r="P6" s="3349"/>
      <c r="Q6" s="3350"/>
      <c r="R6" s="3330"/>
      <c r="S6" s="3331"/>
      <c r="T6" s="3351"/>
      <c r="U6" s="3352"/>
      <c r="V6" s="3353"/>
      <c r="W6" s="3353"/>
      <c r="X6" s="1539"/>
      <c r="Y6" s="3351"/>
      <c r="Z6" s="3352"/>
      <c r="AA6" s="3325"/>
      <c r="AB6" s="3325"/>
      <c r="AC6" s="3325"/>
    </row>
    <row r="7" spans="1:29" s="113" customFormat="1" ht="15.75" thickBot="1">
      <c r="A7" s="368" t="s">
        <v>2366</v>
      </c>
      <c r="B7" s="369"/>
      <c r="C7" s="370">
        <f>'数据-取费表'!B2</f>
        <v>44370</v>
      </c>
      <c r="D7" s="371">
        <v>100</v>
      </c>
      <c r="E7" s="372"/>
      <c r="F7" s="373">
        <f>SUMIF(46:46,YEAR(E7)&amp;"-"&amp;MONTH(E7),47:47)</f>
        <v>0</v>
      </c>
      <c r="G7" s="2160"/>
      <c r="H7" s="371">
        <f>SUMIF(46:46,YEAR(G7)&amp;"-"&amp;MONTH(G7),47:47)</f>
        <v>0</v>
      </c>
      <c r="I7" s="372"/>
      <c r="J7" s="371">
        <f>SUMIF(46:46,YEAR(I7)&amp;"-"&amp;MONTH(I7),47:47)</f>
        <v>0</v>
      </c>
      <c r="K7" s="568"/>
      <c r="L7" s="2943"/>
      <c r="M7" s="2944"/>
      <c r="N7" s="2944"/>
      <c r="O7" s="2944"/>
      <c r="P7" s="3326" t="s">
        <v>2367</v>
      </c>
      <c r="Q7" s="3354"/>
      <c r="R7" s="710" t="s">
        <v>17</v>
      </c>
      <c r="S7" s="711">
        <f t="shared" ref="S7:S14" si="0">F7</f>
        <v>0</v>
      </c>
      <c r="T7" s="710" t="s">
        <v>17</v>
      </c>
      <c r="U7" s="711">
        <f t="shared" ref="U7:U14" si="1">H7</f>
        <v>0</v>
      </c>
      <c r="V7" s="710" t="s">
        <v>17</v>
      </c>
      <c r="W7" s="711">
        <f t="shared" ref="W7:W14" si="2">J7</f>
        <v>0</v>
      </c>
      <c r="X7" s="712"/>
      <c r="Y7" s="3326" t="s">
        <v>2367</v>
      </c>
      <c r="Z7" s="3327"/>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26" t="s">
        <v>2370</v>
      </c>
      <c r="Q8" s="3327"/>
      <c r="R8" s="710" t="s">
        <v>17</v>
      </c>
      <c r="S8" s="711">
        <f t="shared" si="0"/>
        <v>0</v>
      </c>
      <c r="T8" s="710" t="s">
        <v>17</v>
      </c>
      <c r="U8" s="711">
        <f t="shared" si="1"/>
        <v>0</v>
      </c>
      <c r="V8" s="710" t="s">
        <v>17</v>
      </c>
      <c r="W8" s="711">
        <f t="shared" si="2"/>
        <v>0</v>
      </c>
      <c r="X8" s="712"/>
      <c r="Y8" s="3326" t="s">
        <v>2370</v>
      </c>
      <c r="Z8" s="3327"/>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58" t="s">
        <v>2373</v>
      </c>
      <c r="Q9" s="1527" t="str">
        <f t="shared" ref="Q9:Q14" si="6">B9</f>
        <v>用途</v>
      </c>
      <c r="R9" s="710" t="s">
        <v>17</v>
      </c>
      <c r="S9" s="711">
        <f t="shared" si="0"/>
        <v>100</v>
      </c>
      <c r="T9" s="710" t="s">
        <v>17</v>
      </c>
      <c r="U9" s="711">
        <f t="shared" si="1"/>
        <v>100</v>
      </c>
      <c r="V9" s="710" t="s">
        <v>17</v>
      </c>
      <c r="W9" s="711">
        <f t="shared" si="2"/>
        <v>100</v>
      </c>
      <c r="X9" s="712"/>
      <c r="Y9" s="3268"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58"/>
      <c r="Q10" s="1527" t="str">
        <f t="shared" si="6"/>
        <v>土地使用年限（年）</v>
      </c>
      <c r="R10" s="710" t="s">
        <v>17</v>
      </c>
      <c r="S10" s="711">
        <f t="shared" si="0"/>
        <v>100</v>
      </c>
      <c r="T10" s="710" t="s">
        <v>17</v>
      </c>
      <c r="U10" s="711">
        <f t="shared" si="1"/>
        <v>100</v>
      </c>
      <c r="V10" s="710" t="s">
        <v>17</v>
      </c>
      <c r="W10" s="711">
        <f t="shared" si="2"/>
        <v>100</v>
      </c>
      <c r="X10" s="712"/>
      <c r="Y10" s="3268"/>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58"/>
      <c r="Q11" s="1527">
        <f t="shared" si="6"/>
        <v>111</v>
      </c>
      <c r="R11" s="710" t="s">
        <v>17</v>
      </c>
      <c r="S11" s="711">
        <f t="shared" si="0"/>
        <v>100</v>
      </c>
      <c r="T11" s="710" t="s">
        <v>17</v>
      </c>
      <c r="U11" s="711">
        <f t="shared" si="1"/>
        <v>100</v>
      </c>
      <c r="V11" s="710" t="s">
        <v>17</v>
      </c>
      <c r="W11" s="711">
        <f t="shared" si="2"/>
        <v>100</v>
      </c>
      <c r="X11" s="712"/>
      <c r="Y11" s="3268"/>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58"/>
      <c r="Q12" s="1527">
        <f t="shared" si="6"/>
        <v>111</v>
      </c>
      <c r="R12" s="710" t="s">
        <v>17</v>
      </c>
      <c r="S12" s="711">
        <f t="shared" si="0"/>
        <v>100</v>
      </c>
      <c r="T12" s="710" t="s">
        <v>17</v>
      </c>
      <c r="U12" s="711">
        <f t="shared" si="1"/>
        <v>100</v>
      </c>
      <c r="V12" s="710" t="s">
        <v>17</v>
      </c>
      <c r="W12" s="711">
        <f t="shared" si="2"/>
        <v>100</v>
      </c>
      <c r="X12" s="712"/>
      <c r="Y12" s="3268"/>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8"/>
      <c r="M13" s="2942"/>
      <c r="N13" s="2942"/>
      <c r="O13" s="3000"/>
      <c r="P13" s="3358"/>
      <c r="Q13" s="1527">
        <f t="shared" si="6"/>
        <v>111</v>
      </c>
      <c r="R13" s="710" t="s">
        <v>17</v>
      </c>
      <c r="S13" s="711">
        <f t="shared" si="0"/>
        <v>100</v>
      </c>
      <c r="T13" s="710" t="s">
        <v>17</v>
      </c>
      <c r="U13" s="711">
        <f t="shared" si="1"/>
        <v>100</v>
      </c>
      <c r="V13" s="710" t="s">
        <v>17</v>
      </c>
      <c r="W13" s="711">
        <f t="shared" si="2"/>
        <v>100</v>
      </c>
      <c r="X13" s="712"/>
      <c r="Y13" s="3268"/>
      <c r="Z13" s="55">
        <f t="shared" si="7"/>
        <v>111</v>
      </c>
      <c r="AA13" s="713">
        <f t="shared" si="3"/>
        <v>1</v>
      </c>
      <c r="AB13" s="713">
        <f t="shared" si="4"/>
        <v>1</v>
      </c>
      <c r="AC13" s="713">
        <f t="shared" si="5"/>
        <v>1</v>
      </c>
    </row>
    <row r="14" spans="1:29" ht="85.5">
      <c r="A14" s="399" t="s">
        <v>2377</v>
      </c>
      <c r="B14" s="65" t="s">
        <v>2527</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60" t="s">
        <v>2378</v>
      </c>
      <c r="Q14" s="1536" t="str">
        <f t="shared" si="6"/>
        <v>交通便捷度</v>
      </c>
      <c r="R14" s="714" t="s">
        <v>17</v>
      </c>
      <c r="S14" s="715">
        <f t="shared" si="0"/>
        <v>100</v>
      </c>
      <c r="T14" s="714" t="s">
        <v>17</v>
      </c>
      <c r="U14" s="715">
        <f t="shared" si="1"/>
        <v>100</v>
      </c>
      <c r="V14" s="714" t="s">
        <v>17</v>
      </c>
      <c r="W14" s="715">
        <f t="shared" si="2"/>
        <v>100</v>
      </c>
      <c r="X14" s="1539"/>
      <c r="Y14" s="3360" t="s">
        <v>2378</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8"/>
      <c r="M15" s="2942"/>
      <c r="N15" s="2942"/>
      <c r="O15" s="3000"/>
      <c r="P15" s="3361"/>
      <c r="Q15" s="1536"/>
      <c r="R15" s="714"/>
      <c r="S15" s="715"/>
      <c r="T15" s="714"/>
      <c r="U15" s="715"/>
      <c r="V15" s="714"/>
      <c r="W15" s="715"/>
      <c r="X15" s="1539"/>
      <c r="Y15" s="3361"/>
      <c r="Z15" s="1540"/>
      <c r="AA15" s="1537">
        <v>1</v>
      </c>
      <c r="AB15" s="1537">
        <v>1</v>
      </c>
      <c r="AC15" s="1537">
        <v>1</v>
      </c>
    </row>
    <row r="16" spans="1:29" ht="42.75">
      <c r="A16" s="387"/>
      <c r="B16" s="410" t="s">
        <v>2506</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61"/>
      <c r="Q16" s="1536" t="str">
        <f>B16</f>
        <v>公共配套设施</v>
      </c>
      <c r="R16" s="714" t="s">
        <v>17</v>
      </c>
      <c r="S16" s="715">
        <f>F16</f>
        <v>100</v>
      </c>
      <c r="T16" s="714" t="s">
        <v>17</v>
      </c>
      <c r="U16" s="715">
        <f>H16</f>
        <v>100</v>
      </c>
      <c r="V16" s="714" t="s">
        <v>17</v>
      </c>
      <c r="W16" s="715">
        <f>J16</f>
        <v>100</v>
      </c>
      <c r="X16" s="1539"/>
      <c r="Y16" s="3361"/>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8"/>
      <c r="M17" s="2942"/>
      <c r="N17" s="2942"/>
      <c r="O17" s="3000"/>
      <c r="P17" s="3361"/>
      <c r="Q17" s="1536"/>
      <c r="R17" s="714"/>
      <c r="S17" s="715"/>
      <c r="T17" s="714"/>
      <c r="U17" s="715"/>
      <c r="V17" s="714"/>
      <c r="W17" s="715"/>
      <c r="X17" s="1539"/>
      <c r="Y17" s="3361"/>
      <c r="Z17" s="1540"/>
      <c r="AA17" s="1537">
        <v>1</v>
      </c>
      <c r="AB17" s="1537">
        <v>1</v>
      </c>
      <c r="AC17" s="1537">
        <v>1</v>
      </c>
    </row>
    <row r="18" spans="1:29" ht="28.5">
      <c r="A18" s="387"/>
      <c r="B18" s="1293" t="s">
        <v>2507</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61"/>
      <c r="Q18" s="1536" t="str">
        <f>B18</f>
        <v>基础设施水平</v>
      </c>
      <c r="R18" s="714" t="s">
        <v>17</v>
      </c>
      <c r="S18" s="715">
        <f>F18</f>
        <v>100</v>
      </c>
      <c r="T18" s="714" t="s">
        <v>17</v>
      </c>
      <c r="U18" s="715">
        <f>H18</f>
        <v>100</v>
      </c>
      <c r="V18" s="714" t="s">
        <v>17</v>
      </c>
      <c r="W18" s="715">
        <f>J18</f>
        <v>100</v>
      </c>
      <c r="X18" s="1539"/>
      <c r="Y18" s="3361"/>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8"/>
      <c r="M19" s="2942"/>
      <c r="N19" s="2942"/>
      <c r="O19" s="3000"/>
      <c r="P19" s="3361"/>
      <c r="Q19" s="1536"/>
      <c r="R19" s="714"/>
      <c r="S19" s="715"/>
      <c r="T19" s="714"/>
      <c r="U19" s="715"/>
      <c r="V19" s="714"/>
      <c r="W19" s="715"/>
      <c r="X19" s="1539"/>
      <c r="Y19" s="3361"/>
      <c r="Z19" s="1540"/>
      <c r="AA19" s="1537">
        <v>1</v>
      </c>
      <c r="AB19" s="1537">
        <v>1</v>
      </c>
      <c r="AC19" s="1537">
        <v>1</v>
      </c>
    </row>
    <row r="20" spans="1:29" ht="57">
      <c r="A20" s="387"/>
      <c r="B20" s="410" t="s">
        <v>2528</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61"/>
      <c r="Q20" s="1536" t="str">
        <f>B20</f>
        <v>自然及人文环境</v>
      </c>
      <c r="R20" s="714" t="s">
        <v>17</v>
      </c>
      <c r="S20" s="715">
        <f>F20</f>
        <v>100</v>
      </c>
      <c r="T20" s="714" t="s">
        <v>17</v>
      </c>
      <c r="U20" s="715">
        <f>H20</f>
        <v>100</v>
      </c>
      <c r="V20" s="714" t="s">
        <v>17</v>
      </c>
      <c r="W20" s="715">
        <f>J20</f>
        <v>100</v>
      </c>
      <c r="X20" s="1539"/>
      <c r="Y20" s="336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8"/>
      <c r="M21" s="2942"/>
      <c r="N21" s="2942"/>
      <c r="O21" s="3000"/>
      <c r="P21" s="3361"/>
      <c r="Q21" s="1536"/>
      <c r="R21" s="714"/>
      <c r="S21" s="715"/>
      <c r="T21" s="714"/>
      <c r="U21" s="715"/>
      <c r="V21" s="714"/>
      <c r="W21" s="715"/>
      <c r="X21" s="1539"/>
      <c r="Y21" s="3361"/>
      <c r="Z21" s="1540"/>
      <c r="AA21" s="1537">
        <v>1</v>
      </c>
      <c r="AB21" s="1537">
        <v>1</v>
      </c>
      <c r="AC21" s="1537">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61"/>
      <c r="Q22" s="1536" t="str">
        <f>B22</f>
        <v>楼层</v>
      </c>
      <c r="R22" s="714" t="s">
        <v>17</v>
      </c>
      <c r="S22" s="715">
        <f>F22</f>
        <v>100</v>
      </c>
      <c r="T22" s="714" t="s">
        <v>17</v>
      </c>
      <c r="U22" s="715">
        <f>H22</f>
        <v>100</v>
      </c>
      <c r="V22" s="714" t="s">
        <v>17</v>
      </c>
      <c r="W22" s="715">
        <f>J22</f>
        <v>100</v>
      </c>
      <c r="X22" s="1539"/>
      <c r="Y22" s="3361"/>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61"/>
      <c r="Q23" s="1536">
        <f>B23</f>
        <v>111</v>
      </c>
      <c r="R23" s="714" t="s">
        <v>17</v>
      </c>
      <c r="S23" s="715">
        <f>F23</f>
        <v>100</v>
      </c>
      <c r="T23" s="714" t="s">
        <v>17</v>
      </c>
      <c r="U23" s="715">
        <f>H23</f>
        <v>100</v>
      </c>
      <c r="V23" s="714" t="s">
        <v>17</v>
      </c>
      <c r="W23" s="715">
        <f>J23</f>
        <v>100</v>
      </c>
      <c r="X23" s="1539"/>
      <c r="Y23" s="3361"/>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61"/>
      <c r="Q24" s="1536">
        <f t="shared" ref="Q24:Q34" si="11">B24</f>
        <v>111</v>
      </c>
      <c r="R24" s="714" t="s">
        <v>17</v>
      </c>
      <c r="S24" s="715">
        <f>F24</f>
        <v>100</v>
      </c>
      <c r="T24" s="714" t="s">
        <v>17</v>
      </c>
      <c r="U24" s="715">
        <f>H24</f>
        <v>100</v>
      </c>
      <c r="V24" s="714" t="s">
        <v>17</v>
      </c>
      <c r="W24" s="715">
        <f>J24</f>
        <v>100</v>
      </c>
      <c r="X24" s="1539"/>
      <c r="Y24" s="3361"/>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3"/>
      <c r="M25" s="2944"/>
      <c r="N25" s="2944"/>
      <c r="O25" s="2998"/>
      <c r="P25" s="3361"/>
      <c r="Q25" s="1527">
        <f t="shared" si="11"/>
        <v>111</v>
      </c>
      <c r="R25" s="710" t="s">
        <v>17</v>
      </c>
      <c r="S25" s="711">
        <f>F25</f>
        <v>100</v>
      </c>
      <c r="T25" s="710" t="s">
        <v>17</v>
      </c>
      <c r="U25" s="711">
        <f>H25</f>
        <v>100</v>
      </c>
      <c r="V25" s="710" t="s">
        <v>17</v>
      </c>
      <c r="W25" s="711">
        <f>J25</f>
        <v>100</v>
      </c>
      <c r="X25" s="712"/>
      <c r="Y25" s="3361"/>
      <c r="Z25" s="55">
        <f>Q25</f>
        <v>111</v>
      </c>
      <c r="AA25" s="1537">
        <f>D25/F25</f>
        <v>1</v>
      </c>
      <c r="AB25" s="1537">
        <f>D25/H25</f>
        <v>1</v>
      </c>
      <c r="AC25" s="1537">
        <f>D25/J25</f>
        <v>1</v>
      </c>
    </row>
    <row r="26" spans="1:29" ht="28.5">
      <c r="A26" s="425" t="s">
        <v>2381</v>
      </c>
      <c r="B26" s="67" t="s">
        <v>2532</v>
      </c>
      <c r="C26" s="2153"/>
      <c r="D26" s="426">
        <v>100</v>
      </c>
      <c r="E26" s="2153"/>
      <c r="F26" s="623">
        <f>SUMIF(77:77,E26,78:78)-SUMIF(77:77,C26,78:78)+100</f>
        <v>100</v>
      </c>
      <c r="G26" s="2153"/>
      <c r="H26" s="426">
        <f>SUMIF(77:77,G26,78:78)-SUMIF(77:77,C26,78:78)+100</f>
        <v>100</v>
      </c>
      <c r="I26" s="2153"/>
      <c r="J26" s="426">
        <f>SUMIF(77:77,I26,78:78)-SUMIF(77:77,C26,78:78)+100</f>
        <v>100</v>
      </c>
      <c r="K26" s="569"/>
      <c r="L26" s="2948"/>
      <c r="M26" s="2942"/>
      <c r="N26" s="2942"/>
      <c r="O26" s="3000"/>
      <c r="P26" s="3385" t="s">
        <v>2383</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65" t="s">
        <v>2383</v>
      </c>
      <c r="Z26" s="1540" t="str">
        <f t="shared" ref="Z26:Z34" si="15">Q26</f>
        <v>公共部分装修</v>
      </c>
      <c r="AA26" s="1537">
        <f t="shared" si="3"/>
        <v>1</v>
      </c>
      <c r="AB26" s="1537">
        <f t="shared" si="4"/>
        <v>1</v>
      </c>
      <c r="AC26" s="1537">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65"/>
      <c r="Q27" s="716" t="str">
        <f t="shared" si="11"/>
        <v>成新率</v>
      </c>
      <c r="R27" s="717" t="s">
        <v>17</v>
      </c>
      <c r="S27" s="718" t="e">
        <f t="shared" si="12"/>
        <v>#N/A</v>
      </c>
      <c r="T27" s="717" t="s">
        <v>17</v>
      </c>
      <c r="U27" s="718" t="e">
        <f t="shared" si="13"/>
        <v>#N/A</v>
      </c>
      <c r="V27" s="717" t="s">
        <v>17</v>
      </c>
      <c r="W27" s="718" t="e">
        <f t="shared" si="14"/>
        <v>#N/A</v>
      </c>
      <c r="X27" s="719"/>
      <c r="Y27" s="3365"/>
      <c r="Z27" s="720" t="str">
        <f t="shared" si="15"/>
        <v>成新率</v>
      </c>
      <c r="AA27" s="1537" t="e">
        <f t="shared" si="3"/>
        <v>#N/A</v>
      </c>
      <c r="AB27" s="1537" t="e">
        <f t="shared" si="4"/>
        <v>#N/A</v>
      </c>
      <c r="AC27" s="1537"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65"/>
      <c r="Q28" s="1536" t="str">
        <f t="shared" si="11"/>
        <v>物业等级</v>
      </c>
      <c r="R28" s="714" t="s">
        <v>17</v>
      </c>
      <c r="S28" s="715">
        <f t="shared" si="12"/>
        <v>100</v>
      </c>
      <c r="T28" s="714" t="s">
        <v>17</v>
      </c>
      <c r="U28" s="715">
        <f t="shared" si="13"/>
        <v>100</v>
      </c>
      <c r="V28" s="714" t="s">
        <v>17</v>
      </c>
      <c r="W28" s="715">
        <f t="shared" si="14"/>
        <v>100</v>
      </c>
      <c r="X28" s="1539"/>
      <c r="Y28" s="3365"/>
      <c r="Z28" s="1540" t="str">
        <f t="shared" si="15"/>
        <v>物业等级</v>
      </c>
      <c r="AA28" s="1537">
        <f t="shared" si="3"/>
        <v>1</v>
      </c>
      <c r="AB28" s="1537">
        <f t="shared" si="4"/>
        <v>1</v>
      </c>
      <c r="AC28" s="1537">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65"/>
      <c r="Q29" s="1536" t="str">
        <f t="shared" si="11"/>
        <v>有无电梯</v>
      </c>
      <c r="R29" s="714" t="s">
        <v>17</v>
      </c>
      <c r="S29" s="715">
        <f t="shared" si="12"/>
        <v>100</v>
      </c>
      <c r="T29" s="714" t="s">
        <v>17</v>
      </c>
      <c r="U29" s="715">
        <f t="shared" si="13"/>
        <v>100</v>
      </c>
      <c r="V29" s="714" t="s">
        <v>17</v>
      </c>
      <c r="W29" s="715">
        <f t="shared" si="14"/>
        <v>100</v>
      </c>
      <c r="X29" s="1539"/>
      <c r="Y29" s="3365"/>
      <c r="Z29" s="1540" t="str">
        <f t="shared" si="15"/>
        <v>有无电梯</v>
      </c>
      <c r="AA29" s="1537">
        <f t="shared" si="3"/>
        <v>1</v>
      </c>
      <c r="AB29" s="1537">
        <f t="shared" si="4"/>
        <v>1</v>
      </c>
      <c r="AC29" s="1537">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65"/>
      <c r="Q30" s="1536" t="str">
        <f t="shared" si="11"/>
        <v>建筑面积</v>
      </c>
      <c r="R30" s="714" t="s">
        <v>17</v>
      </c>
      <c r="S30" s="715" t="e">
        <f t="shared" si="12"/>
        <v>#N/A</v>
      </c>
      <c r="T30" s="714" t="s">
        <v>17</v>
      </c>
      <c r="U30" s="715" t="e">
        <f t="shared" si="13"/>
        <v>#N/A</v>
      </c>
      <c r="V30" s="714" t="s">
        <v>17</v>
      </c>
      <c r="W30" s="715" t="e">
        <f t="shared" si="14"/>
        <v>#N/A</v>
      </c>
      <c r="X30" s="1539"/>
      <c r="Y30" s="3365"/>
      <c r="Z30" s="1540" t="str">
        <f t="shared" si="15"/>
        <v>建筑面积</v>
      </c>
      <c r="AA30" s="1537" t="e">
        <f t="shared" si="3"/>
        <v>#N/A</v>
      </c>
      <c r="AB30" s="1537" t="e">
        <f t="shared" si="4"/>
        <v>#N/A</v>
      </c>
      <c r="AC30" s="1537"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65"/>
      <c r="Q31" s="1527" t="str">
        <f t="shared" si="11"/>
        <v>是否封闭</v>
      </c>
      <c r="R31" s="710" t="s">
        <v>17</v>
      </c>
      <c r="S31" s="711">
        <f t="shared" si="12"/>
        <v>100</v>
      </c>
      <c r="T31" s="710" t="s">
        <v>17</v>
      </c>
      <c r="U31" s="711">
        <f t="shared" si="13"/>
        <v>100</v>
      </c>
      <c r="V31" s="710" t="s">
        <v>17</v>
      </c>
      <c r="W31" s="711">
        <f t="shared" si="14"/>
        <v>100</v>
      </c>
      <c r="X31" s="712"/>
      <c r="Y31" s="336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65" t="s">
        <v>2383</v>
      </c>
      <c r="Q32" s="1536">
        <f t="shared" si="11"/>
        <v>111</v>
      </c>
      <c r="R32" s="714" t="s">
        <v>17</v>
      </c>
      <c r="S32" s="715">
        <f t="shared" si="12"/>
        <v>100</v>
      </c>
      <c r="T32" s="714" t="s">
        <v>17</v>
      </c>
      <c r="U32" s="715">
        <f t="shared" si="13"/>
        <v>100</v>
      </c>
      <c r="V32" s="714" t="s">
        <v>17</v>
      </c>
      <c r="W32" s="715">
        <f t="shared" si="14"/>
        <v>100</v>
      </c>
      <c r="X32" s="1539"/>
      <c r="Y32" s="3365" t="s">
        <v>2383</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65"/>
      <c r="Q33" s="1536">
        <f t="shared" si="11"/>
        <v>111</v>
      </c>
      <c r="R33" s="714" t="s">
        <v>17</v>
      </c>
      <c r="S33" s="715">
        <f t="shared" si="12"/>
        <v>100</v>
      </c>
      <c r="T33" s="714" t="s">
        <v>17</v>
      </c>
      <c r="U33" s="715">
        <f t="shared" si="13"/>
        <v>100</v>
      </c>
      <c r="V33" s="714" t="s">
        <v>17</v>
      </c>
      <c r="W33" s="715">
        <f t="shared" si="14"/>
        <v>100</v>
      </c>
      <c r="X33" s="1539"/>
      <c r="Y33" s="3365"/>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8"/>
      <c r="M34" s="2942"/>
      <c r="N34" s="2942"/>
      <c r="O34" s="3000"/>
      <c r="P34" s="3365"/>
      <c r="Q34" s="1536">
        <f t="shared" si="11"/>
        <v>111</v>
      </c>
      <c r="R34" s="714" t="s">
        <v>17</v>
      </c>
      <c r="S34" s="715">
        <f t="shared" si="12"/>
        <v>100</v>
      </c>
      <c r="T34" s="714" t="s">
        <v>17</v>
      </c>
      <c r="U34" s="715">
        <f t="shared" si="13"/>
        <v>100</v>
      </c>
      <c r="V34" s="714" t="s">
        <v>17</v>
      </c>
      <c r="W34" s="715">
        <f t="shared" si="14"/>
        <v>100</v>
      </c>
      <c r="X34" s="1539"/>
      <c r="Y34" s="3365"/>
      <c r="Z34" s="1540">
        <f t="shared" si="15"/>
        <v>111</v>
      </c>
      <c r="AA34" s="1537">
        <f t="shared" si="3"/>
        <v>1</v>
      </c>
      <c r="AB34" s="1537">
        <f t="shared" si="4"/>
        <v>1</v>
      </c>
      <c r="AC34" s="1537">
        <f t="shared" si="5"/>
        <v>1</v>
      </c>
    </row>
    <row r="35" spans="1:30" ht="15">
      <c r="A35" s="438" t="s">
        <v>2395</v>
      </c>
      <c r="B35" s="439"/>
      <c r="C35" s="1316" t="s">
        <v>1</v>
      </c>
      <c r="D35" s="1317"/>
      <c r="E35" s="1318"/>
      <c r="F35" s="1319"/>
      <c r="G35" s="1320"/>
      <c r="H35" s="1321"/>
      <c r="I35" s="1318"/>
      <c r="J35" s="1321"/>
      <c r="K35" s="723"/>
      <c r="L35" s="2950"/>
      <c r="M35" s="2951"/>
      <c r="N35" s="2942"/>
      <c r="O35" s="2951"/>
      <c r="P35" s="3358" t="str">
        <f>A35</f>
        <v>成交单价（元/平方米）</v>
      </c>
      <c r="Q35" s="3358"/>
      <c r="R35" s="3359">
        <f>E35</f>
        <v>0</v>
      </c>
      <c r="S35" s="3359"/>
      <c r="T35" s="3359">
        <f>G35</f>
        <v>0</v>
      </c>
      <c r="U35" s="3359"/>
      <c r="V35" s="3359">
        <f>I35</f>
        <v>0</v>
      </c>
      <c r="W35" s="3359"/>
      <c r="X35" s="699"/>
      <c r="Y35" s="721"/>
      <c r="Z35" s="699"/>
      <c r="AA35" s="699"/>
      <c r="AB35" s="699"/>
      <c r="AC35" s="699"/>
    </row>
    <row r="36" spans="1:30" ht="15.75" thickBot="1">
      <c r="A36" s="445" t="s">
        <v>2487</v>
      </c>
      <c r="B36" s="446"/>
      <c r="C36" s="1322" t="e">
        <f>R37</f>
        <v>#DIV/0!</v>
      </c>
      <c r="D36" s="2538" t="s">
        <v>2877</v>
      </c>
      <c r="E36" s="1323" t="e">
        <f>R36</f>
        <v>#DIV/0!</v>
      </c>
      <c r="F36" s="2539"/>
      <c r="G36" s="1322" t="e">
        <f>T36</f>
        <v>#DIV/0!</v>
      </c>
      <c r="H36" s="2539"/>
      <c r="I36" s="1323" t="e">
        <f>V36</f>
        <v>#DIV/0!</v>
      </c>
      <c r="J36" s="2539"/>
      <c r="K36" s="2541">
        <f>F36+H36+J36</f>
        <v>0</v>
      </c>
      <c r="L36" s="2950"/>
      <c r="M36" s="2951"/>
      <c r="N36" s="2942"/>
      <c r="O36" s="2951"/>
      <c r="P36" s="3358" t="str">
        <f>A36</f>
        <v>比较价值（元/平方米）</v>
      </c>
      <c r="Q36" s="3358"/>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699"/>
      <c r="Y36" s="699"/>
      <c r="Z36" s="699"/>
      <c r="AA36" s="699"/>
      <c r="AB36" s="699"/>
      <c r="AC36" s="699"/>
    </row>
    <row r="37" spans="1:30" ht="15.75" thickBot="1">
      <c r="A37" s="449" t="s">
        <v>2488</v>
      </c>
      <c r="B37" s="450"/>
      <c r="C37" s="1325" t="e">
        <f>R37</f>
        <v>#DIV/0!</v>
      </c>
      <c r="D37" s="1325"/>
      <c r="E37" s="1325"/>
      <c r="F37" s="1325"/>
      <c r="G37" s="1325"/>
      <c r="H37" s="1325"/>
      <c r="I37" s="1325"/>
      <c r="J37" s="1325"/>
      <c r="K37" s="724"/>
      <c r="L37" s="2950"/>
      <c r="M37" s="2951"/>
      <c r="N37" s="2951"/>
      <c r="O37" s="2951"/>
      <c r="P37" s="3355" t="str">
        <f>A37</f>
        <v>估价对象XX用房的比较价值（楼面单价，元/平方米）</v>
      </c>
      <c r="Q37" s="3356"/>
      <c r="R37" s="3386" t="e">
        <f>IF(F1="售价",ROUND(IF(D36="简单平均",AVERAGE(R36:W36),R36*F36+T36*H36+V36*J36),0),ROUND(IF(D36="简单平均",AVERAGE(R36:V36),R36*F36+T36*H36+V36*J36),1))</f>
        <v>#DIV/0!</v>
      </c>
      <c r="S37" s="3386"/>
      <c r="T37" s="3386"/>
      <c r="U37" s="3386"/>
      <c r="V37" s="3386"/>
      <c r="W37" s="3386"/>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2492</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2366</v>
      </c>
      <c r="B46" s="463"/>
      <c r="C46" s="1346" t="str">
        <f>YEAR(C7)&amp;"-"&amp;MONTH(C7)</f>
        <v>2021-6</v>
      </c>
      <c r="D46" s="1347">
        <f>EDATE(C46,-1)</f>
        <v>44317</v>
      </c>
      <c r="E46" s="1347">
        <f t="shared" ref="E46:O46" si="16">EDATE(D46,-1)</f>
        <v>44287</v>
      </c>
      <c r="F46" s="1347">
        <f t="shared" si="16"/>
        <v>44256</v>
      </c>
      <c r="G46" s="1347">
        <f t="shared" si="16"/>
        <v>44228</v>
      </c>
      <c r="H46" s="1347">
        <f t="shared" si="16"/>
        <v>44197</v>
      </c>
      <c r="I46" s="1347">
        <f t="shared" si="16"/>
        <v>44166</v>
      </c>
      <c r="J46" s="1347">
        <f t="shared" si="16"/>
        <v>44136</v>
      </c>
      <c r="K46" s="1347">
        <f t="shared" si="16"/>
        <v>44105</v>
      </c>
      <c r="L46" s="1347">
        <f t="shared" si="16"/>
        <v>44075</v>
      </c>
      <c r="M46" s="1347">
        <f t="shared" si="16"/>
        <v>44044</v>
      </c>
      <c r="N46" s="1347">
        <f t="shared" si="16"/>
        <v>44013</v>
      </c>
      <c r="O46" s="1347">
        <f t="shared" si="16"/>
        <v>43983</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5">
        <v>100</v>
      </c>
      <c r="D47" s="469"/>
      <c r="E47" s="469"/>
      <c r="F47" s="469"/>
      <c r="G47" s="469"/>
      <c r="H47" s="469"/>
      <c r="I47" s="469"/>
      <c r="J47" s="469"/>
      <c r="K47" s="469"/>
      <c r="L47" s="469"/>
      <c r="M47" s="470"/>
      <c r="N47" s="469"/>
      <c r="O47" s="471"/>
      <c r="P47" s="2965"/>
      <c r="Q47" s="2885"/>
      <c r="R47" s="2885"/>
      <c r="S47" s="2885"/>
      <c r="T47" s="2885"/>
      <c r="U47" s="2885"/>
      <c r="V47" s="2885"/>
      <c r="W47" s="2885"/>
      <c r="X47" s="2885"/>
      <c r="Y47" s="2885"/>
      <c r="Z47" s="2885"/>
      <c r="AA47" s="2885"/>
      <c r="AB47" s="2885"/>
      <c r="AC47" s="2885"/>
      <c r="AD47" s="2885"/>
    </row>
    <row r="48" spans="1:30" s="113" customFormat="1" ht="15.75" thickBot="1">
      <c r="A48" s="472" t="s">
        <v>2403</v>
      </c>
      <c r="B48" s="473"/>
      <c r="C48" s="474"/>
      <c r="D48" s="475"/>
      <c r="E48" s="475"/>
      <c r="F48" s="475"/>
      <c r="G48" s="475"/>
      <c r="H48" s="475"/>
      <c r="I48" s="475"/>
      <c r="J48" s="475"/>
      <c r="K48" s="475"/>
      <c r="L48" s="475"/>
      <c r="M48" s="476"/>
      <c r="N48" s="475"/>
      <c r="O48" s="477"/>
      <c r="P48" s="2965"/>
      <c r="Q48" s="2965"/>
      <c r="R48" s="2885"/>
      <c r="S48" s="2885"/>
      <c r="T48" s="2885"/>
      <c r="U48" s="2885"/>
      <c r="V48" s="2885"/>
      <c r="W48" s="2885"/>
      <c r="X48" s="2885"/>
      <c r="Y48" s="2885"/>
      <c r="Z48" s="2885"/>
      <c r="AA48" s="2885"/>
      <c r="AB48" s="2885"/>
      <c r="AC48" s="2885"/>
      <c r="AD48" s="2885"/>
    </row>
    <row r="49" spans="1:30" s="113" customFormat="1" ht="15">
      <c r="A49" s="478" t="s">
        <v>2368</v>
      </c>
      <c r="B49" s="467"/>
      <c r="C49" s="479" t="s">
        <v>2470</v>
      </c>
      <c r="D49" s="480"/>
      <c r="E49" s="480"/>
      <c r="F49" s="480"/>
      <c r="G49" s="480"/>
      <c r="H49" s="480"/>
      <c r="I49" s="480"/>
      <c r="J49" s="480"/>
      <c r="K49" s="480"/>
      <c r="L49" s="481"/>
      <c r="M49" s="482"/>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5"/>
      <c r="S50" s="2885"/>
      <c r="T50" s="2885"/>
      <c r="U50" s="2885"/>
      <c r="V50" s="2885"/>
      <c r="W50" s="2885"/>
      <c r="X50" s="2885"/>
      <c r="Y50" s="2885"/>
      <c r="Z50" s="2885"/>
      <c r="AA50" s="2885"/>
      <c r="AB50" s="2885"/>
      <c r="AC50" s="2885"/>
      <c r="AD50" s="2885"/>
    </row>
    <row r="51" spans="1:30">
      <c r="A51" s="484" t="s">
        <v>2406</v>
      </c>
      <c r="B51" s="485" t="s">
        <v>2372</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2558</v>
      </c>
      <c r="C63" s="535" t="s">
        <v>2415</v>
      </c>
      <c r="D63" s="535" t="s">
        <v>2416</v>
      </c>
      <c r="E63" s="535" t="s">
        <v>2417</v>
      </c>
      <c r="F63" s="535" t="s">
        <v>2418</v>
      </c>
      <c r="G63" s="535" t="s">
        <v>2419</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2507</v>
      </c>
      <c r="C65" s="616" t="s">
        <v>2493</v>
      </c>
      <c r="D65" s="616" t="s">
        <v>2494</v>
      </c>
      <c r="E65" s="616" t="s">
        <v>2495</v>
      </c>
      <c r="F65" s="616" t="s">
        <v>2496</v>
      </c>
      <c r="G65" s="616" t="s">
        <v>2497</v>
      </c>
      <c r="H65" s="496"/>
      <c r="I65" s="496"/>
      <c r="J65" s="496"/>
      <c r="K65" s="496"/>
      <c r="L65" s="496"/>
      <c r="M65" s="1291"/>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2427</v>
      </c>
      <c r="C67" s="535" t="s">
        <v>2415</v>
      </c>
      <c r="D67" s="535" t="s">
        <v>2416</v>
      </c>
      <c r="E67" s="535" t="s">
        <v>2417</v>
      </c>
      <c r="F67" s="535" t="s">
        <v>2418</v>
      </c>
      <c r="G67" s="535" t="s">
        <v>2419</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2547</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80"/>
      <c r="O74" s="2980"/>
      <c r="P74" s="3004"/>
      <c r="Q74" s="2965"/>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2381</v>
      </c>
      <c r="B77" s="485" t="s">
        <v>2434</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2551</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2559</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2561</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t="e">
        <f>F66</f>
        <v>#DIV/0!</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2147</v>
      </c>
      <c r="B3" s="566" t="e">
        <f>ROUND(IF(D3="",B2*10000/'数据-汇总表'!E3,B2*10000/D3),0)</f>
        <v>#DIV/0!</v>
      </c>
      <c r="C3" s="209" t="s">
        <v>2564</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ht="15">
      <c r="A4" s="361" t="s">
        <v>2463</v>
      </c>
      <c r="B4" s="362"/>
      <c r="C4" s="3341" t="s">
        <v>2464</v>
      </c>
      <c r="D4" s="3342"/>
      <c r="E4" s="3343" t="s">
        <v>2465</v>
      </c>
      <c r="F4" s="3344"/>
      <c r="G4" s="3341" t="s">
        <v>2466</v>
      </c>
      <c r="H4" s="3342"/>
      <c r="I4" s="3341" t="s">
        <v>2467</v>
      </c>
      <c r="J4" s="3342"/>
      <c r="K4" s="567" t="s">
        <v>2468</v>
      </c>
      <c r="L4" s="2941"/>
      <c r="M4" s="2942"/>
      <c r="N4" s="2942"/>
      <c r="O4" s="2942"/>
      <c r="P4" s="3345" t="s">
        <v>2469</v>
      </c>
      <c r="Q4" s="3346"/>
      <c r="R4" s="3328" t="s">
        <v>2465</v>
      </c>
      <c r="S4" s="3329"/>
      <c r="T4" s="3328" t="s">
        <v>2466</v>
      </c>
      <c r="U4" s="3329"/>
      <c r="V4" s="3353" t="s">
        <v>2467</v>
      </c>
      <c r="W4" s="3353"/>
      <c r="X4" s="1539"/>
      <c r="Y4" s="3328" t="s">
        <v>2469</v>
      </c>
      <c r="Z4" s="3329"/>
      <c r="AA4" s="3323" t="s">
        <v>2465</v>
      </c>
      <c r="AB4" s="3324" t="s">
        <v>2466</v>
      </c>
      <c r="AC4" s="3323" t="s">
        <v>2467</v>
      </c>
    </row>
    <row r="5" spans="1:30" ht="15">
      <c r="A5" s="364"/>
      <c r="B5" s="365"/>
      <c r="C5" s="3334" t="s">
        <v>2360</v>
      </c>
      <c r="D5" s="3335"/>
      <c r="E5" s="3332" t="s">
        <v>2361</v>
      </c>
      <c r="F5" s="3333"/>
      <c r="G5" s="3334" t="s">
        <v>2362</v>
      </c>
      <c r="H5" s="3335"/>
      <c r="I5" s="3334" t="s">
        <v>2363</v>
      </c>
      <c r="J5" s="3335"/>
      <c r="K5" s="567"/>
      <c r="L5" s="2941"/>
      <c r="M5" s="2942"/>
      <c r="N5" s="2942"/>
      <c r="O5" s="2942"/>
      <c r="P5" s="3347"/>
      <c r="Q5" s="3348"/>
      <c r="R5" s="3330"/>
      <c r="S5" s="3331"/>
      <c r="T5" s="3330"/>
      <c r="U5" s="3331"/>
      <c r="V5" s="3353"/>
      <c r="W5" s="3353"/>
      <c r="X5" s="1539"/>
      <c r="Y5" s="3330"/>
      <c r="Z5" s="3331"/>
      <c r="AA5" s="3324"/>
      <c r="AB5" s="3324"/>
      <c r="AC5" s="3324"/>
    </row>
    <row r="6" spans="1:30" ht="15.75" thickBot="1">
      <c r="A6" s="366"/>
      <c r="B6" s="367"/>
      <c r="C6" s="3336" t="s">
        <v>2364</v>
      </c>
      <c r="D6" s="3337"/>
      <c r="E6" s="3338" t="s">
        <v>2364</v>
      </c>
      <c r="F6" s="3339"/>
      <c r="G6" s="3336" t="s">
        <v>2364</v>
      </c>
      <c r="H6" s="3337"/>
      <c r="I6" s="3336" t="s">
        <v>2364</v>
      </c>
      <c r="J6" s="3337"/>
      <c r="K6" s="567" t="s">
        <v>2365</v>
      </c>
      <c r="L6" s="2941"/>
      <c r="M6" s="2942"/>
      <c r="N6" s="2942"/>
      <c r="O6" s="2942"/>
      <c r="P6" s="3349"/>
      <c r="Q6" s="3350"/>
      <c r="R6" s="3330"/>
      <c r="S6" s="3331"/>
      <c r="T6" s="3351"/>
      <c r="U6" s="3352"/>
      <c r="V6" s="3353"/>
      <c r="W6" s="3353"/>
      <c r="X6" s="1539"/>
      <c r="Y6" s="3351"/>
      <c r="Z6" s="3352"/>
      <c r="AA6" s="3325"/>
      <c r="AB6" s="3325"/>
      <c r="AC6" s="3325"/>
    </row>
    <row r="7" spans="1:30" s="113" customFormat="1" ht="15.75" thickBot="1">
      <c r="A7" s="368" t="s">
        <v>2366</v>
      </c>
      <c r="B7" s="369"/>
      <c r="C7" s="370">
        <f>'数据-取费表'!B2</f>
        <v>44370</v>
      </c>
      <c r="D7" s="371">
        <v>100</v>
      </c>
      <c r="E7" s="372"/>
      <c r="F7" s="373">
        <f>SUMIF(70:70,YEAR(E7)&amp;"-"&amp;INT((MONTH(E7)+2)/3),71:71)</f>
        <v>0</v>
      </c>
      <c r="G7" s="2160"/>
      <c r="H7" s="371">
        <f>SUMIF(70:70,YEAR(G7)&amp;"-"&amp;INT((MONTH(G7)+2)/3),71:71)</f>
        <v>0</v>
      </c>
      <c r="I7" s="2160"/>
      <c r="J7" s="371">
        <f>SUMIF(70:70,YEAR(I7)&amp;"-"&amp;INT((MONTH(I7)+2)/3),71:71)</f>
        <v>0</v>
      </c>
      <c r="K7" s="568"/>
      <c r="L7" s="2943"/>
      <c r="M7" s="2944"/>
      <c r="N7" s="2944"/>
      <c r="O7" s="2944"/>
      <c r="P7" s="3326" t="s">
        <v>2367</v>
      </c>
      <c r="Q7" s="3354"/>
      <c r="R7" s="710" t="s">
        <v>17</v>
      </c>
      <c r="S7" s="711">
        <f t="shared" ref="S7:S15" si="0">F7</f>
        <v>0</v>
      </c>
      <c r="T7" s="710" t="s">
        <v>17</v>
      </c>
      <c r="U7" s="711">
        <f t="shared" ref="U7:U15" si="1">H7</f>
        <v>0</v>
      </c>
      <c r="V7" s="710" t="s">
        <v>17</v>
      </c>
      <c r="W7" s="711">
        <f t="shared" ref="W7:W15" si="2">J7</f>
        <v>0</v>
      </c>
      <c r="X7" s="712"/>
      <c r="Y7" s="3326" t="s">
        <v>2367</v>
      </c>
      <c r="Z7" s="3327"/>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326" t="s">
        <v>2370</v>
      </c>
      <c r="Q8" s="3327"/>
      <c r="R8" s="710" t="s">
        <v>17</v>
      </c>
      <c r="S8" s="711">
        <f t="shared" si="0"/>
        <v>0</v>
      </c>
      <c r="T8" s="710" t="s">
        <v>17</v>
      </c>
      <c r="U8" s="711">
        <f t="shared" si="1"/>
        <v>0</v>
      </c>
      <c r="V8" s="710" t="s">
        <v>17</v>
      </c>
      <c r="W8" s="711">
        <f t="shared" si="2"/>
        <v>0</v>
      </c>
      <c r="X8" s="712"/>
      <c r="Y8" s="3326" t="s">
        <v>2370</v>
      </c>
      <c r="Z8" s="3327"/>
      <c r="AA8" s="713" t="e">
        <f t="shared" ref="AA8:AA45" si="3">D8/F8</f>
        <v>#DIV/0!</v>
      </c>
      <c r="AB8" s="713" t="e">
        <f t="shared" ref="AB8:AB45" si="4">D8/H8</f>
        <v>#DIV/0!</v>
      </c>
      <c r="AC8" s="713" t="e">
        <f t="shared" ref="AC8:AC45" si="5">D8/J8</f>
        <v>#DIV/0!</v>
      </c>
    </row>
    <row r="9" spans="1:30" s="113" customFormat="1">
      <c r="A9" s="375" t="s">
        <v>2371</v>
      </c>
      <c r="B9" s="67" t="s">
        <v>2372</v>
      </c>
      <c r="C9" s="2163"/>
      <c r="D9" s="131">
        <v>100</v>
      </c>
      <c r="E9" s="2163"/>
      <c r="F9" s="131">
        <f>SUMIF(75:75,E9,76:76)-SUMIF(75:75,C9,76:76)+100</f>
        <v>100</v>
      </c>
      <c r="G9" s="2163"/>
      <c r="H9" s="131">
        <f>SUMIF(75:75,G9,76:76)-SUMIF(75:75,C9,76:76)+100</f>
        <v>100</v>
      </c>
      <c r="I9" s="2163"/>
      <c r="J9" s="131">
        <f>SUMIF(75:75,I9,76:76)-SUMIF(75:75,C9,76:76)+100</f>
        <v>100</v>
      </c>
      <c r="K9" s="568"/>
      <c r="L9" s="2943"/>
      <c r="M9" s="2944"/>
      <c r="N9" s="2944"/>
      <c r="O9" s="2998"/>
      <c r="P9" s="3358" t="s">
        <v>2373</v>
      </c>
      <c r="Q9" s="1527" t="str">
        <f t="shared" ref="Q9:Q15" si="6">B9</f>
        <v>用途</v>
      </c>
      <c r="R9" s="710" t="s">
        <v>17</v>
      </c>
      <c r="S9" s="711">
        <f t="shared" si="0"/>
        <v>100</v>
      </c>
      <c r="T9" s="710" t="s">
        <v>17</v>
      </c>
      <c r="U9" s="711">
        <f t="shared" si="1"/>
        <v>100</v>
      </c>
      <c r="V9" s="710" t="s">
        <v>17</v>
      </c>
      <c r="W9" s="711">
        <f t="shared" si="2"/>
        <v>100</v>
      </c>
      <c r="X9" s="712"/>
      <c r="Y9" s="3268"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116</v>
      </c>
      <c r="G10" s="422"/>
      <c r="H10" s="132">
        <f>ROUND(100/'数据-取费表'!G16,0)</f>
        <v>116</v>
      </c>
      <c r="I10" s="422"/>
      <c r="J10" s="132">
        <f>ROUND(100/'数据-取费表'!G16,0)</f>
        <v>116</v>
      </c>
      <c r="K10" s="628"/>
      <c r="L10" s="2945"/>
      <c r="M10" s="2946"/>
      <c r="N10" s="2946"/>
      <c r="O10" s="2999"/>
      <c r="P10" s="3358"/>
      <c r="Q10" s="1527" t="str">
        <f t="shared" si="6"/>
        <v>土地使用年限（年）</v>
      </c>
      <c r="R10" s="710" t="s">
        <v>17</v>
      </c>
      <c r="S10" s="711">
        <f t="shared" si="0"/>
        <v>116</v>
      </c>
      <c r="T10" s="710" t="s">
        <v>17</v>
      </c>
      <c r="U10" s="711">
        <f t="shared" si="1"/>
        <v>116</v>
      </c>
      <c r="V10" s="710" t="s">
        <v>17</v>
      </c>
      <c r="W10" s="711">
        <f t="shared" si="2"/>
        <v>116</v>
      </c>
      <c r="X10" s="712"/>
      <c r="Y10" s="3268"/>
      <c r="Z10" s="55" t="str">
        <f t="shared" si="7"/>
        <v>土地使用年限（年）</v>
      </c>
      <c r="AA10" s="713">
        <f t="shared" si="3"/>
        <v>0.86206896551724133</v>
      </c>
      <c r="AB10" s="713">
        <f t="shared" si="4"/>
        <v>0.86206896551724133</v>
      </c>
      <c r="AC10" s="713">
        <f t="shared" si="5"/>
        <v>0.86206896551724133</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358"/>
      <c r="Q11" s="1527" t="str">
        <f t="shared" si="6"/>
        <v>容积率</v>
      </c>
      <c r="R11" s="710" t="s">
        <v>17</v>
      </c>
      <c r="S11" s="711" t="e">
        <f t="shared" si="0"/>
        <v>#N/A</v>
      </c>
      <c r="T11" s="710" t="s">
        <v>17</v>
      </c>
      <c r="U11" s="711" t="e">
        <f t="shared" si="1"/>
        <v>#N/A</v>
      </c>
      <c r="V11" s="710" t="s">
        <v>17</v>
      </c>
      <c r="W11" s="711" t="e">
        <f t="shared" si="2"/>
        <v>#N/A</v>
      </c>
      <c r="X11" s="712"/>
      <c r="Y11" s="3268"/>
      <c r="Z11" s="55" t="str">
        <f t="shared" si="7"/>
        <v>容积率</v>
      </c>
      <c r="AA11" s="713" t="e">
        <f t="shared" si="3"/>
        <v>#N/A</v>
      </c>
      <c r="AB11" s="713" t="e">
        <f t="shared" si="4"/>
        <v>#N/A</v>
      </c>
      <c r="AC11" s="713" t="e">
        <f t="shared" si="5"/>
        <v>#N/A</v>
      </c>
    </row>
    <row r="12" spans="1:30" s="113" customFormat="1" ht="15">
      <c r="A12" s="390"/>
      <c r="B12" s="2079" t="s">
        <v>2565</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58"/>
      <c r="Q12" s="1527" t="str">
        <f t="shared" si="6"/>
        <v>配建</v>
      </c>
      <c r="R12" s="710" t="s">
        <v>17</v>
      </c>
      <c r="S12" s="711">
        <f t="shared" si="0"/>
        <v>100</v>
      </c>
      <c r="T12" s="710" t="s">
        <v>17</v>
      </c>
      <c r="U12" s="711">
        <f t="shared" si="1"/>
        <v>100</v>
      </c>
      <c r="V12" s="710" t="s">
        <v>17</v>
      </c>
      <c r="W12" s="711">
        <f t="shared" si="2"/>
        <v>100</v>
      </c>
      <c r="X12" s="712"/>
      <c r="Y12" s="3268"/>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58"/>
      <c r="Q13" s="1527">
        <f t="shared" si="6"/>
        <v>111</v>
      </c>
      <c r="R13" s="710" t="s">
        <v>17</v>
      </c>
      <c r="S13" s="711">
        <f t="shared" si="0"/>
        <v>100</v>
      </c>
      <c r="T13" s="710" t="s">
        <v>17</v>
      </c>
      <c r="U13" s="711">
        <f t="shared" si="1"/>
        <v>100</v>
      </c>
      <c r="V13" s="710" t="s">
        <v>17</v>
      </c>
      <c r="W13" s="711">
        <f t="shared" si="2"/>
        <v>100</v>
      </c>
      <c r="X13" s="712"/>
      <c r="Y13" s="3268"/>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58"/>
      <c r="Q14" s="1527">
        <f t="shared" si="6"/>
        <v>111</v>
      </c>
      <c r="R14" s="710" t="s">
        <v>17</v>
      </c>
      <c r="S14" s="711">
        <f t="shared" si="0"/>
        <v>100</v>
      </c>
      <c r="T14" s="710" t="s">
        <v>17</v>
      </c>
      <c r="U14" s="711">
        <f t="shared" si="1"/>
        <v>100</v>
      </c>
      <c r="V14" s="710" t="s">
        <v>17</v>
      </c>
      <c r="W14" s="711">
        <f t="shared" si="2"/>
        <v>100</v>
      </c>
      <c r="X14" s="712"/>
      <c r="Y14" s="3268"/>
      <c r="Z14" s="55">
        <f t="shared" si="7"/>
        <v>111</v>
      </c>
      <c r="AA14" s="713">
        <f>D14/F14</f>
        <v>1</v>
      </c>
      <c r="AB14" s="713">
        <f>D14/H14</f>
        <v>1</v>
      </c>
      <c r="AC14" s="713">
        <f>D14/J14</f>
        <v>1</v>
      </c>
    </row>
    <row r="15" spans="1:30" ht="99.75">
      <c r="A15" s="399" t="s">
        <v>2377</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60" t="s">
        <v>2378</v>
      </c>
      <c r="Q15" s="1536" t="str">
        <f t="shared" si="6"/>
        <v>居住社区成熟度</v>
      </c>
      <c r="R15" s="714" t="s">
        <v>17</v>
      </c>
      <c r="S15" s="715">
        <f t="shared" si="0"/>
        <v>100</v>
      </c>
      <c r="T15" s="714" t="s">
        <v>17</v>
      </c>
      <c r="U15" s="715">
        <f t="shared" si="1"/>
        <v>100</v>
      </c>
      <c r="V15" s="714" t="s">
        <v>17</v>
      </c>
      <c r="W15" s="715">
        <f t="shared" si="2"/>
        <v>100</v>
      </c>
      <c r="X15" s="1539"/>
      <c r="Y15" s="3360" t="s">
        <v>2378</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8"/>
      <c r="M16" s="2942"/>
      <c r="N16" s="2942"/>
      <c r="O16" s="3000"/>
      <c r="P16" s="3361"/>
      <c r="Q16" s="1536"/>
      <c r="R16" s="714"/>
      <c r="S16" s="715"/>
      <c r="T16" s="714"/>
      <c r="U16" s="715"/>
      <c r="V16" s="714"/>
      <c r="W16" s="715"/>
      <c r="X16" s="1539"/>
      <c r="Y16" s="3361"/>
      <c r="Z16" s="1540"/>
      <c r="AA16" s="1537">
        <v>1</v>
      </c>
      <c r="AB16" s="1537">
        <v>1</v>
      </c>
      <c r="AC16" s="1537">
        <v>1</v>
      </c>
    </row>
    <row r="17" spans="1:29" ht="71.25">
      <c r="A17" s="387"/>
      <c r="B17" s="410" t="s">
        <v>2471</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361"/>
      <c r="Q17" s="1536" t="str">
        <f>B17</f>
        <v>商业繁华度</v>
      </c>
      <c r="R17" s="714" t="s">
        <v>17</v>
      </c>
      <c r="S17" s="715">
        <f>F17</f>
        <v>100</v>
      </c>
      <c r="T17" s="714" t="s">
        <v>17</v>
      </c>
      <c r="U17" s="715">
        <f>H17</f>
        <v>100</v>
      </c>
      <c r="V17" s="714" t="s">
        <v>17</v>
      </c>
      <c r="W17" s="715">
        <f>J17</f>
        <v>100</v>
      </c>
      <c r="X17" s="1539"/>
      <c r="Y17" s="3361"/>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8"/>
      <c r="M18" s="2942"/>
      <c r="N18" s="2942"/>
      <c r="O18" s="3000"/>
      <c r="P18" s="3361"/>
      <c r="Q18" s="1536"/>
      <c r="R18" s="714"/>
      <c r="S18" s="715"/>
      <c r="T18" s="714"/>
      <c r="U18" s="715"/>
      <c r="V18" s="714"/>
      <c r="W18" s="715"/>
      <c r="X18" s="1539"/>
      <c r="Y18" s="3361"/>
      <c r="Z18" s="1540"/>
      <c r="AA18" s="1537">
        <v>1</v>
      </c>
      <c r="AB18" s="1537">
        <v>1</v>
      </c>
      <c r="AC18" s="1537">
        <v>1</v>
      </c>
    </row>
    <row r="19" spans="1:29" ht="71.25">
      <c r="A19" s="387"/>
      <c r="B19" s="410" t="s">
        <v>2505</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61"/>
      <c r="Q19" s="1536" t="str">
        <f>B19</f>
        <v>办公集聚程度</v>
      </c>
      <c r="R19" s="714" t="s">
        <v>17</v>
      </c>
      <c r="S19" s="715">
        <f>F19</f>
        <v>100</v>
      </c>
      <c r="T19" s="714" t="s">
        <v>17</v>
      </c>
      <c r="U19" s="715">
        <f>H19</f>
        <v>100</v>
      </c>
      <c r="V19" s="714" t="s">
        <v>17</v>
      </c>
      <c r="W19" s="715">
        <f>J19</f>
        <v>100</v>
      </c>
      <c r="X19" s="1539"/>
      <c r="Y19" s="3361"/>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8"/>
      <c r="M20" s="2942"/>
      <c r="N20" s="2942"/>
      <c r="O20" s="3000"/>
      <c r="P20" s="3361"/>
      <c r="Q20" s="1536"/>
      <c r="R20" s="714"/>
      <c r="S20" s="715"/>
      <c r="T20" s="714"/>
      <c r="U20" s="715"/>
      <c r="V20" s="714"/>
      <c r="W20" s="715"/>
      <c r="X20" s="1539"/>
      <c r="Y20" s="3361"/>
      <c r="Z20" s="1540"/>
      <c r="AA20" s="1537">
        <v>1</v>
      </c>
      <c r="AB20" s="1537">
        <v>1</v>
      </c>
      <c r="AC20" s="1537">
        <v>1</v>
      </c>
    </row>
    <row r="21" spans="1:29" ht="85.5">
      <c r="A21" s="387"/>
      <c r="B21" s="410" t="s">
        <v>2527</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361"/>
      <c r="Q21" s="1536" t="str">
        <f>B21</f>
        <v>交通便捷度</v>
      </c>
      <c r="R21" s="714" t="s">
        <v>17</v>
      </c>
      <c r="S21" s="715">
        <f>F21</f>
        <v>100</v>
      </c>
      <c r="T21" s="714" t="s">
        <v>17</v>
      </c>
      <c r="U21" s="715">
        <f>H21</f>
        <v>100</v>
      </c>
      <c r="V21" s="714" t="s">
        <v>17</v>
      </c>
      <c r="W21" s="715">
        <f>J21</f>
        <v>100</v>
      </c>
      <c r="X21" s="1539"/>
      <c r="Y21" s="3361"/>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8"/>
      <c r="M22" s="2942"/>
      <c r="N22" s="2942"/>
      <c r="O22" s="3000"/>
      <c r="P22" s="3361"/>
      <c r="Q22" s="1536"/>
      <c r="R22" s="714"/>
      <c r="S22" s="715"/>
      <c r="T22" s="714"/>
      <c r="U22" s="715"/>
      <c r="V22" s="714"/>
      <c r="W22" s="715"/>
      <c r="X22" s="1539"/>
      <c r="Y22" s="3361"/>
      <c r="Z22" s="1540"/>
      <c r="AA22" s="1537">
        <v>1</v>
      </c>
      <c r="AB22" s="1537">
        <v>1</v>
      </c>
      <c r="AC22" s="1537">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361"/>
      <c r="Q23" s="1536" t="str">
        <f t="shared" ref="Q23:Q37" si="8">B23</f>
        <v>区域土地利用方向</v>
      </c>
      <c r="R23" s="714" t="s">
        <v>17</v>
      </c>
      <c r="S23" s="715">
        <f>F23</f>
        <v>100</v>
      </c>
      <c r="T23" s="714" t="s">
        <v>17</v>
      </c>
      <c r="U23" s="715">
        <f>H23</f>
        <v>100</v>
      </c>
      <c r="V23" s="714" t="s">
        <v>17</v>
      </c>
      <c r="W23" s="715">
        <f>J23</f>
        <v>100</v>
      </c>
      <c r="X23" s="1539"/>
      <c r="Y23" s="3361"/>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8"/>
      <c r="M24" s="2942"/>
      <c r="N24" s="2942"/>
      <c r="O24" s="3000"/>
      <c r="P24" s="3361"/>
      <c r="Q24" s="1536"/>
      <c r="R24" s="714"/>
      <c r="S24" s="715"/>
      <c r="T24" s="714"/>
      <c r="U24" s="715"/>
      <c r="V24" s="714"/>
      <c r="W24" s="715"/>
      <c r="X24" s="1539"/>
      <c r="Y24" s="3361"/>
      <c r="Z24" s="1540"/>
      <c r="AA24" s="1537"/>
      <c r="AB24" s="1537"/>
      <c r="AC24" s="1537"/>
    </row>
    <row r="25" spans="1:29" ht="57">
      <c r="A25" s="364"/>
      <c r="B25" s="1293" t="s">
        <v>2567</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361"/>
      <c r="Q25" s="1536" t="str">
        <f t="shared" si="8"/>
        <v>自然及人文环境状况</v>
      </c>
      <c r="R25" s="714" t="s">
        <v>17</v>
      </c>
      <c r="S25" s="715">
        <f>F25</f>
        <v>100</v>
      </c>
      <c r="T25" s="714" t="s">
        <v>17</v>
      </c>
      <c r="U25" s="715">
        <f>H25</f>
        <v>100</v>
      </c>
      <c r="V25" s="714" t="s">
        <v>17</v>
      </c>
      <c r="W25" s="715">
        <f>J25</f>
        <v>100</v>
      </c>
      <c r="X25" s="1539"/>
      <c r="Y25" s="3361"/>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8"/>
      <c r="M26" s="2942"/>
      <c r="N26" s="2942"/>
      <c r="O26" s="3000"/>
      <c r="P26" s="3361"/>
      <c r="Q26" s="1536"/>
      <c r="R26" s="714"/>
      <c r="S26" s="715"/>
      <c r="T26" s="714"/>
      <c r="U26" s="715"/>
      <c r="V26" s="714"/>
      <c r="W26" s="715"/>
      <c r="X26" s="1539"/>
      <c r="Y26" s="3361"/>
      <c r="Z26" s="1540"/>
      <c r="AA26" s="1537">
        <v>1</v>
      </c>
      <c r="AB26" s="1537">
        <v>1</v>
      </c>
      <c r="AC26" s="1537">
        <v>1</v>
      </c>
    </row>
    <row r="27" spans="1:29" s="113" customFormat="1" ht="42.75">
      <c r="A27" s="605"/>
      <c r="B27" s="1293" t="s">
        <v>2472</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361"/>
      <c r="Q27" s="1527" t="str">
        <f t="shared" si="8"/>
        <v>公共配套设施</v>
      </c>
      <c r="R27" s="710" t="s">
        <v>17</v>
      </c>
      <c r="S27" s="711">
        <f>F27</f>
        <v>100</v>
      </c>
      <c r="T27" s="710" t="s">
        <v>17</v>
      </c>
      <c r="U27" s="711">
        <f>H27</f>
        <v>100</v>
      </c>
      <c r="V27" s="710" t="s">
        <v>17</v>
      </c>
      <c r="W27" s="711">
        <f>J27</f>
        <v>100</v>
      </c>
      <c r="X27" s="712"/>
      <c r="Y27" s="3361"/>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3"/>
      <c r="M28" s="2944"/>
      <c r="N28" s="2944"/>
      <c r="O28" s="2998"/>
      <c r="P28" s="3361"/>
      <c r="Q28" s="1527"/>
      <c r="R28" s="710"/>
      <c r="S28" s="711"/>
      <c r="T28" s="710"/>
      <c r="U28" s="711"/>
      <c r="V28" s="710"/>
      <c r="W28" s="711"/>
      <c r="X28" s="712"/>
      <c r="Y28" s="3361"/>
      <c r="Z28" s="55"/>
      <c r="AA28" s="1537">
        <v>1</v>
      </c>
      <c r="AB28" s="1537">
        <v>1</v>
      </c>
      <c r="AC28" s="1537">
        <v>1</v>
      </c>
    </row>
    <row r="29" spans="1:29" s="113" customFormat="1" ht="28.5">
      <c r="A29" s="605"/>
      <c r="B29" s="1293" t="s">
        <v>2473</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61"/>
      <c r="Q29" s="1527" t="str">
        <f t="shared" ref="Q29" si="9">B29</f>
        <v>基础设施水平</v>
      </c>
      <c r="R29" s="710" t="s">
        <v>17</v>
      </c>
      <c r="S29" s="711">
        <f>F29</f>
        <v>100</v>
      </c>
      <c r="T29" s="710" t="s">
        <v>17</v>
      </c>
      <c r="U29" s="711">
        <f>H29</f>
        <v>100</v>
      </c>
      <c r="V29" s="710" t="s">
        <v>17</v>
      </c>
      <c r="W29" s="711">
        <f>J29</f>
        <v>100</v>
      </c>
      <c r="X29" s="712"/>
      <c r="Y29" s="3361"/>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3"/>
      <c r="M30" s="2944"/>
      <c r="N30" s="2944"/>
      <c r="O30" s="2998"/>
      <c r="P30" s="3361"/>
      <c r="Q30" s="1527"/>
      <c r="R30" s="710"/>
      <c r="S30" s="711"/>
      <c r="T30" s="710"/>
      <c r="U30" s="711"/>
      <c r="V30" s="710"/>
      <c r="W30" s="711"/>
      <c r="X30" s="712"/>
      <c r="Y30" s="3361"/>
      <c r="Z30" s="55"/>
      <c r="AA30" s="1537">
        <v>1</v>
      </c>
      <c r="AB30" s="1537">
        <v>1</v>
      </c>
      <c r="AC30" s="1537">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61"/>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61"/>
      <c r="Z31" s="1540" t="str">
        <f t="shared" ref="Z31:Z45" si="13">Q31</f>
        <v>临街状况</v>
      </c>
      <c r="AA31" s="1537">
        <f t="shared" si="3"/>
        <v>1</v>
      </c>
      <c r="AB31" s="1537">
        <f t="shared" si="4"/>
        <v>1</v>
      </c>
      <c r="AC31" s="1537">
        <f t="shared" si="5"/>
        <v>1</v>
      </c>
    </row>
    <row r="32" spans="1:29" ht="27">
      <c r="A32" s="387"/>
      <c r="B32" s="1293"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61"/>
      <c r="Q32" s="1536" t="str">
        <f t="shared" si="8"/>
        <v>毗邻道路的类型与等级</v>
      </c>
      <c r="R32" s="714" t="s">
        <v>17</v>
      </c>
      <c r="S32" s="715">
        <f t="shared" si="10"/>
        <v>100</v>
      </c>
      <c r="T32" s="714" t="s">
        <v>17</v>
      </c>
      <c r="U32" s="715">
        <f t="shared" si="11"/>
        <v>100</v>
      </c>
      <c r="V32" s="714" t="s">
        <v>17</v>
      </c>
      <c r="W32" s="715">
        <f t="shared" si="12"/>
        <v>100</v>
      </c>
      <c r="X32" s="1539"/>
      <c r="Y32" s="3361"/>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8"/>
      <c r="M33" s="2942"/>
      <c r="N33" s="2942"/>
      <c r="O33" s="3000"/>
      <c r="P33" s="3361"/>
      <c r="Q33" s="1536"/>
      <c r="R33" s="714"/>
      <c r="S33" s="715"/>
      <c r="T33" s="714"/>
      <c r="U33" s="715"/>
      <c r="V33" s="714"/>
      <c r="W33" s="715"/>
      <c r="X33" s="1539"/>
      <c r="Y33" s="3361"/>
      <c r="Z33" s="1540"/>
      <c r="AA33" s="1537">
        <v>1</v>
      </c>
      <c r="AB33" s="1537">
        <v>1</v>
      </c>
      <c r="AC33" s="1537">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61"/>
      <c r="Q34" s="1536" t="str">
        <f t="shared" si="8"/>
        <v>土地级别</v>
      </c>
      <c r="R34" s="714" t="s">
        <v>17</v>
      </c>
      <c r="S34" s="715">
        <f t="shared" si="10"/>
        <v>100</v>
      </c>
      <c r="T34" s="714" t="s">
        <v>17</v>
      </c>
      <c r="U34" s="715">
        <f t="shared" si="11"/>
        <v>100</v>
      </c>
      <c r="V34" s="714" t="s">
        <v>17</v>
      </c>
      <c r="W34" s="715">
        <f t="shared" si="12"/>
        <v>100</v>
      </c>
      <c r="X34" s="1539"/>
      <c r="Y34" s="3361"/>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61"/>
      <c r="Q35" s="1536">
        <f t="shared" si="8"/>
        <v>111</v>
      </c>
      <c r="R35" s="714" t="s">
        <v>17</v>
      </c>
      <c r="S35" s="715">
        <f t="shared" si="10"/>
        <v>100</v>
      </c>
      <c r="T35" s="714" t="s">
        <v>17</v>
      </c>
      <c r="U35" s="715">
        <f t="shared" si="11"/>
        <v>100</v>
      </c>
      <c r="V35" s="714" t="s">
        <v>17</v>
      </c>
      <c r="W35" s="715">
        <f t="shared" si="12"/>
        <v>100</v>
      </c>
      <c r="X35" s="1539"/>
      <c r="Y35" s="3361"/>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85" t="s">
        <v>2383</v>
      </c>
      <c r="Q36" s="1536">
        <f t="shared" si="8"/>
        <v>111</v>
      </c>
      <c r="R36" s="714" t="s">
        <v>17</v>
      </c>
      <c r="S36" s="715">
        <f t="shared" si="10"/>
        <v>100</v>
      </c>
      <c r="T36" s="714" t="s">
        <v>17</v>
      </c>
      <c r="U36" s="715">
        <f t="shared" si="11"/>
        <v>100</v>
      </c>
      <c r="V36" s="714" t="s">
        <v>17</v>
      </c>
      <c r="W36" s="715">
        <f t="shared" si="12"/>
        <v>100</v>
      </c>
      <c r="X36" s="1539"/>
      <c r="Y36" s="3365" t="s">
        <v>2383</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65"/>
      <c r="Q37" s="1536">
        <f t="shared" si="8"/>
        <v>111</v>
      </c>
      <c r="R37" s="717" t="s">
        <v>17</v>
      </c>
      <c r="S37" s="718">
        <f t="shared" si="10"/>
        <v>100</v>
      </c>
      <c r="T37" s="717" t="s">
        <v>17</v>
      </c>
      <c r="U37" s="718">
        <f t="shared" si="11"/>
        <v>100</v>
      </c>
      <c r="V37" s="717" t="s">
        <v>17</v>
      </c>
      <c r="W37" s="718">
        <f t="shared" si="12"/>
        <v>100</v>
      </c>
      <c r="X37" s="719"/>
      <c r="Y37" s="3365"/>
      <c r="Z37" s="720">
        <f t="shared" si="13"/>
        <v>111</v>
      </c>
      <c r="AA37" s="1537">
        <f t="shared" si="3"/>
        <v>1</v>
      </c>
      <c r="AB37" s="1537">
        <f t="shared" si="4"/>
        <v>1</v>
      </c>
      <c r="AC37" s="1537">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365"/>
      <c r="Q38" s="1536" t="str">
        <f>B38</f>
        <v>宗地面积</v>
      </c>
      <c r="R38" s="714" t="s">
        <v>17</v>
      </c>
      <c r="S38" s="715" t="e">
        <f t="shared" si="10"/>
        <v>#N/A</v>
      </c>
      <c r="T38" s="714" t="s">
        <v>17</v>
      </c>
      <c r="U38" s="715" t="e">
        <f t="shared" si="11"/>
        <v>#N/A</v>
      </c>
      <c r="V38" s="714" t="s">
        <v>17</v>
      </c>
      <c r="W38" s="715" t="e">
        <f t="shared" si="12"/>
        <v>#N/A</v>
      </c>
      <c r="X38" s="1539"/>
      <c r="Y38" s="3365"/>
      <c r="Z38" s="1540" t="str">
        <f t="shared" si="13"/>
        <v>宗地面积</v>
      </c>
      <c r="AA38" s="1537" t="e">
        <f t="shared" si="3"/>
        <v>#N/A</v>
      </c>
      <c r="AB38" s="1537" t="e">
        <f t="shared" si="4"/>
        <v>#N/A</v>
      </c>
      <c r="AC38" s="1537" t="e">
        <f t="shared" si="5"/>
        <v>#N/A</v>
      </c>
    </row>
    <row r="39" spans="1:29" ht="15">
      <c r="A39" s="431"/>
      <c r="B39" s="381" t="s">
        <v>2570</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8"/>
      <c r="M39" s="2942"/>
      <c r="N39" s="2942"/>
      <c r="O39" s="3000"/>
      <c r="P39" s="3365"/>
      <c r="Q39" s="1536" t="str">
        <f t="shared" ref="Q39:Q45" si="14">B39</f>
        <v>宗地形状</v>
      </c>
      <c r="R39" s="714" t="s">
        <v>17</v>
      </c>
      <c r="S39" s="715">
        <f t="shared" si="10"/>
        <v>100</v>
      </c>
      <c r="T39" s="714" t="s">
        <v>17</v>
      </c>
      <c r="U39" s="715">
        <f t="shared" si="11"/>
        <v>100</v>
      </c>
      <c r="V39" s="714" t="s">
        <v>17</v>
      </c>
      <c r="W39" s="715">
        <f t="shared" si="12"/>
        <v>100</v>
      </c>
      <c r="X39" s="1539"/>
      <c r="Y39" s="3365"/>
      <c r="Z39" s="1540" t="str">
        <f t="shared" si="13"/>
        <v>宗地形状</v>
      </c>
      <c r="AA39" s="1537">
        <f t="shared" si="3"/>
        <v>1</v>
      </c>
      <c r="AB39" s="1537">
        <f t="shared" si="4"/>
        <v>1</v>
      </c>
      <c r="AC39" s="1537">
        <f t="shared" si="5"/>
        <v>1</v>
      </c>
    </row>
    <row r="40" spans="1:29" ht="15">
      <c r="A40" s="431"/>
      <c r="B40" s="381" t="s">
        <v>2571</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8"/>
      <c r="M40" s="2942"/>
      <c r="N40" s="2942"/>
      <c r="O40" s="3000"/>
      <c r="P40" s="3365"/>
      <c r="Q40" s="1536" t="str">
        <f t="shared" si="14"/>
        <v>临街宽度及深度</v>
      </c>
      <c r="R40" s="714" t="s">
        <v>17</v>
      </c>
      <c r="S40" s="715">
        <f t="shared" si="10"/>
        <v>100</v>
      </c>
      <c r="T40" s="714" t="s">
        <v>17</v>
      </c>
      <c r="U40" s="715">
        <f t="shared" si="11"/>
        <v>100</v>
      </c>
      <c r="V40" s="714" t="s">
        <v>17</v>
      </c>
      <c r="W40" s="715">
        <f t="shared" si="12"/>
        <v>100</v>
      </c>
      <c r="X40" s="1539"/>
      <c r="Y40" s="3365"/>
      <c r="Z40" s="1540" t="str">
        <f t="shared" si="13"/>
        <v>临街宽度及深度</v>
      </c>
      <c r="AA40" s="1537">
        <f t="shared" si="3"/>
        <v>1</v>
      </c>
      <c r="AB40" s="1537">
        <f t="shared" si="4"/>
        <v>1</v>
      </c>
      <c r="AC40" s="1537">
        <f t="shared" si="5"/>
        <v>1</v>
      </c>
    </row>
    <row r="41" spans="1:29" s="113" customFormat="1" ht="15">
      <c r="A41" s="432"/>
      <c r="B41" s="381" t="s">
        <v>2572</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3"/>
      <c r="M41" s="2944"/>
      <c r="N41" s="2944"/>
      <c r="O41" s="2998"/>
      <c r="P41" s="3365"/>
      <c r="Q41" s="1536" t="str">
        <f t="shared" si="14"/>
        <v>宗地开发程度</v>
      </c>
      <c r="R41" s="710" t="s">
        <v>17</v>
      </c>
      <c r="S41" s="711">
        <f t="shared" si="10"/>
        <v>100</v>
      </c>
      <c r="T41" s="710" t="s">
        <v>17</v>
      </c>
      <c r="U41" s="711">
        <f t="shared" si="11"/>
        <v>100</v>
      </c>
      <c r="V41" s="710" t="s">
        <v>17</v>
      </c>
      <c r="W41" s="711">
        <f t="shared" si="12"/>
        <v>100</v>
      </c>
      <c r="X41" s="712"/>
      <c r="Y41" s="3365"/>
      <c r="Z41" s="55" t="str">
        <f t="shared" si="13"/>
        <v>宗地开发程度</v>
      </c>
      <c r="AA41" s="713">
        <f t="shared" si="3"/>
        <v>1</v>
      </c>
      <c r="AB41" s="713">
        <f t="shared" si="4"/>
        <v>1</v>
      </c>
      <c r="AC41" s="713">
        <f t="shared" si="5"/>
        <v>1</v>
      </c>
    </row>
    <row r="42" spans="1:29" ht="15">
      <c r="A42" s="431"/>
      <c r="B42" s="381" t="s">
        <v>2573</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8"/>
      <c r="M42" s="2942"/>
      <c r="N42" s="2942"/>
      <c r="O42" s="3000"/>
      <c r="P42" s="3365" t="s">
        <v>2383</v>
      </c>
      <c r="Q42" s="1536" t="str">
        <f t="shared" si="14"/>
        <v>工程地质条件</v>
      </c>
      <c r="R42" s="714" t="s">
        <v>17</v>
      </c>
      <c r="S42" s="715">
        <f t="shared" si="10"/>
        <v>100</v>
      </c>
      <c r="T42" s="714" t="s">
        <v>17</v>
      </c>
      <c r="U42" s="715">
        <f t="shared" si="11"/>
        <v>100</v>
      </c>
      <c r="V42" s="714" t="s">
        <v>17</v>
      </c>
      <c r="W42" s="715">
        <f t="shared" si="12"/>
        <v>100</v>
      </c>
      <c r="X42" s="1539"/>
      <c r="Y42" s="3365" t="s">
        <v>2383</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65"/>
      <c r="Q43" s="1536">
        <f t="shared" si="14"/>
        <v>111</v>
      </c>
      <c r="R43" s="714" t="s">
        <v>17</v>
      </c>
      <c r="S43" s="715">
        <f t="shared" si="10"/>
        <v>100</v>
      </c>
      <c r="T43" s="714" t="s">
        <v>17</v>
      </c>
      <c r="U43" s="715">
        <f t="shared" si="11"/>
        <v>100</v>
      </c>
      <c r="V43" s="714" t="s">
        <v>17</v>
      </c>
      <c r="W43" s="715">
        <f t="shared" si="12"/>
        <v>100</v>
      </c>
      <c r="X43" s="1539"/>
      <c r="Y43" s="3365"/>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65"/>
      <c r="Q44" s="1536">
        <f t="shared" si="14"/>
        <v>111</v>
      </c>
      <c r="R44" s="714" t="s">
        <v>17</v>
      </c>
      <c r="S44" s="715">
        <f t="shared" si="10"/>
        <v>100</v>
      </c>
      <c r="T44" s="714" t="s">
        <v>17</v>
      </c>
      <c r="U44" s="715">
        <f t="shared" si="11"/>
        <v>100</v>
      </c>
      <c r="V44" s="714" t="s">
        <v>17</v>
      </c>
      <c r="W44" s="715">
        <f t="shared" si="12"/>
        <v>100</v>
      </c>
      <c r="X44" s="1539"/>
      <c r="Y44" s="3365"/>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65"/>
      <c r="Q45" s="1536">
        <f t="shared" si="14"/>
        <v>111</v>
      </c>
      <c r="R45" s="717" t="s">
        <v>17</v>
      </c>
      <c r="S45" s="718">
        <f t="shared" si="10"/>
        <v>100</v>
      </c>
      <c r="T45" s="717" t="s">
        <v>17</v>
      </c>
      <c r="U45" s="718">
        <f t="shared" si="11"/>
        <v>100</v>
      </c>
      <c r="V45" s="717" t="s">
        <v>17</v>
      </c>
      <c r="W45" s="718">
        <f t="shared" si="12"/>
        <v>100</v>
      </c>
      <c r="X45" s="719"/>
      <c r="Y45" s="3365"/>
      <c r="Z45" s="720">
        <f t="shared" si="13"/>
        <v>111</v>
      </c>
      <c r="AA45" s="1537">
        <f t="shared" si="3"/>
        <v>1</v>
      </c>
      <c r="AB45" s="1537">
        <f t="shared" si="4"/>
        <v>1</v>
      </c>
      <c r="AC45" s="1537">
        <f t="shared" si="5"/>
        <v>1</v>
      </c>
    </row>
    <row r="46" spans="1:29" ht="15">
      <c r="A46" s="438" t="s">
        <v>2538</v>
      </c>
      <c r="B46" s="2168" t="s">
        <v>2574</v>
      </c>
      <c r="C46" s="638" t="s">
        <v>1</v>
      </c>
      <c r="D46" s="440"/>
      <c r="E46" s="441"/>
      <c r="F46" s="442"/>
      <c r="G46" s="443"/>
      <c r="H46" s="444"/>
      <c r="I46" s="441"/>
      <c r="J46" s="444"/>
      <c r="K46" s="723"/>
      <c r="L46" s="2950"/>
      <c r="M46" s="2951"/>
      <c r="N46" s="2942"/>
      <c r="O46" s="2951"/>
      <c r="P46" s="3358" t="str">
        <f>A46</f>
        <v>成交单价</v>
      </c>
      <c r="Q46" s="3358"/>
      <c r="R46" s="3353">
        <f>E46</f>
        <v>0</v>
      </c>
      <c r="S46" s="3353"/>
      <c r="T46" s="3353">
        <f>G46</f>
        <v>0</v>
      </c>
      <c r="U46" s="3353"/>
      <c r="V46" s="3353">
        <f>I46</f>
        <v>0</v>
      </c>
      <c r="W46" s="3353"/>
      <c r="X46" s="699"/>
      <c r="Y46" s="721"/>
      <c r="Z46" s="699"/>
      <c r="AA46" s="699"/>
      <c r="AB46" s="699"/>
      <c r="AC46" s="699"/>
    </row>
    <row r="47" spans="1:29" ht="15.75" thickBot="1">
      <c r="A47" s="445" t="s">
        <v>2487</v>
      </c>
      <c r="B47" s="639"/>
      <c r="C47" s="448" t="e">
        <f>R48</f>
        <v>#DIV/0!</v>
      </c>
      <c r="D47" s="2538" t="s">
        <v>2877</v>
      </c>
      <c r="E47" s="448" t="e">
        <f>R47</f>
        <v>#DIV/0!</v>
      </c>
      <c r="F47" s="2539"/>
      <c r="G47" s="447" t="e">
        <f>T47</f>
        <v>#DIV/0!</v>
      </c>
      <c r="H47" s="2539"/>
      <c r="I47" s="448" t="e">
        <f>V47</f>
        <v>#DIV/0!</v>
      </c>
      <c r="J47" s="2539"/>
      <c r="K47" s="2541">
        <f>F47+H47+J47</f>
        <v>0</v>
      </c>
      <c r="L47" s="2950"/>
      <c r="M47" s="2951"/>
      <c r="N47" s="2951"/>
      <c r="O47" s="2951"/>
      <c r="P47" s="3358" t="str">
        <f>A47</f>
        <v>比较价值（元/平方米）</v>
      </c>
      <c r="Q47" s="3358"/>
      <c r="R47" s="3387" t="e">
        <f>ROUND(PRODUCT(R46,AA7:AA45),0)</f>
        <v>#DIV/0!</v>
      </c>
      <c r="S47" s="3387"/>
      <c r="T47" s="3387" t="e">
        <f>ROUND(PRODUCT(T46,AB7:AB45),0)</f>
        <v>#DIV/0!</v>
      </c>
      <c r="U47" s="3387"/>
      <c r="V47" s="3387" t="e">
        <f>ROUND(PRODUCT(V46,AC7:AC45),0)</f>
        <v>#DIV/0!</v>
      </c>
      <c r="W47" s="3387"/>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0"/>
      <c r="M48" s="2951"/>
      <c r="N48" s="2951"/>
      <c r="O48" s="2951"/>
      <c r="P48" s="3355" t="str">
        <f>A48</f>
        <v>估价对象XX用房的比较价值（楼面单价，元/平方米）</v>
      </c>
      <c r="Q48" s="3356"/>
      <c r="R48" s="3388" t="e">
        <f>ROUND(IF(D47="简单平均",AVERAGE(R47:W47),R47*F47+T47*H47+V47*J47),0)</f>
        <v>#DIV/0!</v>
      </c>
      <c r="S48" s="3388"/>
      <c r="T48" s="3388"/>
      <c r="U48" s="3388"/>
      <c r="V48" s="3388"/>
      <c r="W48" s="3388"/>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2576</v>
      </c>
      <c r="B55" s="641" t="s">
        <v>2577</v>
      </c>
      <c r="C55" s="2169" t="s">
        <v>2578</v>
      </c>
      <c r="D55" s="2170" t="s">
        <v>2579</v>
      </c>
      <c r="E55" s="642" t="s">
        <v>2580</v>
      </c>
      <c r="F55" s="1021" t="s">
        <v>2581</v>
      </c>
      <c r="G55" s="3341" t="s">
        <v>2582</v>
      </c>
      <c r="H55" s="3389"/>
      <c r="I55" s="140" t="s">
        <v>2583</v>
      </c>
      <c r="J55" s="2171">
        <f>项目基本情况!F35</f>
        <v>0</v>
      </c>
      <c r="K55" s="2172" t="s">
        <v>2584</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2585</v>
      </c>
      <c r="B56" s="645" t="e">
        <f>C48</f>
        <v>#DIV/0!</v>
      </c>
      <c r="C56" s="646">
        <v>1</v>
      </c>
      <c r="D56" s="1075">
        <v>1</v>
      </c>
      <c r="E56" s="646">
        <f>'数据-汇总表'!E8+'数据-汇总表'!E9</f>
        <v>1141.77</v>
      </c>
      <c r="F56" s="1017" t="e">
        <f t="shared" ref="F56:F65" si="15">ROUND(B56*E56/10000,0)</f>
        <v>#DIV/0!</v>
      </c>
      <c r="G56" s="3340"/>
      <c r="H56" s="3358"/>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2586</v>
      </c>
      <c r="B57" s="224" t="e">
        <f>ROUND($C$48*C57*D57,0)</f>
        <v>#DIV/0!</v>
      </c>
      <c r="C57" s="176">
        <f t="shared" ref="C57:C65" si="16">IF($C$55="北京市系数",I57,J57)</f>
        <v>0</v>
      </c>
      <c r="D57" s="1076">
        <v>0.25</v>
      </c>
      <c r="E57" s="650"/>
      <c r="F57" s="1017" t="e">
        <f t="shared" si="15"/>
        <v>#DIV/0!</v>
      </c>
      <c r="G57" s="3390" t="s">
        <v>2587</v>
      </c>
      <c r="H57" s="1018">
        <f>项目基本情况!B37</f>
        <v>0</v>
      </c>
      <c r="I57" s="1022">
        <f>SUMIF(修正!A45:A56,H57,修正!B45:B56)</f>
        <v>0</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2588</v>
      </c>
      <c r="B58" s="224" t="e">
        <f t="shared" ref="B58:B65" si="17">ROUND($C$48*C58*D58,0)</f>
        <v>#DIV/0!</v>
      </c>
      <c r="C58" s="176">
        <f t="shared" si="16"/>
        <v>0</v>
      </c>
      <c r="D58" s="1076">
        <v>0.25</v>
      </c>
      <c r="E58" s="650"/>
      <c r="F58" s="1017" t="e">
        <f t="shared" si="15"/>
        <v>#DIV/0!</v>
      </c>
      <c r="G58" s="3390"/>
      <c r="H58" s="1018">
        <f>项目基本情况!B37</f>
        <v>0</v>
      </c>
      <c r="I58" s="1022">
        <f>SUMIF(修正!A45:A56,H58,修正!C45:C56)</f>
        <v>0</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2589</v>
      </c>
      <c r="B59" s="224" t="e">
        <f t="shared" si="17"/>
        <v>#DIV/0!</v>
      </c>
      <c r="C59" s="176">
        <f t="shared" si="16"/>
        <v>0</v>
      </c>
      <c r="D59" s="1076">
        <v>0.25</v>
      </c>
      <c r="E59" s="650"/>
      <c r="F59" s="1017" t="e">
        <f t="shared" si="15"/>
        <v>#DIV/0!</v>
      </c>
      <c r="G59" s="3390"/>
      <c r="H59" s="1018">
        <f>项目基本情况!B37</f>
        <v>0</v>
      </c>
      <c r="I59" s="1022">
        <f>SUMIF(修正!A45:A56,H59,修正!D45:D56)</f>
        <v>0</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2590</v>
      </c>
      <c r="B60" s="224" t="e">
        <f t="shared" si="17"/>
        <v>#DIV/0!</v>
      </c>
      <c r="C60" s="176">
        <f t="shared" si="16"/>
        <v>0</v>
      </c>
      <c r="D60" s="1076">
        <v>0.25</v>
      </c>
      <c r="E60" s="650"/>
      <c r="F60" s="1017" t="e">
        <f t="shared" si="15"/>
        <v>#DIV/0!</v>
      </c>
      <c r="G60" s="3390"/>
      <c r="H60" s="1018">
        <f>项目基本情况!B37</f>
        <v>0</v>
      </c>
      <c r="I60" s="1022">
        <f>SUMIF(修正!A45:A56,H60,修正!E45:E56)</f>
        <v>0</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2591</v>
      </c>
      <c r="B61" s="224" t="e">
        <f t="shared" si="17"/>
        <v>#DIV/0!</v>
      </c>
      <c r="C61" s="176">
        <f t="shared" si="16"/>
        <v>0</v>
      </c>
      <c r="D61" s="1076">
        <v>0.25</v>
      </c>
      <c r="E61" s="223">
        <f>'数据-汇总表'!E11</f>
        <v>0</v>
      </c>
      <c r="F61" s="1017" t="e">
        <f t="shared" si="15"/>
        <v>#DIV/0!</v>
      </c>
      <c r="G61" s="2173" t="s">
        <v>2592</v>
      </c>
      <c r="H61" s="1018">
        <f>项目基本情况!C37</f>
        <v>0</v>
      </c>
      <c r="I61" s="1022">
        <f>SUMIF(修正!A45:A56,H61,修正!F45:F56)</f>
        <v>0</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2593</v>
      </c>
      <c r="B62" s="224" t="e">
        <f t="shared" si="17"/>
        <v>#DIV/0!</v>
      </c>
      <c r="C62" s="176">
        <f t="shared" si="16"/>
        <v>0</v>
      </c>
      <c r="D62" s="1076">
        <v>0.25</v>
      </c>
      <c r="E62" s="223">
        <f>'数据-汇总表'!E12</f>
        <v>0</v>
      </c>
      <c r="F62" s="1017" t="e">
        <f t="shared" si="15"/>
        <v>#DIV/0!</v>
      </c>
      <c r="G62" s="1023" t="s">
        <v>2594</v>
      </c>
      <c r="H62" s="1018">
        <f>IF(G62="商业",项目基本情况!B37,IF(G62="办公",项目基本情况!C37,IF(G62="住宅",项目基本情况!D37,项目基本情况!E37)))</f>
        <v>0</v>
      </c>
      <c r="I62" s="1022">
        <f>SUMIF(修正!A45:A56,H62,修正!G45:G56)</f>
        <v>0</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2595</v>
      </c>
      <c r="B63" s="224" t="e">
        <f t="shared" si="17"/>
        <v>#DIV/0!</v>
      </c>
      <c r="C63" s="176">
        <f t="shared" si="16"/>
        <v>0</v>
      </c>
      <c r="D63" s="1076">
        <v>0.25</v>
      </c>
      <c r="E63" s="223">
        <f>'数据-汇总表'!E13</f>
        <v>0</v>
      </c>
      <c r="F63" s="1017" t="e">
        <f t="shared" si="15"/>
        <v>#DIV/0!</v>
      </c>
      <c r="G63" s="1023" t="s">
        <v>2596</v>
      </c>
      <c r="H63" s="1018">
        <f>IF(G63="商业",项目基本情况!B37,IF(G63="办公",项目基本情况!C37,IF(G63="住宅",项目基本情况!D37,项目基本情况!E37)))</f>
        <v>0</v>
      </c>
      <c r="I63" s="1022">
        <f>SUMIF(修正!A45:A56,H63,修正!H45:H56)</f>
        <v>0</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2597</v>
      </c>
      <c r="B64" s="224" t="e">
        <f t="shared" si="17"/>
        <v>#DIV/0!</v>
      </c>
      <c r="C64" s="176">
        <f t="shared" si="16"/>
        <v>0</v>
      </c>
      <c r="D64" s="1076">
        <v>0.25</v>
      </c>
      <c r="E64" s="223">
        <f>'数据-汇总表'!E14</f>
        <v>0</v>
      </c>
      <c r="F64" s="1017" t="e">
        <f t="shared" si="15"/>
        <v>#DIV/0!</v>
      </c>
      <c r="G64" s="2173" t="s">
        <v>2587</v>
      </c>
      <c r="H64" s="1018">
        <f>项目基本情况!B37</f>
        <v>0</v>
      </c>
      <c r="I64" s="1022">
        <f>SUMIF(修正!A45:A56,H64,修正!H45:H56)</f>
        <v>0</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2598</v>
      </c>
      <c r="B65" s="224" t="e">
        <f t="shared" si="17"/>
        <v>#DIV/0!</v>
      </c>
      <c r="C65" s="176">
        <f t="shared" si="16"/>
        <v>0</v>
      </c>
      <c r="D65" s="1076">
        <v>0.25</v>
      </c>
      <c r="E65" s="223">
        <f>'数据-汇总表'!E15</f>
        <v>0</v>
      </c>
      <c r="F65" s="1017" t="e">
        <f t="shared" si="15"/>
        <v>#DIV/0!</v>
      </c>
      <c r="G65" s="2174" t="s">
        <v>2592</v>
      </c>
      <c r="H65" s="1028">
        <f>项目基本情况!C37</f>
        <v>0</v>
      </c>
      <c r="I65" s="1024">
        <f>SUMIF(修正!A45:A56,H65,修正!H45:H56)</f>
        <v>0</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2599</v>
      </c>
      <c r="B66" s="652" t="s">
        <v>28</v>
      </c>
      <c r="C66" s="652" t="s">
        <v>29</v>
      </c>
      <c r="D66" s="652" t="s">
        <v>997</v>
      </c>
      <c r="E66" s="652">
        <f>IF(B46="楼面地价",SUM(E56:E65),'数据-汇总表'!D3)</f>
        <v>1141.77</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1"/>
      <c r="Q68" s="2951"/>
      <c r="R68" s="2951"/>
      <c r="S68" s="2951"/>
      <c r="T68" s="2951"/>
      <c r="U68" s="2951"/>
      <c r="V68" s="2951"/>
      <c r="W68" s="2951"/>
      <c r="X68" s="2951"/>
      <c r="Y68" s="2951"/>
      <c r="Z68" s="2951"/>
      <c r="AA68" s="2951"/>
      <c r="AB68" s="2951"/>
      <c r="AC68" s="2951"/>
    </row>
    <row r="69" spans="1:29" ht="21.75" thickBot="1">
      <c r="A69" s="703" t="s">
        <v>2492</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ht="15">
      <c r="A70" s="2175" t="s">
        <v>2600</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2"/>
      <c r="Q70" s="2967"/>
      <c r="R70" s="2967"/>
      <c r="S70" s="2967"/>
      <c r="T70" s="2967"/>
      <c r="U70" s="2967"/>
      <c r="V70" s="2967"/>
      <c r="W70" s="2967"/>
      <c r="X70" s="2967"/>
      <c r="Y70" s="2967"/>
      <c r="Z70" s="2967"/>
      <c r="AA70" s="2967"/>
      <c r="AB70" s="2967"/>
      <c r="AC70" s="2967"/>
    </row>
    <row r="71" spans="1:29" s="113" customFormat="1" ht="30" customHeight="1">
      <c r="A71" s="2176" t="s">
        <v>2601</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5"/>
      <c r="Q71" s="2885"/>
      <c r="R71" s="2885"/>
      <c r="S71" s="2885"/>
      <c r="T71" s="2885"/>
      <c r="U71" s="2885"/>
      <c r="V71" s="2885"/>
      <c r="W71" s="2885"/>
      <c r="X71" s="2885"/>
      <c r="Y71" s="2885"/>
      <c r="Z71" s="2885"/>
      <c r="AA71" s="2885"/>
      <c r="AB71" s="2885"/>
      <c r="AC71" s="2885"/>
    </row>
    <row r="72" spans="1:29" s="113" customFormat="1" ht="15.75" thickBot="1">
      <c r="A72" s="472" t="s">
        <v>2403</v>
      </c>
      <c r="B72" s="473"/>
      <c r="C72" s="474"/>
      <c r="D72" s="475"/>
      <c r="E72" s="475"/>
      <c r="F72" s="475"/>
      <c r="G72" s="475"/>
      <c r="H72" s="475"/>
      <c r="I72" s="475"/>
      <c r="J72" s="475"/>
      <c r="K72" s="475"/>
      <c r="L72" s="475"/>
      <c r="M72" s="476"/>
      <c r="N72" s="475"/>
      <c r="O72" s="1074"/>
      <c r="P72" s="2965"/>
      <c r="Q72" s="2965"/>
      <c r="R72" s="2885"/>
      <c r="S72" s="2885"/>
      <c r="T72" s="2885"/>
      <c r="U72" s="2885"/>
      <c r="V72" s="2885"/>
      <c r="W72" s="2885"/>
      <c r="X72" s="2885"/>
      <c r="Y72" s="2885"/>
      <c r="Z72" s="2885"/>
      <c r="AA72" s="2885"/>
      <c r="AB72" s="2885"/>
      <c r="AC72" s="2885"/>
    </row>
    <row r="73" spans="1:29" s="113" customFormat="1" ht="15">
      <c r="A73" s="478" t="s">
        <v>2368</v>
      </c>
      <c r="B73" s="467"/>
      <c r="C73" s="479" t="s">
        <v>2470</v>
      </c>
      <c r="D73" s="480"/>
      <c r="E73" s="480"/>
      <c r="F73" s="480"/>
      <c r="G73" s="480"/>
      <c r="H73" s="480"/>
      <c r="I73" s="480"/>
      <c r="J73" s="480"/>
      <c r="K73" s="480"/>
      <c r="L73" s="481"/>
      <c r="M73" s="482"/>
      <c r="N73" s="2978"/>
      <c r="O73" s="2978"/>
      <c r="P73" s="3003"/>
      <c r="Q73" s="2965"/>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5"/>
      <c r="S74" s="2885"/>
      <c r="T74" s="2885"/>
      <c r="U74" s="2885"/>
      <c r="V74" s="2885"/>
      <c r="W74" s="2885"/>
      <c r="X74" s="2885"/>
      <c r="Y74" s="2885"/>
      <c r="Z74" s="2885"/>
      <c r="AA74" s="2885"/>
      <c r="AB74" s="2885"/>
      <c r="AC74" s="2885"/>
    </row>
    <row r="75" spans="1:29">
      <c r="A75" s="484" t="s">
        <v>2406</v>
      </c>
      <c r="B75" s="485" t="s">
        <v>2372</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2375</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2377</v>
      </c>
      <c r="B88" s="485" t="s">
        <v>2414</v>
      </c>
      <c r="C88" s="530" t="s">
        <v>2415</v>
      </c>
      <c r="D88" s="530" t="s">
        <v>2416</v>
      </c>
      <c r="E88" s="530" t="s">
        <v>2417</v>
      </c>
      <c r="F88" s="530" t="s">
        <v>2418</v>
      </c>
      <c r="G88" s="530" t="s">
        <v>2419</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2602</v>
      </c>
      <c r="C90" s="535" t="s">
        <v>2415</v>
      </c>
      <c r="D90" s="535" t="s">
        <v>2416</v>
      </c>
      <c r="E90" s="535" t="s">
        <v>2417</v>
      </c>
      <c r="F90" s="535" t="s">
        <v>2418</v>
      </c>
      <c r="G90" s="535" t="s">
        <v>2419</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2515</v>
      </c>
      <c r="C92" s="535" t="s">
        <v>2415</v>
      </c>
      <c r="D92" s="535" t="s">
        <v>2416</v>
      </c>
      <c r="E92" s="535" t="s">
        <v>2417</v>
      </c>
      <c r="F92" s="535" t="s">
        <v>2418</v>
      </c>
      <c r="G92" s="535" t="s">
        <v>2419</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2420</v>
      </c>
      <c r="C94" s="535" t="s">
        <v>2415</v>
      </c>
      <c r="D94" s="535" t="s">
        <v>2416</v>
      </c>
      <c r="E94" s="535" t="s">
        <v>2417</v>
      </c>
      <c r="F94" s="535" t="s">
        <v>2418</v>
      </c>
      <c r="G94" s="535" t="s">
        <v>2419</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8"/>
      <c r="O96" s="2978"/>
      <c r="P96" s="3004"/>
      <c r="Q96" s="2965"/>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5"/>
      <c r="S97" s="2885"/>
      <c r="T97" s="2885"/>
      <c r="U97" s="2885"/>
      <c r="V97" s="2885"/>
      <c r="W97" s="2885"/>
      <c r="X97" s="2885"/>
      <c r="Y97" s="2885"/>
      <c r="Z97" s="2885"/>
      <c r="AA97" s="2885"/>
      <c r="AB97" s="2885"/>
      <c r="AC97" s="2885"/>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8"/>
      <c r="O98" s="2978"/>
      <c r="P98" s="3004"/>
      <c r="Q98" s="2965"/>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5"/>
      <c r="S99" s="2885"/>
      <c r="T99" s="2885"/>
      <c r="U99" s="2885"/>
      <c r="V99" s="2885"/>
      <c r="W99" s="2885"/>
      <c r="X99" s="2885"/>
      <c r="Y99" s="2885"/>
      <c r="Z99" s="2885"/>
      <c r="AA99" s="2885"/>
      <c r="AB99" s="2885"/>
      <c r="AC99" s="2885"/>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4"/>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2509</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2568</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2610</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2611</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2612</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2613</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2564</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2463</v>
      </c>
      <c r="B4" s="362"/>
      <c r="C4" s="3341" t="s">
        <v>2464</v>
      </c>
      <c r="D4" s="3342"/>
      <c r="E4" s="3343" t="s">
        <v>2465</v>
      </c>
      <c r="F4" s="3344"/>
      <c r="G4" s="3341" t="s">
        <v>2466</v>
      </c>
      <c r="H4" s="3342"/>
      <c r="I4" s="3341" t="s">
        <v>2467</v>
      </c>
      <c r="J4" s="3342"/>
      <c r="K4" s="567" t="s">
        <v>2468</v>
      </c>
      <c r="L4" s="2941"/>
      <c r="M4" s="2942"/>
      <c r="N4" s="2942"/>
      <c r="O4" s="2942"/>
      <c r="P4" s="3345" t="s">
        <v>2469</v>
      </c>
      <c r="Q4" s="3346"/>
      <c r="R4" s="3328" t="s">
        <v>2465</v>
      </c>
      <c r="S4" s="3329"/>
      <c r="T4" s="3328" t="s">
        <v>2466</v>
      </c>
      <c r="U4" s="3329"/>
      <c r="V4" s="3353" t="s">
        <v>2467</v>
      </c>
      <c r="W4" s="3353"/>
      <c r="X4" s="1539"/>
      <c r="Y4" s="3328" t="s">
        <v>2469</v>
      </c>
      <c r="Z4" s="3329"/>
      <c r="AA4" s="3323" t="s">
        <v>2465</v>
      </c>
      <c r="AB4" s="3324" t="s">
        <v>2466</v>
      </c>
      <c r="AC4" s="3323" t="s">
        <v>2467</v>
      </c>
    </row>
    <row r="5" spans="1:29" ht="15">
      <c r="A5" s="364"/>
      <c r="B5" s="365"/>
      <c r="C5" s="3334" t="s">
        <v>2360</v>
      </c>
      <c r="D5" s="3335"/>
      <c r="E5" s="3332" t="s">
        <v>2361</v>
      </c>
      <c r="F5" s="3333"/>
      <c r="G5" s="3334" t="s">
        <v>2362</v>
      </c>
      <c r="H5" s="3335"/>
      <c r="I5" s="3334" t="s">
        <v>2363</v>
      </c>
      <c r="J5" s="3335"/>
      <c r="K5" s="567"/>
      <c r="L5" s="2941"/>
      <c r="M5" s="2942"/>
      <c r="N5" s="2942"/>
      <c r="O5" s="2942"/>
      <c r="P5" s="3347"/>
      <c r="Q5" s="3348"/>
      <c r="R5" s="3330"/>
      <c r="S5" s="3331"/>
      <c r="T5" s="3330"/>
      <c r="U5" s="3331"/>
      <c r="V5" s="3353"/>
      <c r="W5" s="3353"/>
      <c r="X5" s="1539"/>
      <c r="Y5" s="3330"/>
      <c r="Z5" s="3331"/>
      <c r="AA5" s="3324"/>
      <c r="AB5" s="3324"/>
      <c r="AC5" s="3324"/>
    </row>
    <row r="6" spans="1:29" ht="15.75" thickBot="1">
      <c r="A6" s="366"/>
      <c r="B6" s="367"/>
      <c r="C6" s="3391" t="s">
        <v>2615</v>
      </c>
      <c r="D6" s="3392"/>
      <c r="E6" s="3393" t="s">
        <v>2615</v>
      </c>
      <c r="F6" s="3394"/>
      <c r="G6" s="3391" t="s">
        <v>2615</v>
      </c>
      <c r="H6" s="3392"/>
      <c r="I6" s="3391" t="s">
        <v>2615</v>
      </c>
      <c r="J6" s="3392"/>
      <c r="K6" s="567" t="s">
        <v>2365</v>
      </c>
      <c r="L6" s="2941"/>
      <c r="M6" s="2942"/>
      <c r="N6" s="2942"/>
      <c r="O6" s="2942"/>
      <c r="P6" s="3349"/>
      <c r="Q6" s="3350"/>
      <c r="R6" s="3330"/>
      <c r="S6" s="3331"/>
      <c r="T6" s="3351"/>
      <c r="U6" s="3352"/>
      <c r="V6" s="3353"/>
      <c r="W6" s="3353"/>
      <c r="X6" s="1539"/>
      <c r="Y6" s="3351"/>
      <c r="Z6" s="3352"/>
      <c r="AA6" s="3325"/>
      <c r="AB6" s="3325"/>
      <c r="AC6" s="3325"/>
    </row>
    <row r="7" spans="1:29" s="113" customFormat="1" ht="15.75" thickBot="1">
      <c r="A7" s="368" t="s">
        <v>2366</v>
      </c>
      <c r="B7" s="369"/>
      <c r="C7" s="370">
        <f>'数据-取费表'!B2</f>
        <v>44370</v>
      </c>
      <c r="D7" s="371">
        <v>100</v>
      </c>
      <c r="E7" s="372"/>
      <c r="F7" s="373">
        <f>SUMIF(65:65,YEAR(E7)&amp;"-"&amp;INT((MONTH(E7)+2)/3),66:66)</f>
        <v>0</v>
      </c>
      <c r="G7" s="2160"/>
      <c r="H7" s="371">
        <f>SUMIF(65:65,YEAR(G7)&amp;"-"&amp;INT((MONTH(G7)+2)/3),66:66)</f>
        <v>0</v>
      </c>
      <c r="I7" s="2160"/>
      <c r="J7" s="371">
        <f>SUMIF(65:65,YEAR(I7)&amp;"-"&amp;INT((MONTH(I7)+2)/3),66:66)</f>
        <v>0</v>
      </c>
      <c r="K7" s="568"/>
      <c r="L7" s="2943"/>
      <c r="M7" s="2944"/>
      <c r="N7" s="2944"/>
      <c r="O7" s="2944"/>
      <c r="P7" s="3326" t="s">
        <v>2367</v>
      </c>
      <c r="Q7" s="3354"/>
      <c r="R7" s="710" t="s">
        <v>17</v>
      </c>
      <c r="S7" s="711">
        <f t="shared" ref="S7:S15" si="0">F7</f>
        <v>0</v>
      </c>
      <c r="T7" s="710" t="s">
        <v>17</v>
      </c>
      <c r="U7" s="711">
        <f t="shared" ref="U7:U15" si="1">H7</f>
        <v>0</v>
      </c>
      <c r="V7" s="710" t="s">
        <v>17</v>
      </c>
      <c r="W7" s="711">
        <f t="shared" ref="W7:W15" si="2">J7</f>
        <v>0</v>
      </c>
      <c r="X7" s="712"/>
      <c r="Y7" s="3326" t="s">
        <v>2367</v>
      </c>
      <c r="Z7" s="3327"/>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26" t="s">
        <v>2370</v>
      </c>
      <c r="Q8" s="3327"/>
      <c r="R8" s="710" t="s">
        <v>17</v>
      </c>
      <c r="S8" s="711">
        <f t="shared" si="0"/>
        <v>0</v>
      </c>
      <c r="T8" s="710" t="s">
        <v>17</v>
      </c>
      <c r="U8" s="711">
        <f t="shared" si="1"/>
        <v>0</v>
      </c>
      <c r="V8" s="710" t="s">
        <v>17</v>
      </c>
      <c r="W8" s="711">
        <f t="shared" si="2"/>
        <v>0</v>
      </c>
      <c r="X8" s="712"/>
      <c r="Y8" s="3326" t="s">
        <v>2370</v>
      </c>
      <c r="Z8" s="3327"/>
      <c r="AA8" s="713" t="e">
        <f t="shared" ref="AA8:AA40" si="3">D8/F8</f>
        <v>#DIV/0!</v>
      </c>
      <c r="AB8" s="713" t="e">
        <f t="shared" ref="AB8:AB40" si="4">D8/H8</f>
        <v>#DIV/0!</v>
      </c>
      <c r="AC8" s="713" t="e">
        <f t="shared" ref="AC8:AC40" si="5">D8/J8</f>
        <v>#DIV/0!</v>
      </c>
    </row>
    <row r="9" spans="1:29" s="113" customFormat="1">
      <c r="A9" s="375" t="s">
        <v>2371</v>
      </c>
      <c r="B9" s="67" t="s">
        <v>2372</v>
      </c>
      <c r="C9" s="2163"/>
      <c r="D9" s="131">
        <v>100</v>
      </c>
      <c r="E9" s="2163"/>
      <c r="F9" s="131">
        <f>SUMIF(70:70,E9,71:71)-SUMIF(70:70,C9,71:71)+100</f>
        <v>100</v>
      </c>
      <c r="G9" s="2163"/>
      <c r="H9" s="131">
        <f>SUMIF(70:70,G9,71:71)-SUMIF(70:70,C9,71:71)+100</f>
        <v>100</v>
      </c>
      <c r="I9" s="2163"/>
      <c r="J9" s="131">
        <f>SUMIF(70:70,I9,71:71)-SUMIF(70:70,C9,71:71)+100</f>
        <v>100</v>
      </c>
      <c r="K9" s="568"/>
      <c r="L9" s="2943"/>
      <c r="M9" s="2944"/>
      <c r="N9" s="2944"/>
      <c r="O9" s="2998"/>
      <c r="P9" s="3358" t="s">
        <v>2373</v>
      </c>
      <c r="Q9" s="1527" t="str">
        <f t="shared" ref="Q9:Q15" si="6">B9</f>
        <v>用途</v>
      </c>
      <c r="R9" s="710" t="s">
        <v>17</v>
      </c>
      <c r="S9" s="711">
        <f t="shared" si="0"/>
        <v>100</v>
      </c>
      <c r="T9" s="710" t="s">
        <v>17</v>
      </c>
      <c r="U9" s="711">
        <f t="shared" si="1"/>
        <v>100</v>
      </c>
      <c r="V9" s="710" t="s">
        <v>17</v>
      </c>
      <c r="W9" s="711">
        <f t="shared" si="2"/>
        <v>100</v>
      </c>
      <c r="X9" s="712"/>
      <c r="Y9" s="3268"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116</v>
      </c>
      <c r="G10" s="391"/>
      <c r="H10" s="132">
        <f>ROUND(100/'数据-取费表'!G16,0)</f>
        <v>116</v>
      </c>
      <c r="I10" s="391"/>
      <c r="J10" s="132">
        <f>ROUND(100/'数据-取费表'!G16,0)</f>
        <v>116</v>
      </c>
      <c r="K10" s="628"/>
      <c r="L10" s="2945"/>
      <c r="M10" s="2946"/>
      <c r="N10" s="2946"/>
      <c r="O10" s="2999"/>
      <c r="P10" s="3358"/>
      <c r="Q10" s="1527" t="str">
        <f t="shared" si="6"/>
        <v>土地使用年限（年）</v>
      </c>
      <c r="R10" s="710" t="s">
        <v>17</v>
      </c>
      <c r="S10" s="711">
        <f t="shared" si="0"/>
        <v>116</v>
      </c>
      <c r="T10" s="710" t="s">
        <v>17</v>
      </c>
      <c r="U10" s="711">
        <f t="shared" si="1"/>
        <v>116</v>
      </c>
      <c r="V10" s="710" t="s">
        <v>17</v>
      </c>
      <c r="W10" s="711">
        <f t="shared" si="2"/>
        <v>116</v>
      </c>
      <c r="X10" s="712"/>
      <c r="Y10" s="3268"/>
      <c r="Z10" s="55" t="str">
        <f t="shared" si="7"/>
        <v>土地使用年限（年）</v>
      </c>
      <c r="AA10" s="713">
        <f t="shared" si="3"/>
        <v>0.86206896551724133</v>
      </c>
      <c r="AB10" s="713">
        <f t="shared" si="4"/>
        <v>0.86206896551724133</v>
      </c>
      <c r="AC10" s="713">
        <f t="shared" si="5"/>
        <v>0.86206896551724133</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58"/>
      <c r="Q11" s="1527" t="str">
        <f t="shared" si="6"/>
        <v>容积率</v>
      </c>
      <c r="R11" s="710" t="s">
        <v>17</v>
      </c>
      <c r="S11" s="711" t="e">
        <f t="shared" si="0"/>
        <v>#N/A</v>
      </c>
      <c r="T11" s="710" t="s">
        <v>17</v>
      </c>
      <c r="U11" s="711" t="e">
        <f t="shared" si="1"/>
        <v>#N/A</v>
      </c>
      <c r="V11" s="710" t="s">
        <v>17</v>
      </c>
      <c r="W11" s="711" t="e">
        <f t="shared" si="2"/>
        <v>#N/A</v>
      </c>
      <c r="X11" s="712"/>
      <c r="Y11" s="3268"/>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58"/>
      <c r="Q12" s="1527">
        <f t="shared" si="6"/>
        <v>111</v>
      </c>
      <c r="R12" s="710" t="s">
        <v>17</v>
      </c>
      <c r="S12" s="711">
        <f t="shared" si="0"/>
        <v>100</v>
      </c>
      <c r="T12" s="710" t="s">
        <v>17</v>
      </c>
      <c r="U12" s="711">
        <f t="shared" si="1"/>
        <v>100</v>
      </c>
      <c r="V12" s="710" t="s">
        <v>17</v>
      </c>
      <c r="W12" s="711">
        <f t="shared" si="2"/>
        <v>100</v>
      </c>
      <c r="X12" s="712"/>
      <c r="Y12" s="3268"/>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58"/>
      <c r="Q13" s="1527">
        <f t="shared" si="6"/>
        <v>111</v>
      </c>
      <c r="R13" s="710" t="s">
        <v>17</v>
      </c>
      <c r="S13" s="711">
        <f t="shared" si="0"/>
        <v>100</v>
      </c>
      <c r="T13" s="710" t="s">
        <v>17</v>
      </c>
      <c r="U13" s="711">
        <f t="shared" si="1"/>
        <v>100</v>
      </c>
      <c r="V13" s="710" t="s">
        <v>17</v>
      </c>
      <c r="W13" s="711">
        <f t="shared" si="2"/>
        <v>100</v>
      </c>
      <c r="X13" s="712"/>
      <c r="Y13" s="3268"/>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58"/>
      <c r="Q14" s="1527">
        <f t="shared" si="6"/>
        <v>111</v>
      </c>
      <c r="R14" s="710" t="s">
        <v>17</v>
      </c>
      <c r="S14" s="711">
        <f t="shared" si="0"/>
        <v>100</v>
      </c>
      <c r="T14" s="710" t="s">
        <v>17</v>
      </c>
      <c r="U14" s="711">
        <f t="shared" si="1"/>
        <v>100</v>
      </c>
      <c r="V14" s="710" t="s">
        <v>17</v>
      </c>
      <c r="W14" s="711">
        <f t="shared" si="2"/>
        <v>100</v>
      </c>
      <c r="X14" s="712"/>
      <c r="Y14" s="3268"/>
      <c r="Z14" s="55">
        <f t="shared" si="7"/>
        <v>111</v>
      </c>
      <c r="AA14" s="713">
        <f t="shared" si="3"/>
        <v>1</v>
      </c>
      <c r="AB14" s="713">
        <f t="shared" si="4"/>
        <v>1</v>
      </c>
      <c r="AC14" s="713">
        <f t="shared" si="5"/>
        <v>1</v>
      </c>
    </row>
    <row r="15" spans="1:29" ht="57">
      <c r="A15" s="399" t="s">
        <v>2377</v>
      </c>
      <c r="B15" s="585" t="s">
        <v>2616</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60" t="s">
        <v>2378</v>
      </c>
      <c r="Q15" s="1536" t="str">
        <f t="shared" si="6"/>
        <v>产业集聚程度</v>
      </c>
      <c r="R15" s="714" t="s">
        <v>17</v>
      </c>
      <c r="S15" s="715">
        <f t="shared" si="0"/>
        <v>100</v>
      </c>
      <c r="T15" s="714" t="s">
        <v>17</v>
      </c>
      <c r="U15" s="715">
        <f t="shared" si="1"/>
        <v>100</v>
      </c>
      <c r="V15" s="714" t="s">
        <v>17</v>
      </c>
      <c r="W15" s="715">
        <f t="shared" si="2"/>
        <v>100</v>
      </c>
      <c r="X15" s="1539"/>
      <c r="Y15" s="3360" t="s">
        <v>2378</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8"/>
      <c r="M16" s="2942"/>
      <c r="N16" s="2942"/>
      <c r="O16" s="3000"/>
      <c r="P16" s="3361"/>
      <c r="Q16" s="1536"/>
      <c r="R16" s="714"/>
      <c r="S16" s="715"/>
      <c r="T16" s="714"/>
      <c r="U16" s="715"/>
      <c r="V16" s="714"/>
      <c r="W16" s="715"/>
      <c r="X16" s="1539"/>
      <c r="Y16" s="3361"/>
      <c r="Z16" s="1540"/>
      <c r="AA16" s="1537">
        <v>1</v>
      </c>
      <c r="AB16" s="1537">
        <v>1</v>
      </c>
      <c r="AC16" s="1537">
        <v>1</v>
      </c>
    </row>
    <row r="17" spans="1:29" ht="85.5">
      <c r="A17" s="387"/>
      <c r="B17" s="587" t="s">
        <v>2527</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61"/>
      <c r="Q17" s="1536" t="str">
        <f>B17</f>
        <v>交通便捷度</v>
      </c>
      <c r="R17" s="714" t="s">
        <v>17</v>
      </c>
      <c r="S17" s="715">
        <f>F17</f>
        <v>100</v>
      </c>
      <c r="T17" s="714" t="s">
        <v>17</v>
      </c>
      <c r="U17" s="715">
        <f>H17</f>
        <v>100</v>
      </c>
      <c r="V17" s="714" t="s">
        <v>17</v>
      </c>
      <c r="W17" s="715">
        <f>J17</f>
        <v>100</v>
      </c>
      <c r="X17" s="1539"/>
      <c r="Y17" s="3361"/>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8"/>
      <c r="M18" s="2942"/>
      <c r="N18" s="2942"/>
      <c r="O18" s="3000"/>
      <c r="P18" s="3361"/>
      <c r="Q18" s="1536"/>
      <c r="R18" s="714"/>
      <c r="S18" s="715"/>
      <c r="T18" s="714"/>
      <c r="U18" s="715"/>
      <c r="V18" s="714"/>
      <c r="W18" s="715"/>
      <c r="X18" s="1539"/>
      <c r="Y18" s="3361"/>
      <c r="Z18" s="1540"/>
      <c r="AA18" s="1537">
        <v>1</v>
      </c>
      <c r="AB18" s="1537">
        <v>1</v>
      </c>
      <c r="AC18" s="1537">
        <v>1</v>
      </c>
    </row>
    <row r="19" spans="1:29" ht="15">
      <c r="A19" s="387"/>
      <c r="B19" s="587" t="s">
        <v>2566</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61"/>
      <c r="Q19" s="1536" t="str">
        <f t="shared" ref="Q19:Q33" si="8">B19</f>
        <v>区域土地利用方向</v>
      </c>
      <c r="R19" s="714" t="s">
        <v>17</v>
      </c>
      <c r="S19" s="715">
        <f>F19</f>
        <v>100</v>
      </c>
      <c r="T19" s="714" t="s">
        <v>17</v>
      </c>
      <c r="U19" s="715">
        <f>H19</f>
        <v>100</v>
      </c>
      <c r="V19" s="714" t="s">
        <v>17</v>
      </c>
      <c r="W19" s="715">
        <f>J19</f>
        <v>100</v>
      </c>
      <c r="X19" s="1539"/>
      <c r="Y19" s="3361"/>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8"/>
      <c r="M20" s="2942"/>
      <c r="N20" s="2942"/>
      <c r="O20" s="3000"/>
      <c r="P20" s="3361"/>
      <c r="Q20" s="1536"/>
      <c r="R20" s="714"/>
      <c r="S20" s="715"/>
      <c r="T20" s="714"/>
      <c r="U20" s="715"/>
      <c r="V20" s="714"/>
      <c r="W20" s="715"/>
      <c r="X20" s="1539"/>
      <c r="Y20" s="3361"/>
      <c r="Z20" s="1540"/>
      <c r="AA20" s="1537"/>
      <c r="AB20" s="1537"/>
      <c r="AC20" s="1537"/>
    </row>
    <row r="21" spans="1:29" ht="71.25">
      <c r="A21" s="364"/>
      <c r="B21" s="587" t="s">
        <v>2617</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61"/>
      <c r="Q21" s="1536" t="str">
        <f t="shared" si="8"/>
        <v>环境状况</v>
      </c>
      <c r="R21" s="714" t="s">
        <v>17</v>
      </c>
      <c r="S21" s="715">
        <f>F21</f>
        <v>100</v>
      </c>
      <c r="T21" s="714" t="s">
        <v>17</v>
      </c>
      <c r="U21" s="715">
        <f>H21</f>
        <v>100</v>
      </c>
      <c r="V21" s="714" t="s">
        <v>17</v>
      </c>
      <c r="W21" s="715">
        <f>J21</f>
        <v>100</v>
      </c>
      <c r="X21" s="1539"/>
      <c r="Y21" s="3361"/>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8"/>
      <c r="M22" s="2942"/>
      <c r="N22" s="2942"/>
      <c r="O22" s="3000"/>
      <c r="P22" s="3361"/>
      <c r="Q22" s="1536"/>
      <c r="R22" s="714"/>
      <c r="S22" s="715"/>
      <c r="T22" s="714"/>
      <c r="U22" s="715"/>
      <c r="V22" s="714"/>
      <c r="W22" s="715"/>
      <c r="X22" s="1539"/>
      <c r="Y22" s="3361"/>
      <c r="Z22" s="1540"/>
      <c r="AA22" s="1537">
        <v>1</v>
      </c>
      <c r="AB22" s="1537">
        <v>1</v>
      </c>
      <c r="AC22" s="1537">
        <v>1</v>
      </c>
    </row>
    <row r="23" spans="1:29" s="113" customFormat="1" ht="42.75">
      <c r="A23" s="605"/>
      <c r="B23" s="589" t="s">
        <v>2472</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61"/>
      <c r="Q23" s="1527" t="str">
        <f t="shared" si="8"/>
        <v>公共配套设施</v>
      </c>
      <c r="R23" s="710" t="s">
        <v>17</v>
      </c>
      <c r="S23" s="711">
        <f>F23</f>
        <v>100</v>
      </c>
      <c r="T23" s="710" t="s">
        <v>17</v>
      </c>
      <c r="U23" s="711">
        <f>H23</f>
        <v>100</v>
      </c>
      <c r="V23" s="710" t="s">
        <v>17</v>
      </c>
      <c r="W23" s="711">
        <f>J23</f>
        <v>100</v>
      </c>
      <c r="X23" s="712"/>
      <c r="Y23" s="3361"/>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3"/>
      <c r="M24" s="2944"/>
      <c r="N24" s="2944"/>
      <c r="O24" s="2998"/>
      <c r="P24" s="3361"/>
      <c r="Q24" s="1527"/>
      <c r="R24" s="710"/>
      <c r="S24" s="711"/>
      <c r="T24" s="710"/>
      <c r="U24" s="711"/>
      <c r="V24" s="710"/>
      <c r="W24" s="711"/>
      <c r="X24" s="712"/>
      <c r="Y24" s="3361"/>
      <c r="Z24" s="55"/>
      <c r="AA24" s="713">
        <v>1</v>
      </c>
      <c r="AB24" s="713">
        <v>1</v>
      </c>
      <c r="AC24" s="713">
        <v>1</v>
      </c>
    </row>
    <row r="25" spans="1:29" s="113" customFormat="1" ht="28.5">
      <c r="A25" s="605"/>
      <c r="B25" s="589" t="s">
        <v>2473</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61"/>
      <c r="Q25" s="1527" t="str">
        <f t="shared" ref="Q25" si="9">B25</f>
        <v>基础设施水平</v>
      </c>
      <c r="R25" s="710" t="s">
        <v>17</v>
      </c>
      <c r="S25" s="711">
        <f>F25</f>
        <v>100</v>
      </c>
      <c r="T25" s="710" t="s">
        <v>17</v>
      </c>
      <c r="U25" s="711">
        <f>H25</f>
        <v>100</v>
      </c>
      <c r="V25" s="710" t="s">
        <v>17</v>
      </c>
      <c r="W25" s="711">
        <f>J25</f>
        <v>100</v>
      </c>
      <c r="X25" s="712"/>
      <c r="Y25" s="3361"/>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3"/>
      <c r="M26" s="2944"/>
      <c r="N26" s="2944"/>
      <c r="O26" s="2998"/>
      <c r="P26" s="3361"/>
      <c r="Q26" s="1527"/>
      <c r="R26" s="710"/>
      <c r="S26" s="711"/>
      <c r="T26" s="710"/>
      <c r="U26" s="711"/>
      <c r="V26" s="710"/>
      <c r="W26" s="711"/>
      <c r="X26" s="712"/>
      <c r="Y26" s="3361"/>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61"/>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61"/>
      <c r="Z27" s="1540" t="str">
        <f t="shared" ref="Z27:Z40" si="13">Q27</f>
        <v>临街状况</v>
      </c>
      <c r="AA27" s="1537">
        <f t="shared" si="3"/>
        <v>1</v>
      </c>
      <c r="AB27" s="1537">
        <f t="shared" si="4"/>
        <v>1</v>
      </c>
      <c r="AC27" s="1537">
        <f t="shared" si="5"/>
        <v>1</v>
      </c>
    </row>
    <row r="28" spans="1:29" ht="27">
      <c r="A28" s="387"/>
      <c r="B28" s="589" t="s">
        <v>2509</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61"/>
      <c r="Q28" s="1536" t="str">
        <f t="shared" si="8"/>
        <v>毗邻道路的类型与等级</v>
      </c>
      <c r="R28" s="714" t="s">
        <v>17</v>
      </c>
      <c r="S28" s="715">
        <f t="shared" si="10"/>
        <v>100</v>
      </c>
      <c r="T28" s="714" t="s">
        <v>17</v>
      </c>
      <c r="U28" s="715">
        <f t="shared" si="11"/>
        <v>100</v>
      </c>
      <c r="V28" s="714" t="s">
        <v>17</v>
      </c>
      <c r="W28" s="715">
        <f t="shared" si="12"/>
        <v>100</v>
      </c>
      <c r="X28" s="1539"/>
      <c r="Y28" s="3361"/>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8"/>
      <c r="M29" s="2942"/>
      <c r="N29" s="2942"/>
      <c r="O29" s="3000"/>
      <c r="P29" s="3361"/>
      <c r="Q29" s="1536"/>
      <c r="R29" s="714"/>
      <c r="S29" s="715"/>
      <c r="T29" s="714"/>
      <c r="U29" s="715"/>
      <c r="V29" s="714"/>
      <c r="W29" s="715"/>
      <c r="X29" s="1539"/>
      <c r="Y29" s="3361"/>
      <c r="Z29" s="1540"/>
      <c r="AA29" s="1537">
        <v>1</v>
      </c>
      <c r="AB29" s="1537">
        <v>1</v>
      </c>
      <c r="AC29" s="1537">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61"/>
      <c r="Q30" s="1536" t="str">
        <f t="shared" si="8"/>
        <v>土地级别</v>
      </c>
      <c r="R30" s="714" t="s">
        <v>17</v>
      </c>
      <c r="S30" s="715">
        <f t="shared" si="10"/>
        <v>100</v>
      </c>
      <c r="T30" s="714" t="s">
        <v>17</v>
      </c>
      <c r="U30" s="715">
        <f t="shared" si="11"/>
        <v>100</v>
      </c>
      <c r="V30" s="714" t="s">
        <v>17</v>
      </c>
      <c r="W30" s="715">
        <f t="shared" si="12"/>
        <v>100</v>
      </c>
      <c r="X30" s="1539"/>
      <c r="Y30" s="3361"/>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61"/>
      <c r="Q31" s="1536">
        <f t="shared" si="8"/>
        <v>111</v>
      </c>
      <c r="R31" s="714" t="s">
        <v>17</v>
      </c>
      <c r="S31" s="715">
        <f t="shared" si="10"/>
        <v>100</v>
      </c>
      <c r="T31" s="714" t="s">
        <v>17</v>
      </c>
      <c r="U31" s="715">
        <f t="shared" si="11"/>
        <v>100</v>
      </c>
      <c r="V31" s="714" t="s">
        <v>17</v>
      </c>
      <c r="W31" s="715">
        <f t="shared" si="12"/>
        <v>100</v>
      </c>
      <c r="X31" s="1539"/>
      <c r="Y31" s="3361"/>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85" t="s">
        <v>2383</v>
      </c>
      <c r="Q32" s="1536">
        <f t="shared" si="8"/>
        <v>111</v>
      </c>
      <c r="R32" s="714" t="s">
        <v>17</v>
      </c>
      <c r="S32" s="715">
        <f t="shared" si="10"/>
        <v>100</v>
      </c>
      <c r="T32" s="714" t="s">
        <v>17</v>
      </c>
      <c r="U32" s="715">
        <f t="shared" si="11"/>
        <v>100</v>
      </c>
      <c r="V32" s="714" t="s">
        <v>17</v>
      </c>
      <c r="W32" s="715">
        <f t="shared" si="12"/>
        <v>100</v>
      </c>
      <c r="X32" s="1539"/>
      <c r="Y32" s="3365" t="s">
        <v>2383</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65"/>
      <c r="Q33" s="1536">
        <f t="shared" si="8"/>
        <v>111</v>
      </c>
      <c r="R33" s="717" t="s">
        <v>17</v>
      </c>
      <c r="S33" s="718">
        <f t="shared" si="10"/>
        <v>100</v>
      </c>
      <c r="T33" s="717" t="s">
        <v>17</v>
      </c>
      <c r="U33" s="718">
        <f t="shared" si="11"/>
        <v>100</v>
      </c>
      <c r="V33" s="717" t="s">
        <v>17</v>
      </c>
      <c r="W33" s="718">
        <f t="shared" si="12"/>
        <v>100</v>
      </c>
      <c r="X33" s="719"/>
      <c r="Y33" s="3365"/>
      <c r="Z33" s="720">
        <f t="shared" si="13"/>
        <v>111</v>
      </c>
      <c r="AA33" s="1537">
        <f t="shared" si="3"/>
        <v>1</v>
      </c>
      <c r="AB33" s="1537">
        <f t="shared" si="4"/>
        <v>1</v>
      </c>
      <c r="AC33" s="1537">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65"/>
      <c r="Q34" s="1536" t="str">
        <f>B34</f>
        <v>宗地面积</v>
      </c>
      <c r="R34" s="714" t="s">
        <v>17</v>
      </c>
      <c r="S34" s="715" t="e">
        <f t="shared" si="10"/>
        <v>#N/A</v>
      </c>
      <c r="T34" s="714" t="s">
        <v>17</v>
      </c>
      <c r="U34" s="715" t="e">
        <f t="shared" si="11"/>
        <v>#N/A</v>
      </c>
      <c r="V34" s="714" t="s">
        <v>17</v>
      </c>
      <c r="W34" s="715" t="e">
        <f t="shared" si="12"/>
        <v>#N/A</v>
      </c>
      <c r="X34" s="1539"/>
      <c r="Y34" s="3365"/>
      <c r="Z34" s="1540" t="str">
        <f t="shared" si="13"/>
        <v>宗地面积</v>
      </c>
      <c r="AA34" s="1537" t="e">
        <f t="shared" si="3"/>
        <v>#N/A</v>
      </c>
      <c r="AB34" s="1537" t="e">
        <f t="shared" si="4"/>
        <v>#N/A</v>
      </c>
      <c r="AC34" s="1537" t="e">
        <f t="shared" si="5"/>
        <v>#N/A</v>
      </c>
    </row>
    <row r="35" spans="1:31" ht="15">
      <c r="A35" s="431"/>
      <c r="B35" s="381" t="s">
        <v>2570</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8"/>
      <c r="M35" s="2942"/>
      <c r="N35" s="2942"/>
      <c r="O35" s="3000"/>
      <c r="P35" s="3365"/>
      <c r="Q35" s="1536" t="str">
        <f t="shared" ref="Q35:Q40" si="14">B35</f>
        <v>宗地形状</v>
      </c>
      <c r="R35" s="714" t="s">
        <v>17</v>
      </c>
      <c r="S35" s="715">
        <f t="shared" si="10"/>
        <v>100</v>
      </c>
      <c r="T35" s="714" t="s">
        <v>17</v>
      </c>
      <c r="U35" s="715">
        <f t="shared" si="11"/>
        <v>100</v>
      </c>
      <c r="V35" s="714" t="s">
        <v>17</v>
      </c>
      <c r="W35" s="715">
        <f t="shared" si="12"/>
        <v>100</v>
      </c>
      <c r="X35" s="1539"/>
      <c r="Y35" s="3365"/>
      <c r="Z35" s="1540" t="str">
        <f t="shared" si="13"/>
        <v>宗地形状</v>
      </c>
      <c r="AA35" s="1537">
        <f t="shared" si="3"/>
        <v>1</v>
      </c>
      <c r="AB35" s="1537">
        <f t="shared" si="4"/>
        <v>1</v>
      </c>
      <c r="AC35" s="1537">
        <f t="shared" si="5"/>
        <v>1</v>
      </c>
    </row>
    <row r="36" spans="1:31" s="113" customFormat="1" ht="15">
      <c r="A36" s="432"/>
      <c r="B36" s="381" t="s">
        <v>2572</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3"/>
      <c r="M36" s="2944"/>
      <c r="N36" s="2944"/>
      <c r="O36" s="2998"/>
      <c r="P36" s="3365"/>
      <c r="Q36" s="1536" t="str">
        <f t="shared" si="14"/>
        <v>宗地开发程度</v>
      </c>
      <c r="R36" s="710" t="s">
        <v>17</v>
      </c>
      <c r="S36" s="711">
        <f t="shared" si="10"/>
        <v>100</v>
      </c>
      <c r="T36" s="710" t="s">
        <v>17</v>
      </c>
      <c r="U36" s="711">
        <f t="shared" si="11"/>
        <v>100</v>
      </c>
      <c r="V36" s="710" t="s">
        <v>17</v>
      </c>
      <c r="W36" s="711">
        <f t="shared" si="12"/>
        <v>100</v>
      </c>
      <c r="X36" s="712"/>
      <c r="Y36" s="3365"/>
      <c r="Z36" s="55" t="str">
        <f t="shared" si="13"/>
        <v>宗地开发程度</v>
      </c>
      <c r="AA36" s="713">
        <f t="shared" si="3"/>
        <v>1</v>
      </c>
      <c r="AB36" s="713">
        <f t="shared" si="4"/>
        <v>1</v>
      </c>
      <c r="AC36" s="713">
        <f t="shared" si="5"/>
        <v>1</v>
      </c>
    </row>
    <row r="37" spans="1:31" ht="15">
      <c r="A37" s="431"/>
      <c r="B37" s="381" t="s">
        <v>2573</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8"/>
      <c r="M37" s="2942"/>
      <c r="N37" s="2942"/>
      <c r="O37" s="3000"/>
      <c r="P37" s="3365" t="s">
        <v>2383</v>
      </c>
      <c r="Q37" s="1536" t="str">
        <f t="shared" si="14"/>
        <v>工程地质条件</v>
      </c>
      <c r="R37" s="714" t="s">
        <v>17</v>
      </c>
      <c r="S37" s="715">
        <f t="shared" si="10"/>
        <v>100</v>
      </c>
      <c r="T37" s="714" t="s">
        <v>17</v>
      </c>
      <c r="U37" s="715">
        <f t="shared" si="11"/>
        <v>100</v>
      </c>
      <c r="V37" s="714" t="s">
        <v>17</v>
      </c>
      <c r="W37" s="715">
        <f t="shared" si="12"/>
        <v>100</v>
      </c>
      <c r="X37" s="1539"/>
      <c r="Y37" s="3365" t="s">
        <v>2383</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65"/>
      <c r="Q38" s="1536">
        <f t="shared" si="14"/>
        <v>111</v>
      </c>
      <c r="R38" s="714" t="s">
        <v>17</v>
      </c>
      <c r="S38" s="715">
        <f t="shared" si="10"/>
        <v>100</v>
      </c>
      <c r="T38" s="714" t="s">
        <v>17</v>
      </c>
      <c r="U38" s="715">
        <f t="shared" si="11"/>
        <v>100</v>
      </c>
      <c r="V38" s="714" t="s">
        <v>17</v>
      </c>
      <c r="W38" s="715">
        <f t="shared" si="12"/>
        <v>100</v>
      </c>
      <c r="X38" s="1539"/>
      <c r="Y38" s="336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65"/>
      <c r="Q39" s="1536">
        <f t="shared" si="14"/>
        <v>111</v>
      </c>
      <c r="R39" s="714" t="s">
        <v>17</v>
      </c>
      <c r="S39" s="715">
        <f t="shared" si="10"/>
        <v>100</v>
      </c>
      <c r="T39" s="714" t="s">
        <v>17</v>
      </c>
      <c r="U39" s="715">
        <f t="shared" si="11"/>
        <v>100</v>
      </c>
      <c r="V39" s="714" t="s">
        <v>17</v>
      </c>
      <c r="W39" s="715">
        <f t="shared" si="12"/>
        <v>100</v>
      </c>
      <c r="X39" s="1539"/>
      <c r="Y39" s="3365"/>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65"/>
      <c r="Q40" s="1536">
        <f t="shared" si="14"/>
        <v>111</v>
      </c>
      <c r="R40" s="717" t="s">
        <v>17</v>
      </c>
      <c r="S40" s="718">
        <f t="shared" si="10"/>
        <v>100</v>
      </c>
      <c r="T40" s="717" t="s">
        <v>17</v>
      </c>
      <c r="U40" s="718">
        <f t="shared" si="11"/>
        <v>100</v>
      </c>
      <c r="V40" s="717" t="s">
        <v>17</v>
      </c>
      <c r="W40" s="718">
        <f t="shared" si="12"/>
        <v>100</v>
      </c>
      <c r="X40" s="719"/>
      <c r="Y40" s="3365"/>
      <c r="Z40" s="720">
        <f t="shared" si="13"/>
        <v>111</v>
      </c>
      <c r="AA40" s="1537">
        <f t="shared" si="3"/>
        <v>1</v>
      </c>
      <c r="AB40" s="1537">
        <f t="shared" si="4"/>
        <v>1</v>
      </c>
      <c r="AC40" s="1537">
        <f t="shared" si="5"/>
        <v>1</v>
      </c>
    </row>
    <row r="41" spans="1:31" ht="15">
      <c r="A41" s="438" t="s">
        <v>2538</v>
      </c>
      <c r="B41" s="2168" t="s">
        <v>2618</v>
      </c>
      <c r="C41" s="638" t="s">
        <v>1</v>
      </c>
      <c r="D41" s="440"/>
      <c r="E41" s="441"/>
      <c r="F41" s="442"/>
      <c r="G41" s="443"/>
      <c r="H41" s="444"/>
      <c r="I41" s="441"/>
      <c r="J41" s="444"/>
      <c r="K41" s="723"/>
      <c r="L41" s="2950"/>
      <c r="M41" s="2942"/>
      <c r="N41" s="2942"/>
      <c r="O41" s="2951"/>
      <c r="P41" s="3358" t="str">
        <f>A41</f>
        <v>成交单价</v>
      </c>
      <c r="Q41" s="3358"/>
      <c r="R41" s="3353">
        <f>E41</f>
        <v>0</v>
      </c>
      <c r="S41" s="3353"/>
      <c r="T41" s="3353">
        <f>G41</f>
        <v>0</v>
      </c>
      <c r="U41" s="3353"/>
      <c r="V41" s="3353">
        <f>I41</f>
        <v>0</v>
      </c>
      <c r="W41" s="3353"/>
      <c r="X41" s="699"/>
      <c r="Y41" s="721"/>
      <c r="Z41" s="699"/>
      <c r="AA41" s="699"/>
      <c r="AB41" s="699"/>
      <c r="AC41" s="699"/>
    </row>
    <row r="42" spans="1:31" ht="15.75" thickBot="1">
      <c r="A42" s="445" t="s">
        <v>2487</v>
      </c>
      <c r="B42" s="639"/>
      <c r="C42" s="448" t="e">
        <f>R43</f>
        <v>#DIV/0!</v>
      </c>
      <c r="D42" s="2538" t="s">
        <v>2877</v>
      </c>
      <c r="E42" s="448" t="e">
        <f>R42</f>
        <v>#DIV/0!</v>
      </c>
      <c r="F42" s="2539"/>
      <c r="G42" s="447" t="e">
        <f>T42</f>
        <v>#DIV/0!</v>
      </c>
      <c r="H42" s="2539"/>
      <c r="I42" s="448" t="e">
        <f>V42</f>
        <v>#DIV/0!</v>
      </c>
      <c r="J42" s="2539"/>
      <c r="K42" s="2541">
        <f>F42+H42+J42</f>
        <v>0</v>
      </c>
      <c r="L42" s="2950"/>
      <c r="M42" s="2942"/>
      <c r="N42" s="2942"/>
      <c r="O42" s="2951"/>
      <c r="P42" s="3358" t="str">
        <f>A42</f>
        <v>比较价值（元/平方米）</v>
      </c>
      <c r="Q42" s="3358"/>
      <c r="R42" s="3387" t="e">
        <f>ROUND(PRODUCT(R41,AA7:AA40),0)</f>
        <v>#DIV/0!</v>
      </c>
      <c r="S42" s="3387"/>
      <c r="T42" s="3387" t="e">
        <f>ROUND(PRODUCT(T41,AB7:AB40),0)</f>
        <v>#DIV/0!</v>
      </c>
      <c r="U42" s="3387"/>
      <c r="V42" s="3387" t="e">
        <f>ROUND(PRODUCT(V41,AC7:AC40),0)</f>
        <v>#DIV/0!</v>
      </c>
      <c r="W42" s="3387"/>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0"/>
      <c r="M43" s="2942"/>
      <c r="N43" s="2942"/>
      <c r="O43" s="2951"/>
      <c r="P43" s="3355" t="str">
        <f>A43</f>
        <v>估价对象XX用房的比较价值（楼面单价，元/平方米）</v>
      </c>
      <c r="Q43" s="3356"/>
      <c r="R43" s="3388" t="e">
        <f>ROUND(IF(D42="简单平均",AVERAGE(R42:W42),R42*F42+T42*H42+V42*J42),0)</f>
        <v>#DIV/0!</v>
      </c>
      <c r="S43" s="3388"/>
      <c r="T43" s="3388"/>
      <c r="U43" s="3388"/>
      <c r="V43" s="3388"/>
      <c r="W43" s="3388"/>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2576</v>
      </c>
      <c r="B50" s="641" t="s">
        <v>2577</v>
      </c>
      <c r="C50" s="2169" t="s">
        <v>2578</v>
      </c>
      <c r="D50" s="2170" t="s">
        <v>2579</v>
      </c>
      <c r="E50" s="642" t="s">
        <v>2580</v>
      </c>
      <c r="F50" s="643" t="s">
        <v>2581</v>
      </c>
      <c r="G50" s="3341" t="s">
        <v>2582</v>
      </c>
      <c r="H50" s="3389"/>
      <c r="I50" s="1540" t="s">
        <v>2619</v>
      </c>
      <c r="J50" s="1540">
        <f>项目基本情况!F35</f>
        <v>0</v>
      </c>
      <c r="K50" s="2172" t="s">
        <v>2584</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2585</v>
      </c>
      <c r="B51" s="645" t="e">
        <f>C43</f>
        <v>#DIV/0!</v>
      </c>
      <c r="C51" s="646">
        <v>1</v>
      </c>
      <c r="D51" s="1075">
        <v>1</v>
      </c>
      <c r="E51" s="646">
        <f>'数据-汇总表'!E8+'数据-汇总表'!E9</f>
        <v>1141.77</v>
      </c>
      <c r="F51" s="647" t="e">
        <f t="shared" ref="F51:F60" si="15">ROUND(B51*E51/10000,0)</f>
        <v>#DIV/0!</v>
      </c>
      <c r="G51" s="3340"/>
      <c r="H51" s="3358"/>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2586</v>
      </c>
      <c r="B52" s="224" t="e">
        <f>ROUND($C$43*C52*D52,0)</f>
        <v>#DIV/0!</v>
      </c>
      <c r="C52" s="176">
        <f t="shared" ref="C52:C60" si="16">IF($C$50="北京市系数",I52,J52)</f>
        <v>0</v>
      </c>
      <c r="D52" s="1076">
        <v>0.25</v>
      </c>
      <c r="E52" s="650"/>
      <c r="F52" s="647" t="e">
        <f t="shared" si="15"/>
        <v>#DIV/0!</v>
      </c>
      <c r="G52" s="3390" t="s">
        <v>2587</v>
      </c>
      <c r="H52" s="1018">
        <f>项目基本情况!B37</f>
        <v>0</v>
      </c>
      <c r="I52" s="879">
        <f>SUMIF(修正!A45:A56,H52,修正!B45:B56)</f>
        <v>0</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2588</v>
      </c>
      <c r="B53" s="224" t="e">
        <f t="shared" ref="B53:B60" si="17">ROUND($C$43*C53*D53,0)</f>
        <v>#DIV/0!</v>
      </c>
      <c r="C53" s="176">
        <f t="shared" si="16"/>
        <v>0</v>
      </c>
      <c r="D53" s="1076">
        <v>0.25</v>
      </c>
      <c r="E53" s="650"/>
      <c r="F53" s="647" t="e">
        <f t="shared" si="15"/>
        <v>#DIV/0!</v>
      </c>
      <c r="G53" s="3390"/>
      <c r="H53" s="1018">
        <f>项目基本情况!B37</f>
        <v>0</v>
      </c>
      <c r="I53" s="879">
        <f>SUMIF(修正!A45:A56,H53,修正!C45:C56)</f>
        <v>0</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2589</v>
      </c>
      <c r="B54" s="224" t="e">
        <f t="shared" si="17"/>
        <v>#DIV/0!</v>
      </c>
      <c r="C54" s="176">
        <f t="shared" si="16"/>
        <v>0</v>
      </c>
      <c r="D54" s="1076">
        <v>0.25</v>
      </c>
      <c r="E54" s="650"/>
      <c r="F54" s="647" t="e">
        <f t="shared" si="15"/>
        <v>#DIV/0!</v>
      </c>
      <c r="G54" s="3390"/>
      <c r="H54" s="1018">
        <f>项目基本情况!B37</f>
        <v>0</v>
      </c>
      <c r="I54" s="879">
        <f>SUMIF(修正!A45:A56,H54,修正!D45:D56)</f>
        <v>0</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2590</v>
      </c>
      <c r="B55" s="224" t="e">
        <f t="shared" si="17"/>
        <v>#DIV/0!</v>
      </c>
      <c r="C55" s="176">
        <f t="shared" si="16"/>
        <v>0</v>
      </c>
      <c r="D55" s="1076">
        <v>0.25</v>
      </c>
      <c r="E55" s="650"/>
      <c r="F55" s="647" t="e">
        <f t="shared" si="15"/>
        <v>#DIV/0!</v>
      </c>
      <c r="G55" s="3390"/>
      <c r="H55" s="1018">
        <f>项目基本情况!B37</f>
        <v>0</v>
      </c>
      <c r="I55" s="879">
        <f>SUMIF(修正!A45:A56,H55,修正!E45:E56)</f>
        <v>0</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2591</v>
      </c>
      <c r="B56" s="224" t="e">
        <f t="shared" si="17"/>
        <v>#DIV/0!</v>
      </c>
      <c r="C56" s="176">
        <f t="shared" si="16"/>
        <v>0</v>
      </c>
      <c r="D56" s="1076">
        <v>0.25</v>
      </c>
      <c r="E56" s="223">
        <f>'数据-汇总表'!E11</f>
        <v>0</v>
      </c>
      <c r="F56" s="647" t="e">
        <f t="shared" si="15"/>
        <v>#DIV/0!</v>
      </c>
      <c r="G56" s="2173" t="s">
        <v>2592</v>
      </c>
      <c r="H56" s="1018">
        <f>项目基本情况!C37</f>
        <v>0</v>
      </c>
      <c r="I56" s="879">
        <f>SUMIF(修正!A45:A56,H56,修正!F45:F56)</f>
        <v>0</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2593</v>
      </c>
      <c r="B57" s="224" t="e">
        <f t="shared" si="17"/>
        <v>#DIV/0!</v>
      </c>
      <c r="C57" s="176">
        <f t="shared" si="16"/>
        <v>0</v>
      </c>
      <c r="D57" s="1076">
        <v>0.25</v>
      </c>
      <c r="E57" s="223">
        <f>'数据-汇总表'!E12</f>
        <v>0</v>
      </c>
      <c r="F57" s="647" t="e">
        <f t="shared" si="15"/>
        <v>#DIV/0!</v>
      </c>
      <c r="G57" s="1023" t="s">
        <v>2594</v>
      </c>
      <c r="H57" s="1018">
        <f>IF(G57="商业",项目基本情况!B37,IF(G57="办公",项目基本情况!C37,IF(G57="住宅",项目基本情况!D37,项目基本情况!E37)))</f>
        <v>0</v>
      </c>
      <c r="I57" s="879">
        <f>SUMIF(修正!A45:A56,H57,修正!G45:G56)</f>
        <v>0</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2595</v>
      </c>
      <c r="B58" s="224" t="e">
        <f t="shared" si="17"/>
        <v>#DIV/0!</v>
      </c>
      <c r="C58" s="176">
        <f t="shared" si="16"/>
        <v>0</v>
      </c>
      <c r="D58" s="1076">
        <v>0.25</v>
      </c>
      <c r="E58" s="223">
        <f>'数据-汇总表'!E13</f>
        <v>0</v>
      </c>
      <c r="F58" s="647" t="e">
        <f t="shared" si="15"/>
        <v>#DIV/0!</v>
      </c>
      <c r="G58" s="1023" t="s">
        <v>2596</v>
      </c>
      <c r="H58" s="1018">
        <f>IF(G58="商业",项目基本情况!B37,IF(G58="办公",项目基本情况!C37,IF(G58="住宅",项目基本情况!D37,项目基本情况!E37)))</f>
        <v>0</v>
      </c>
      <c r="I58" s="879">
        <f>SUMIF(修正!A45:A56,H58,修正!H45:H56)</f>
        <v>0</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2597</v>
      </c>
      <c r="B59" s="224" t="e">
        <f t="shared" si="17"/>
        <v>#DIV/0!</v>
      </c>
      <c r="C59" s="176">
        <f t="shared" si="16"/>
        <v>0</v>
      </c>
      <c r="D59" s="1076">
        <v>0.25</v>
      </c>
      <c r="E59" s="223">
        <f>'数据-汇总表'!E14</f>
        <v>0</v>
      </c>
      <c r="F59" s="647" t="e">
        <f t="shared" si="15"/>
        <v>#DIV/0!</v>
      </c>
      <c r="G59" s="2173" t="s">
        <v>2587</v>
      </c>
      <c r="H59" s="1018">
        <f>项目基本情况!B37</f>
        <v>0</v>
      </c>
      <c r="I59" s="879">
        <f>SUMIF(修正!A45:A56,H59,修正!H45:H56)</f>
        <v>0</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2598</v>
      </c>
      <c r="B60" s="224" t="e">
        <f t="shared" si="17"/>
        <v>#DIV/0!</v>
      </c>
      <c r="C60" s="176">
        <f t="shared" si="16"/>
        <v>0</v>
      </c>
      <c r="D60" s="1076">
        <v>0.25</v>
      </c>
      <c r="E60" s="223">
        <f>'数据-汇总表'!E15</f>
        <v>0</v>
      </c>
      <c r="F60" s="647" t="e">
        <f t="shared" si="15"/>
        <v>#DIV/0!</v>
      </c>
      <c r="G60" s="2174" t="s">
        <v>2592</v>
      </c>
      <c r="H60" s="1028">
        <f>项目基本情况!C37</f>
        <v>0</v>
      </c>
      <c r="I60" s="879">
        <f>SUMIF(修正!A45:A56,H60,修正!H45:H56)</f>
        <v>0</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2599</v>
      </c>
      <c r="B61" s="652" t="s">
        <v>28</v>
      </c>
      <c r="C61" s="652" t="s">
        <v>29</v>
      </c>
      <c r="D61" s="652" t="s">
        <v>997</v>
      </c>
      <c r="E61" s="652">
        <f>IF(B41="楼面地价",SUM(E51:E60),'数据-汇总表'!D3)</f>
        <v>0</v>
      </c>
      <c r="F61" s="653" t="e">
        <f>IF(B41="楼面地价",SUM(F51:F60),ROUND(C43*E61/10000,0))</f>
        <v>#DIV/0!</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1"/>
      <c r="Q63" s="2951"/>
      <c r="R63" s="2951"/>
      <c r="S63" s="2951"/>
      <c r="T63" s="2951"/>
      <c r="U63" s="2951"/>
      <c r="V63" s="2951"/>
      <c r="W63" s="2951"/>
      <c r="X63" s="2951"/>
      <c r="Y63" s="2951"/>
      <c r="Z63" s="2951"/>
      <c r="AA63" s="2951"/>
      <c r="AB63" s="2951"/>
      <c r="AC63" s="2951"/>
      <c r="AD63" s="2951"/>
      <c r="AE63" s="2951"/>
    </row>
    <row r="64" spans="1:31" ht="21.75" thickBot="1">
      <c r="A64" s="703" t="s">
        <v>2492</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ht="15">
      <c r="A65" s="2175" t="s">
        <v>2600</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0" t="s">
        <v>2620</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2" t="s">
        <v>2403</v>
      </c>
      <c r="B67" s="473"/>
      <c r="C67" s="474"/>
      <c r="D67" s="475"/>
      <c r="E67" s="475"/>
      <c r="F67" s="475"/>
      <c r="G67" s="475"/>
      <c r="H67" s="475"/>
      <c r="I67" s="475"/>
      <c r="J67" s="475"/>
      <c r="K67" s="475"/>
      <c r="L67" s="475"/>
      <c r="M67" s="476"/>
      <c r="N67" s="476"/>
      <c r="O67" s="477"/>
      <c r="P67" s="2965"/>
      <c r="Q67" s="2965"/>
      <c r="R67" s="2885"/>
      <c r="S67" s="2885"/>
      <c r="T67" s="2885"/>
      <c r="U67" s="2885"/>
      <c r="V67" s="2885"/>
      <c r="W67" s="2885"/>
      <c r="X67" s="2885"/>
      <c r="Y67" s="2885"/>
      <c r="Z67" s="2885"/>
      <c r="AA67" s="2885"/>
      <c r="AB67" s="2885"/>
      <c r="AC67" s="2885"/>
      <c r="AD67" s="2885"/>
      <c r="AE67" s="2885"/>
    </row>
    <row r="68" spans="1:31" s="113" customFormat="1" ht="15">
      <c r="A68" s="478" t="s">
        <v>2368</v>
      </c>
      <c r="B68" s="467"/>
      <c r="C68" s="479" t="s">
        <v>2470</v>
      </c>
      <c r="D68" s="480"/>
      <c r="E68" s="480"/>
      <c r="F68" s="480"/>
      <c r="G68" s="480"/>
      <c r="H68" s="480"/>
      <c r="I68" s="480"/>
      <c r="J68" s="480"/>
      <c r="K68" s="480"/>
      <c r="L68" s="481"/>
      <c r="M68" s="482"/>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5"/>
      <c r="S69" s="2885"/>
      <c r="T69" s="2885"/>
      <c r="U69" s="2885"/>
      <c r="V69" s="2885"/>
      <c r="W69" s="2885"/>
      <c r="X69" s="2885"/>
      <c r="Y69" s="2885"/>
      <c r="Z69" s="2885"/>
      <c r="AA69" s="2885"/>
      <c r="AB69" s="2885"/>
      <c r="AC69" s="2885"/>
      <c r="AD69" s="2885"/>
      <c r="AE69" s="2885"/>
    </row>
    <row r="70" spans="1:31">
      <c r="A70" s="484" t="s">
        <v>2406</v>
      </c>
      <c r="B70" s="485" t="s">
        <v>2372</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2375</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2377</v>
      </c>
      <c r="B83" s="485" t="s">
        <v>2523</v>
      </c>
      <c r="C83" s="530" t="s">
        <v>2415</v>
      </c>
      <c r="D83" s="530" t="s">
        <v>2416</v>
      </c>
      <c r="E83" s="530" t="s">
        <v>2417</v>
      </c>
      <c r="F83" s="530" t="s">
        <v>2418</v>
      </c>
      <c r="G83" s="530" t="s">
        <v>2419</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2420</v>
      </c>
      <c r="C85" s="535" t="s">
        <v>2415</v>
      </c>
      <c r="D85" s="535" t="s">
        <v>2416</v>
      </c>
      <c r="E85" s="535" t="s">
        <v>2417</v>
      </c>
      <c r="F85" s="535" t="s">
        <v>2418</v>
      </c>
      <c r="G85" s="535" t="s">
        <v>2419</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5"/>
      <c r="S90" s="2885"/>
      <c r="T90" s="2885"/>
      <c r="U90" s="2885"/>
      <c r="V90" s="2885"/>
      <c r="W90" s="2885"/>
      <c r="X90" s="2885"/>
      <c r="Y90" s="2885"/>
      <c r="Z90" s="2885"/>
      <c r="AA90" s="2885"/>
      <c r="AB90" s="2885"/>
      <c r="AC90" s="2885"/>
      <c r="AD90" s="2885"/>
      <c r="AE90" s="2885"/>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2509</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2568</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2610</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2612</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2613</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2622</v>
      </c>
      <c r="B1" s="203"/>
      <c r="C1" s="207" t="s">
        <v>2623</v>
      </c>
      <c r="D1" s="348">
        <f>SUM(D29:D30,D33:D39)</f>
        <v>0</v>
      </c>
      <c r="E1" s="2181"/>
      <c r="F1" s="2181"/>
      <c r="G1" s="2181"/>
      <c r="H1" s="2181"/>
      <c r="I1" s="2181"/>
      <c r="J1" s="2181"/>
      <c r="K1" s="1280"/>
      <c r="L1" s="2182" t="s">
        <v>2624</v>
      </c>
      <c r="M1" s="994">
        <f>SUMPRODUCT((区片价!B5:B9=I2)*(区片价!C3:F3=E2)*(区片价!C5:F9))</f>
        <v>0</v>
      </c>
      <c r="N1" s="997">
        <f>SUMPRODUCT((因素修正幅度!B5:B9=I2)*(因素修正幅度!C3:F3=E2)*(因素修正幅度!C5:F9))</f>
        <v>0</v>
      </c>
      <c r="O1" s="2183"/>
      <c r="P1" s="2183"/>
      <c r="Q1" s="1280"/>
      <c r="R1" s="1374" t="s">
        <v>2625</v>
      </c>
      <c r="S1" s="1374" t="s">
        <v>2626</v>
      </c>
      <c r="T1" s="1374" t="s">
        <v>2627</v>
      </c>
      <c r="U1" s="1374" t="s">
        <v>2628</v>
      </c>
      <c r="V1" s="1374" t="s">
        <v>2629</v>
      </c>
      <c r="W1" s="1378"/>
      <c r="X1" s="1378"/>
      <c r="Y1" s="1378"/>
      <c r="Z1" s="1378"/>
      <c r="AA1" s="1378"/>
      <c r="AB1" s="1378"/>
      <c r="AC1" s="1379"/>
      <c r="AD1" s="1380"/>
      <c r="AE1" s="1380"/>
      <c r="AF1" s="1380"/>
      <c r="AG1" s="1380"/>
      <c r="AH1" s="1380"/>
      <c r="AI1" s="1380"/>
      <c r="AJ1" s="1381"/>
    </row>
    <row r="2" spans="1:36" ht="15.75">
      <c r="A2" s="207" t="s">
        <v>2630</v>
      </c>
      <c r="B2" s="210" t="e">
        <f>C26</f>
        <v>#DIV/0!</v>
      </c>
      <c r="C2" s="2185" t="s">
        <v>2631</v>
      </c>
      <c r="D2" s="2186" t="s">
        <v>2632</v>
      </c>
      <c r="E2" s="2187"/>
      <c r="F2" s="2186" t="s">
        <v>2633</v>
      </c>
      <c r="G2" s="2188">
        <f>IF(E2="商业",项目基本情况!B37,IF(E2="办公",项目基本情况!C37,IF(E2="住宅",项目基本情况!D37,项目基本情况!E37)))</f>
        <v>0</v>
      </c>
      <c r="H2" s="2186" t="s">
        <v>2634</v>
      </c>
      <c r="I2" s="2188">
        <f>IF(E2="商业",项目基本情况!B38,IF(E2="办公",项目基本情况!C38,IF(E2="住宅",项目基本情况!D38,项目基本情况!E38)))</f>
        <v>0</v>
      </c>
      <c r="J2" s="2189"/>
      <c r="K2" s="1280"/>
      <c r="L2" s="2190" t="s">
        <v>2635</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2636</v>
      </c>
      <c r="B3" s="210" t="e">
        <f>ROUND(B2*10000/D1,0)</f>
        <v>#DIV/0!</v>
      </c>
      <c r="C3" s="2185" t="s">
        <v>2637</v>
      </c>
      <c r="D3" s="2186" t="s">
        <v>2638</v>
      </c>
      <c r="E3" s="2191"/>
      <c r="F3" s="2192" t="s">
        <v>2639</v>
      </c>
      <c r="G3" s="855" t="e">
        <f>IF(F3="宗地容积率",'数据-汇总表'!I4,IF(F3="估价对象容积率",'数据-汇总表'!I6,'数据-汇总表'!I7))</f>
        <v>#DIV/0!</v>
      </c>
      <c r="H3" s="175" t="s">
        <v>2640</v>
      </c>
      <c r="I3" s="881"/>
      <c r="J3" s="2189" t="s">
        <v>2641</v>
      </c>
      <c r="K3" s="1280"/>
      <c r="L3" s="2190" t="s">
        <v>2642</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14"/>
      <c r="B4" s="3415"/>
      <c r="C4" s="3415"/>
      <c r="D4" s="3416"/>
      <c r="E4" s="3416"/>
      <c r="F4" s="3416"/>
      <c r="G4" s="3416"/>
      <c r="H4" s="3416"/>
      <c r="I4" s="3416"/>
      <c r="J4" s="3417"/>
      <c r="K4" s="1280"/>
      <c r="L4" s="2190" t="s">
        <v>2643</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2644</v>
      </c>
      <c r="C5" s="856" t="e">
        <f>ROUND(IF(E2="商业",C6*C7+C16,(IF(E2="住宅",C6*C12+C16,C6+C16))),0)</f>
        <v>#DIV/0!</v>
      </c>
      <c r="D5" s="1523" t="e">
        <f>ROUND(C6+C16,0)</f>
        <v>#DIV/0!</v>
      </c>
      <c r="E5" s="1523"/>
      <c r="F5" s="2195"/>
      <c r="G5" s="2196"/>
      <c r="H5" s="2196"/>
      <c r="I5" s="2196"/>
      <c r="J5" s="2197"/>
      <c r="K5" s="2198"/>
      <c r="L5" s="2190" t="s">
        <v>2645</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2646</v>
      </c>
      <c r="B6" s="2204" t="s">
        <v>2647</v>
      </c>
      <c r="C6" s="857">
        <f>SUMIF(L1:L12,G2,M1:M12)</f>
        <v>0</v>
      </c>
      <c r="D6" s="2205" t="s">
        <v>2648</v>
      </c>
      <c r="E6" s="2206"/>
      <c r="F6" s="2206"/>
      <c r="G6" s="2207"/>
      <c r="H6" s="2207"/>
      <c r="I6" s="2207"/>
      <c r="J6" s="2208"/>
      <c r="K6" s="1568"/>
      <c r="L6" s="2190" t="s">
        <v>2649</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95" t="str">
        <f>IF(E2="商业",IF(C8="不临58条商业街","",2),"")</f>
        <v/>
      </c>
      <c r="B7" s="2209" t="s">
        <v>2650</v>
      </c>
      <c r="C7" s="858" t="e">
        <f>IF(C8="不临58条商业街",1,ROUND(1+(1.6*E8+1.2*E9+0.8*E10+0.4*E11)*C9,4))</f>
        <v>#DIV/0!</v>
      </c>
      <c r="D7" s="2210" t="s">
        <v>2651</v>
      </c>
      <c r="E7" s="882"/>
      <c r="F7" s="2211"/>
      <c r="G7" s="2212"/>
      <c r="H7" s="2212"/>
      <c r="I7" s="2212"/>
      <c r="J7" s="2213"/>
      <c r="K7" s="1568"/>
      <c r="L7" s="2190" t="s">
        <v>2652</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2" t="s">
        <v>2653</v>
      </c>
      <c r="X7" s="1376">
        <f>G2</f>
        <v>0</v>
      </c>
      <c r="Y7" s="1376" t="s">
        <v>2654</v>
      </c>
      <c r="Z7" s="1377" t="e">
        <f>G3</f>
        <v>#DIV/0!</v>
      </c>
      <c r="AA7" s="1378"/>
      <c r="AB7" s="1378"/>
      <c r="AC7" s="1379"/>
      <c r="AD7" s="1380"/>
      <c r="AE7" s="1380"/>
      <c r="AF7" s="1380"/>
      <c r="AG7" s="1380"/>
      <c r="AH7" s="1380"/>
      <c r="AI7" s="1380"/>
      <c r="AJ7" s="1381"/>
    </row>
    <row r="8" spans="1:36" ht="15">
      <c r="A8" s="3418"/>
      <c r="B8" s="175" t="s">
        <v>2655</v>
      </c>
      <c r="C8" s="2214"/>
      <c r="D8" s="859" t="s">
        <v>139</v>
      </c>
      <c r="E8" s="860" t="e">
        <f>ROUND(C11/E7,4)</f>
        <v>#DIV/0!</v>
      </c>
      <c r="F8" s="2215" t="s">
        <v>2656</v>
      </c>
      <c r="G8" s="2216"/>
      <c r="H8" s="2216"/>
      <c r="I8" s="2216"/>
      <c r="J8" s="2217"/>
      <c r="K8" s="1280"/>
      <c r="L8" s="2190" t="s">
        <v>2657</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11" t="s">
        <v>2658</v>
      </c>
      <c r="X8" s="3412"/>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418"/>
      <c r="B9" s="175" t="s">
        <v>2671</v>
      </c>
      <c r="C9" s="861">
        <f>SUMIF(修正!C59:C119,C8,修正!E59:E119)</f>
        <v>0</v>
      </c>
      <c r="D9" s="176" t="s">
        <v>140</v>
      </c>
      <c r="E9" s="176" t="e">
        <f>ROUND(C11/E7,4)</f>
        <v>#DIV/0!</v>
      </c>
      <c r="F9" s="2215" t="s">
        <v>2672</v>
      </c>
      <c r="G9" s="2216"/>
      <c r="H9" s="2216"/>
      <c r="I9" s="2216"/>
      <c r="J9" s="2217"/>
      <c r="K9" s="1280"/>
      <c r="L9" s="2190"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13" t="s">
        <v>2674</v>
      </c>
      <c r="X9" s="1383" t="s">
        <v>2675</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18"/>
      <c r="B10" s="175" t="s">
        <v>2676</v>
      </c>
      <c r="C10" s="176">
        <f>SUMIF(修正!C59:C119,C8,修正!F59:F119)</f>
        <v>0</v>
      </c>
      <c r="D10" s="176" t="s">
        <v>141</v>
      </c>
      <c r="E10" s="176" t="e">
        <f>ROUND(C11/E7,4)</f>
        <v>#DIV/0!</v>
      </c>
      <c r="F10" s="2215" t="s">
        <v>2677</v>
      </c>
      <c r="G10" s="2216"/>
      <c r="H10" s="2216"/>
      <c r="I10" s="2216"/>
      <c r="J10" s="2217"/>
      <c r="K10" s="1280"/>
      <c r="L10" s="2190"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1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18"/>
      <c r="B11" s="2218" t="s">
        <v>2679</v>
      </c>
      <c r="C11" s="862">
        <f>C10/4</f>
        <v>0</v>
      </c>
      <c r="D11" s="862" t="s">
        <v>142</v>
      </c>
      <c r="E11" s="862" t="e">
        <f>ROUND(C11/E7,4)</f>
        <v>#DIV/0!</v>
      </c>
      <c r="F11" s="2219" t="s">
        <v>2680</v>
      </c>
      <c r="G11" s="2220"/>
      <c r="H11" s="2220"/>
      <c r="I11" s="2220"/>
      <c r="J11" s="2221"/>
      <c r="K11" s="1280"/>
      <c r="L11" s="2190"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13" t="s">
        <v>2682</v>
      </c>
      <c r="X11" s="1386" t="s">
        <v>2683</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95" t="s">
        <v>2684</v>
      </c>
      <c r="B12" s="2222" t="s">
        <v>2685</v>
      </c>
      <c r="C12" s="858">
        <f>ROUND(C15*D15*E15*F15*G15*H15*I15*J15,4)</f>
        <v>1</v>
      </c>
      <c r="D12" s="2223" t="s">
        <v>2686</v>
      </c>
      <c r="E12" s="2224"/>
      <c r="F12" s="2224"/>
      <c r="G12" s="2225"/>
      <c r="H12" s="2225"/>
      <c r="I12" s="2225"/>
      <c r="J12" s="2226"/>
      <c r="K12" s="1280"/>
      <c r="L12" s="2227"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13"/>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19"/>
      <c r="B13" s="2228" t="s">
        <v>2689</v>
      </c>
      <c r="C13" s="2229" t="s">
        <v>2690</v>
      </c>
      <c r="D13" s="1534" t="s">
        <v>2691</v>
      </c>
      <c r="E13" s="1534" t="s">
        <v>2692</v>
      </c>
      <c r="F13" s="30" t="s">
        <v>2693</v>
      </c>
      <c r="G13" s="2230" t="s">
        <v>2694</v>
      </c>
      <c r="H13" s="2230" t="s">
        <v>2694</v>
      </c>
      <c r="I13" s="2230" t="s">
        <v>2694</v>
      </c>
      <c r="J13" s="2231" t="s">
        <v>2694</v>
      </c>
      <c r="K13" s="1280"/>
      <c r="L13" s="1280"/>
      <c r="M13" s="1280"/>
      <c r="N13" s="1280"/>
      <c r="O13" s="1280"/>
      <c r="P13" s="1280"/>
      <c r="Q13" s="1280"/>
      <c r="R13" s="1374">
        <v>12</v>
      </c>
      <c r="S13" s="1375"/>
      <c r="T13" s="1374" t="e">
        <f t="shared" si="0"/>
        <v>#DIV/0!</v>
      </c>
      <c r="U13" s="1375"/>
      <c r="V13" s="1374" t="e">
        <f t="shared" si="1"/>
        <v>#DIV/0!</v>
      </c>
      <c r="W13" s="3413"/>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419"/>
      <c r="B14" s="2232"/>
      <c r="C14" s="2233"/>
      <c r="D14" s="2234"/>
      <c r="E14" s="2234"/>
      <c r="F14" s="2235"/>
      <c r="G14" s="2236" t="s">
        <v>2695</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7"/>
      <c r="AE14" s="3017"/>
      <c r="AF14" s="3017"/>
      <c r="AG14" s="3017"/>
      <c r="AH14" s="3017"/>
      <c r="AI14" s="3017"/>
      <c r="AJ14" s="3018"/>
    </row>
    <row r="15" spans="1:36" ht="15.75" thickBot="1">
      <c r="A15" s="3420"/>
      <c r="B15" s="2240" t="s">
        <v>2696</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7"/>
      <c r="AE15" s="3017"/>
      <c r="AF15" s="3017"/>
      <c r="AG15" s="3017"/>
      <c r="AH15" s="3017"/>
      <c r="AI15" s="3017"/>
      <c r="AJ15" s="3018"/>
    </row>
    <row r="16" spans="1:36" ht="24.6" customHeight="1">
      <c r="A16" s="3395" t="s">
        <v>2701</v>
      </c>
      <c r="B16" s="2209" t="s">
        <v>2702</v>
      </c>
      <c r="C16" s="2371" t="e">
        <f>ROUND(IF(F17="与级别开发程度一致",0,(G17-E17)/C17),0)</f>
        <v>#DIV/0!</v>
      </c>
      <c r="D16" s="3408" t="s">
        <v>2706</v>
      </c>
      <c r="E16" s="3409"/>
      <c r="F16" s="3408" t="s">
        <v>2703</v>
      </c>
      <c r="G16" s="3409"/>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7"/>
      <c r="AE16" s="3017"/>
      <c r="AF16" s="3017"/>
      <c r="AG16" s="3017"/>
      <c r="AH16" s="3017"/>
      <c r="AI16" s="3017"/>
      <c r="AJ16" s="3018"/>
    </row>
    <row r="17" spans="1:37" ht="13.5" thickBot="1">
      <c r="A17" s="3396"/>
      <c r="B17" s="2382" t="s">
        <v>2705</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2708</v>
      </c>
      <c r="C18" s="2378">
        <f>SUMIF(修正!C18:C39,E3,修正!E18:E39)</f>
        <v>0</v>
      </c>
      <c r="D18" s="2379"/>
      <c r="E18" s="2380"/>
      <c r="F18" s="2380"/>
      <c r="G18" s="2380"/>
      <c r="H18" s="2380"/>
      <c r="I18" s="2380"/>
      <c r="J18" s="2381"/>
      <c r="K18" s="1287"/>
      <c r="L18" s="3016"/>
      <c r="M18" s="3016"/>
      <c r="N18" s="3016"/>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6"/>
    </row>
    <row r="19" spans="1:37" s="2202" customFormat="1" ht="27.75" thickBot="1">
      <c r="A19" s="2246" t="s">
        <v>809</v>
      </c>
      <c r="B19" s="2247" t="s">
        <v>2709</v>
      </c>
      <c r="C19" s="863" t="e">
        <f>ROUND(IF(H19="按公示增长率计算",SUMPRODUCT((地价!A3:A34=YEAR(G19)&amp;"-"&amp;ROUNDUP(MONTH(G19)/3,0))*(地价!X2:AB2=E2)*(地价!X3:AB34)),IF(H19="地价指数",M20/M19,(1+I19)^O19)),4)</f>
        <v>#VALUE!</v>
      </c>
      <c r="D19" s="2251" t="s">
        <v>2710</v>
      </c>
      <c r="E19" s="864">
        <v>41640</v>
      </c>
      <c r="F19" s="2251" t="s">
        <v>2711</v>
      </c>
      <c r="G19" s="865">
        <f>'数据-取费表'!B2</f>
        <v>44370</v>
      </c>
      <c r="H19" s="2252"/>
      <c r="I19" s="866" t="str">
        <f>IF(H19="季度增幅（自定义）",SUMIF(N21:N24,E2,O21:O24),"")</f>
        <v/>
      </c>
      <c r="J19" s="2249"/>
      <c r="K19" s="1287"/>
      <c r="L19" s="2253" t="s">
        <v>2712</v>
      </c>
      <c r="M19" s="1496">
        <f>ROUND(SUMIF(地价!B2:F2,E2,地价!B34:F34),0)</f>
        <v>0</v>
      </c>
      <c r="N19" s="2254" t="s">
        <v>2713</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19"/>
      <c r="AH19" s="2340"/>
      <c r="AI19" s="3020"/>
      <c r="AJ19" s="3020"/>
      <c r="AK19" s="2255"/>
    </row>
    <row r="20" spans="1:37" s="2202" customFormat="1" ht="27.75" thickBot="1">
      <c r="A20" s="2256" t="s">
        <v>810</v>
      </c>
      <c r="B20" s="2257" t="s">
        <v>2714</v>
      </c>
      <c r="C20" s="868" t="e">
        <f>ROUND(POWER(1+G20,J20-I20)*(POWER(1+G20,I20)-1)/(POWER(1+G20,J20)-1),4)</f>
        <v>#DIV/0!</v>
      </c>
      <c r="D20" s="2258" t="s">
        <v>2715</v>
      </c>
      <c r="E20" s="1505">
        <f>存贷款利率!E18/100</f>
        <v>4.3499999999999997E-2</v>
      </c>
      <c r="F20" s="2258" t="s">
        <v>2707</v>
      </c>
      <c r="G20" s="873">
        <f>SUMIF(M26:P26,E2,M28:P28)</f>
        <v>0</v>
      </c>
      <c r="H20" s="2258" t="s">
        <v>2716</v>
      </c>
      <c r="I20" s="874" t="e">
        <f>SUMIF('数据-取费表'!C6:C15,E2,'数据-取费表'!F6:F15)/COUNTIF('数据-取费表'!C6:C15,E2)</f>
        <v>#DIV/0!</v>
      </c>
      <c r="J20" s="875">
        <f>IF(E2="住宅",70,IF(E2="商业",40,50))</f>
        <v>50</v>
      </c>
      <c r="K20" s="1287"/>
      <c r="L20" s="2259" t="s">
        <v>2717</v>
      </c>
      <c r="M20" s="1497">
        <f>ROUND(SUMPRODUCT((地价!A4:A34=YEAR(G19)&amp;"-"&amp;ROUNDUP(MONTH(G19)/3,0))*(地价!B2:F2=E2)*(地价!B4:F34)),0)</f>
        <v>0</v>
      </c>
      <c r="N20" s="2260" t="s">
        <v>2718</v>
      </c>
      <c r="O20" s="2261" t="s">
        <v>2719</v>
      </c>
      <c r="P20" s="2262" t="s">
        <v>2720</v>
      </c>
      <c r="Q20" s="3016"/>
      <c r="R20" s="1286"/>
      <c r="S20" s="1286"/>
      <c r="T20" s="1281"/>
      <c r="U20" s="1281"/>
      <c r="V20" s="1281"/>
      <c r="W20" s="1280"/>
      <c r="X20" s="1280"/>
      <c r="Y20" s="1280"/>
      <c r="Z20" s="1287"/>
      <c r="AA20" s="1287"/>
      <c r="AB20" s="1287"/>
      <c r="AC20" s="1287"/>
      <c r="AD20" s="1287"/>
      <c r="AE20" s="1287"/>
      <c r="AF20" s="1287"/>
      <c r="AG20" s="3016"/>
      <c r="AH20" s="3016"/>
      <c r="AI20" s="3016"/>
      <c r="AJ20" s="3016"/>
    </row>
    <row r="21" spans="1:37" s="2202" customFormat="1" ht="15">
      <c r="A21" s="2263" t="s">
        <v>811</v>
      </c>
      <c r="B21" s="2264" t="s">
        <v>2721</v>
      </c>
      <c r="C21" s="876" t="e">
        <f>IF(B21="容积率修正",IF(G3&lt;=10,D22,J22),C23)</f>
        <v>#DIV/0!</v>
      </c>
      <c r="D21" s="2265"/>
      <c r="E21" s="2265"/>
      <c r="F21" s="2265"/>
      <c r="G21" s="2265"/>
      <c r="H21" s="2265"/>
      <c r="I21" s="2265"/>
      <c r="J21" s="2266"/>
      <c r="K21" s="1287"/>
      <c r="L21" s="3016"/>
      <c r="M21" s="3016"/>
      <c r="N21" s="2267" t="s">
        <v>2722</v>
      </c>
      <c r="O21" s="1335"/>
      <c r="P21" s="1336">
        <f>SUMPRODUCT((地价!A3:A34=YEAR(G19)&amp;"-"&amp;ROUNDUP(MONTH(G19)/3,0))*(地价!AD2:AH2=N21)*(地价!AD3:AH34))</f>
        <v>1.09E-2</v>
      </c>
      <c r="Q21" s="3016"/>
      <c r="R21" s="1286"/>
      <c r="S21" s="1286"/>
      <c r="T21" s="1281"/>
      <c r="U21" s="1281"/>
      <c r="V21" s="1281"/>
      <c r="W21" s="1280"/>
      <c r="X21" s="1280"/>
      <c r="Y21" s="1280"/>
      <c r="Z21" s="1287"/>
      <c r="AA21" s="1287"/>
      <c r="AB21" s="1287"/>
      <c r="AC21" s="1287"/>
      <c r="AD21" s="1287"/>
      <c r="AE21" s="1287"/>
      <c r="AF21" s="1287"/>
      <c r="AG21" s="3016"/>
      <c r="AH21" s="3016"/>
      <c r="AI21" s="3016"/>
      <c r="AJ21" s="3016"/>
    </row>
    <row r="22" spans="1:37" s="2202" customFormat="1" ht="14.25">
      <c r="A22" s="2141" t="s">
        <v>2723</v>
      </c>
      <c r="B22" s="2268" t="s">
        <v>2724</v>
      </c>
      <c r="C22" s="1536" t="s">
        <v>2725</v>
      </c>
      <c r="D22" s="1536" t="e">
        <f>IF(E22=G22,F22,IF(G3&lt;=10,ROUND(F22+(H22-F22)*(G3-E22)/(G22-E22),4),"——"))</f>
        <v>#DIV/0!</v>
      </c>
      <c r="E22" s="855"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7" t="e">
        <f>IF(G3&gt;10,D113,"——")</f>
        <v>#DIV/0!</v>
      </c>
      <c r="K22" s="1287"/>
      <c r="L22" s="3016"/>
      <c r="M22" s="3016"/>
      <c r="N22" s="2267" t="s">
        <v>2726</v>
      </c>
      <c r="O22" s="1335"/>
      <c r="P22" s="1336">
        <f>SUMPRODUCT((地价!A3:A34=YEAR(G19)&amp;"-"&amp;ROUNDUP(MONTH(G19)/3,0))*(地价!AD2:AH2=N22)*(地价!AD3:AH34))</f>
        <v>1.09E-2</v>
      </c>
      <c r="Q22" s="3016"/>
      <c r="R22" s="1286"/>
      <c r="S22" s="1286"/>
      <c r="T22" s="1281"/>
      <c r="U22" s="1281"/>
      <c r="V22" s="1281"/>
      <c r="W22" s="1280"/>
      <c r="X22" s="1280"/>
      <c r="Y22" s="1280"/>
      <c r="Z22" s="1287"/>
      <c r="AA22" s="1287"/>
      <c r="AB22" s="1287"/>
      <c r="AC22" s="1287"/>
      <c r="AD22" s="1287"/>
      <c r="AE22" s="1287"/>
      <c r="AF22" s="1287"/>
      <c r="AG22" s="3016"/>
      <c r="AH22" s="3016"/>
      <c r="AI22" s="3016"/>
      <c r="AJ22" s="3016"/>
    </row>
    <row r="23" spans="1:37" ht="27.75" thickBot="1">
      <c r="A23" s="2141" t="s">
        <v>2727</v>
      </c>
      <c r="B23" s="2269" t="s">
        <v>2728</v>
      </c>
      <c r="C23" s="950" t="e">
        <f>ROUND(IF(G3&gt;1,IF(I3&lt;7,SUMPRODUCT((B93:B98=I3)*(C92:N92=G2)*(C93:N98)),SUMIF(C92:N92,G2,C100:N100)),IF(I3&lt;7,SUMPRODUCT((B102:B107=I3)*(C92:N92=G2)*(C102:N107)),SUMIF(C92:N92,G2,C109:N109))),4)</f>
        <v>#DIV/0!</v>
      </c>
      <c r="D23" s="2237"/>
      <c r="E23" s="2237"/>
      <c r="F23" s="2270"/>
      <c r="G23" s="2271"/>
      <c r="H23" s="2272"/>
      <c r="I23" s="2273"/>
      <c r="J23" s="2274"/>
      <c r="K23" s="1280"/>
      <c r="L23" s="2183"/>
      <c r="M23" s="2183"/>
      <c r="N23" s="2267" t="s">
        <v>2729</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0</v>
      </c>
      <c r="D24" s="2248"/>
      <c r="E24" s="2275"/>
      <c r="F24" s="2275"/>
      <c r="G24" s="2275"/>
      <c r="H24" s="2275"/>
      <c r="I24" s="2275"/>
      <c r="J24" s="2276"/>
      <c r="K24" s="1287"/>
      <c r="L24" s="3016"/>
      <c r="M24" s="3016"/>
      <c r="N24" s="2277" t="s">
        <v>2731</v>
      </c>
      <c r="O24" s="1337"/>
      <c r="P24" s="1338">
        <f>SUMPRODUCT((地价!A3:A34=YEAR(G19)&amp;"-"&amp;ROUNDUP(MONTH(G19)/3,0))*(地价!AD2:AH2=N24)*(地价!AD3:AH34))</f>
        <v>1.2500000000000001E-2</v>
      </c>
      <c r="Q24" s="3016"/>
      <c r="R24" s="1286"/>
      <c r="S24" s="1286"/>
      <c r="T24" s="1281"/>
      <c r="U24" s="1281"/>
      <c r="V24" s="1281"/>
      <c r="W24" s="1280"/>
      <c r="X24" s="1280"/>
      <c r="Y24" s="1280"/>
      <c r="Z24" s="1287"/>
      <c r="AA24" s="1287"/>
      <c r="AB24" s="1287"/>
      <c r="AC24" s="1287"/>
      <c r="AD24" s="1287"/>
      <c r="AE24" s="1287"/>
      <c r="AF24" s="1287"/>
      <c r="AG24" s="3016"/>
      <c r="AH24" s="3016"/>
      <c r="AI24" s="3016"/>
      <c r="AJ24" s="3016"/>
    </row>
    <row r="25" spans="1:37" ht="15.75" thickBot="1">
      <c r="A25" s="2256" t="s">
        <v>813</v>
      </c>
      <c r="B25" s="2278" t="s">
        <v>2732</v>
      </c>
      <c r="C25" s="869"/>
      <c r="D25" s="2212"/>
      <c r="E25" s="2212"/>
      <c r="F25" s="2279"/>
      <c r="G25" s="2212"/>
      <c r="H25" s="2212"/>
      <c r="I25" s="2212"/>
      <c r="J25" s="2213"/>
      <c r="K25" s="1280"/>
      <c r="L25" s="2183"/>
      <c r="M25" s="2183"/>
      <c r="N25" s="3011" t="s">
        <v>2733</v>
      </c>
      <c r="O25" s="3012"/>
      <c r="P25" s="3013">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42" t="e">
        <f>IF(B21="容积率修正",E29+SUM(E33:E39),SUM(V2:V16)+SUM(E33:E39))</f>
        <v>#DIV/0!</v>
      </c>
      <c r="D26" s="2281"/>
      <c r="E26" s="2237"/>
      <c r="F26" s="2282"/>
      <c r="G26" s="2237"/>
      <c r="H26" s="2237"/>
      <c r="I26" s="2237"/>
      <c r="J26" s="2283"/>
      <c r="K26" s="1280"/>
      <c r="L26" s="3014" t="s">
        <v>2632</v>
      </c>
      <c r="M26" s="2210" t="s">
        <v>2697</v>
      </c>
      <c r="N26" s="2210" t="s">
        <v>2698</v>
      </c>
      <c r="O26" s="2210" t="s">
        <v>2699</v>
      </c>
      <c r="P26" s="3015" t="s">
        <v>2700</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t="e">
        <f>E30+SUM(I33:I39)</f>
        <v>#DIV/0!</v>
      </c>
      <c r="D27" s="2285"/>
      <c r="E27" s="2286"/>
      <c r="F27" s="2287"/>
      <c r="G27" s="2286"/>
      <c r="H27" s="2286"/>
      <c r="I27" s="2286"/>
      <c r="J27" s="2288"/>
      <c r="K27" s="1280"/>
      <c r="L27" s="2243"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2707</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t="e">
        <f>ROUND(C5*C18*C19*C20*C21*C24,0)</f>
        <v>#DIV/0!</v>
      </c>
      <c r="D29" s="2296"/>
      <c r="E29" s="879" t="e">
        <f>ROUND(C29*D29/10000,0)</f>
        <v>#DIV/0!</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t="e">
        <f>ROUND(IF(E2="工业",C29*M39,C29*M38),0)</f>
        <v>#DIV/0!</v>
      </c>
      <c r="D30" s="2302"/>
      <c r="E30" s="879" t="e">
        <f>ROUND(C30*D30/10000,0)</f>
        <v>#DIV/0!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05"/>
      <c r="B33" s="2312" t="s">
        <v>2748</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410"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06"/>
      <c r="B34" s="2229" t="s">
        <v>2749</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0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06"/>
      <c r="B35" s="2229" t="s">
        <v>2750</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40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07"/>
      <c r="B36" s="2229" t="s">
        <v>2751</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407"/>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2700</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2860</v>
      </c>
      <c r="C41" s="348" t="e">
        <f>ROUND(POWER(1+E41,H41-G41)*(POWER(1+E41,G41)-1)/(POWER(1+E41,H41)-1),4)</f>
        <v>#DIV/0!</v>
      </c>
      <c r="D41" s="176" t="s">
        <v>2707</v>
      </c>
      <c r="E41" s="2369">
        <f>G20</f>
        <v>0</v>
      </c>
      <c r="F41" s="176" t="s">
        <v>2716</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2758</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2759</v>
      </c>
      <c r="B47" s="1535" t="s">
        <v>2760</v>
      </c>
      <c r="C47" s="1535" t="s">
        <v>2761</v>
      </c>
      <c r="D47" s="1535" t="s">
        <v>2762</v>
      </c>
      <c r="E47" s="758" t="s">
        <v>2763</v>
      </c>
      <c r="F47" s="2330" t="s">
        <v>2764</v>
      </c>
      <c r="G47" s="1535" t="s">
        <v>754</v>
      </c>
      <c r="H47" s="2331" t="s">
        <v>2765</v>
      </c>
      <c r="I47" s="1535" t="s">
        <v>2766</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38.25">
      <c r="A48" s="2329" t="s">
        <v>2767</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2768</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2769</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2770</v>
      </c>
      <c r="B51" s="2334" t="s">
        <v>2771</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2772</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2773</v>
      </c>
      <c r="B53" s="2335" t="s">
        <v>2774</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2775</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2776</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2777</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2759</v>
      </c>
      <c r="B58" s="1535"/>
      <c r="C58" s="1535" t="s">
        <v>2761</v>
      </c>
      <c r="D58" s="1535" t="s">
        <v>2762</v>
      </c>
      <c r="E58" s="758" t="s">
        <v>2763</v>
      </c>
      <c r="F58" s="2330" t="s">
        <v>2779</v>
      </c>
      <c r="G58" s="1535" t="s">
        <v>754</v>
      </c>
      <c r="H58" s="2331" t="s">
        <v>2765</v>
      </c>
      <c r="I58" s="1535" t="s">
        <v>2766</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38.25">
      <c r="A59" s="2329" t="s">
        <v>2780</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2768</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2769</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2770</v>
      </c>
      <c r="B62" s="2334" t="s">
        <v>2771</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2772</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2773</v>
      </c>
      <c r="B64" s="2335" t="s">
        <v>2774</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2775</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2776</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2777</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2759</v>
      </c>
      <c r="B69" s="1535"/>
      <c r="C69" s="1535" t="s">
        <v>2761</v>
      </c>
      <c r="D69" s="1535" t="s">
        <v>2762</v>
      </c>
      <c r="E69" s="758" t="s">
        <v>2763</v>
      </c>
      <c r="F69" s="2330" t="s">
        <v>2779</v>
      </c>
      <c r="G69" s="1535" t="s">
        <v>754</v>
      </c>
      <c r="H69" s="2331" t="s">
        <v>2765</v>
      </c>
      <c r="I69" s="1535" t="s">
        <v>2766</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51">
      <c r="A70" s="2329" t="s">
        <v>2782</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2768</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2769</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2783</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2775</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2776</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2773</v>
      </c>
      <c r="B76" s="2335" t="s">
        <v>2774</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2777</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2784</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2785</v>
      </c>
      <c r="B79" s="2326">
        <f>1+E81</f>
        <v>1</v>
      </c>
      <c r="C79" s="753"/>
      <c r="D79" s="753"/>
      <c r="E79" s="754"/>
      <c r="F79" s="2328"/>
      <c r="G79" s="6"/>
      <c r="H79" s="6"/>
      <c r="I79" s="6"/>
      <c r="J79" s="7"/>
      <c r="K79" s="7"/>
      <c r="L79" s="7"/>
      <c r="M79" s="7"/>
      <c r="N79" s="7"/>
      <c r="Z79" s="2184"/>
      <c r="AA79" s="2250"/>
      <c r="AG79" s="1282"/>
      <c r="AK79" s="2250"/>
    </row>
    <row r="80" spans="1:37" ht="24.75">
      <c r="A80" s="2329" t="s">
        <v>2759</v>
      </c>
      <c r="B80" s="1535"/>
      <c r="C80" s="1535" t="s">
        <v>2761</v>
      </c>
      <c r="D80" s="1535" t="s">
        <v>2762</v>
      </c>
      <c r="E80" s="758" t="s">
        <v>2763</v>
      </c>
      <c r="F80" s="2330" t="s">
        <v>2779</v>
      </c>
      <c r="G80" s="1535" t="s">
        <v>754</v>
      </c>
      <c r="H80" s="2331" t="s">
        <v>2765</v>
      </c>
      <c r="I80" s="1535" t="s">
        <v>2766</v>
      </c>
      <c r="J80" s="560" t="s">
        <v>2415</v>
      </c>
      <c r="K80" s="560" t="s">
        <v>2416</v>
      </c>
      <c r="L80" s="560" t="s">
        <v>2417</v>
      </c>
      <c r="M80" s="560" t="s">
        <v>2418</v>
      </c>
      <c r="N80" s="560" t="s">
        <v>2419</v>
      </c>
      <c r="Z80" s="2184"/>
      <c r="AA80" s="2250"/>
      <c r="AG80" s="1282"/>
      <c r="AK80" s="2250"/>
    </row>
    <row r="81" spans="1:37" ht="38.25">
      <c r="A81" s="2329" t="s">
        <v>2786</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2768</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2769</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2783</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2775</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2776</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2773</v>
      </c>
      <c r="B87" s="2335" t="s">
        <v>2787</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2788</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97" t="s">
        <v>2789</v>
      </c>
      <c r="B90" s="3397"/>
      <c r="C90" s="3397"/>
      <c r="D90" s="3397"/>
      <c r="E90" s="3397"/>
      <c r="F90" s="3397"/>
      <c r="G90" s="3397"/>
      <c r="H90" s="3397"/>
      <c r="I90" s="3397"/>
      <c r="J90" s="3397"/>
      <c r="K90" s="2343"/>
      <c r="L90" s="2343"/>
      <c r="M90" s="2343"/>
      <c r="N90" s="2343"/>
    </row>
    <row r="91" spans="1:37">
      <c r="A91" s="3399" t="s">
        <v>2790</v>
      </c>
      <c r="B91" s="3399" t="s">
        <v>2791</v>
      </c>
      <c r="C91" s="2297" t="s">
        <v>2792</v>
      </c>
      <c r="D91" s="2298"/>
      <c r="E91" s="2298"/>
      <c r="F91" s="2298"/>
      <c r="G91" s="2298"/>
      <c r="H91" s="2298"/>
      <c r="I91" s="2298"/>
      <c r="J91" s="2344"/>
      <c r="K91" s="2345"/>
      <c r="L91" s="2345"/>
      <c r="M91" s="2345"/>
      <c r="N91" s="2345"/>
    </row>
    <row r="92" spans="1:37">
      <c r="A92" s="3399"/>
      <c r="B92" s="3399"/>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400"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01"/>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01"/>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01"/>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01"/>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01"/>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01"/>
      <c r="B99" s="2346" t="s">
        <v>2675</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02"/>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00" t="s">
        <v>2794</v>
      </c>
      <c r="B101" s="2350" t="s">
        <v>2795</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401"/>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401"/>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401"/>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401"/>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401"/>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401"/>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401"/>
      <c r="B108" s="3403" t="s">
        <v>2796</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02"/>
      <c r="B109" s="3404"/>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398" t="s">
        <v>2797</v>
      </c>
      <c r="B110" s="3398"/>
      <c r="C110" s="3398"/>
      <c r="D110" s="3398"/>
      <c r="E110" s="3398"/>
      <c r="F110" s="3398"/>
      <c r="G110" s="3398"/>
      <c r="H110" s="3398"/>
      <c r="I110" s="3398"/>
      <c r="J110" s="3398"/>
      <c r="K110" s="2352"/>
      <c r="L110" s="2352"/>
      <c r="M110" s="2352"/>
      <c r="N110" s="2352"/>
    </row>
    <row r="112" spans="1:14" ht="13.5" thickBot="1"/>
    <row r="113" spans="1:13" ht="25.5" thickBot="1">
      <c r="A113" s="842" t="s">
        <v>2798</v>
      </c>
      <c r="B113" s="1197" t="e">
        <f>G3</f>
        <v>#DIV/0!</v>
      </c>
      <c r="C113" s="843" t="s">
        <v>2799</v>
      </c>
      <c r="D113" s="844" t="e">
        <f>SUMPRODUCT((A115:A118=F113)*(B114:M114=H113)*B115:M118)</f>
        <v>#DIV/0!</v>
      </c>
      <c r="E113" s="2188" t="s">
        <v>2632</v>
      </c>
      <c r="F113" s="2354">
        <f>E2</f>
        <v>0</v>
      </c>
      <c r="G113" s="2188" t="s">
        <v>2633</v>
      </c>
      <c r="H113" s="2354">
        <f>G2</f>
        <v>0</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2697</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2698</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2699</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2700</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1" t="s">
        <v>183</v>
      </c>
      <c r="B18" s="821" t="s">
        <v>560</v>
      </c>
      <c r="C18" s="822" t="s">
        <v>561</v>
      </c>
      <c r="D18" s="823"/>
      <c r="E18" s="821">
        <v>1</v>
      </c>
      <c r="F18" s="824" t="s">
        <v>562</v>
      </c>
      <c r="G18" s="825"/>
      <c r="H18" s="817"/>
      <c r="I18" s="817"/>
    </row>
    <row r="19" spans="1:9" s="826" customFormat="1" ht="19.5" customHeight="1">
      <c r="A19" s="3421"/>
      <c r="B19" s="3421" t="s">
        <v>563</v>
      </c>
      <c r="C19" s="822" t="s">
        <v>564</v>
      </c>
      <c r="D19" s="823"/>
      <c r="E19" s="821">
        <v>0.9</v>
      </c>
      <c r="F19" s="824" t="s">
        <v>565</v>
      </c>
      <c r="G19" s="825"/>
      <c r="H19" s="817"/>
      <c r="I19" s="817"/>
    </row>
    <row r="20" spans="1:9" s="826" customFormat="1" ht="19.5" customHeight="1">
      <c r="A20" s="3421"/>
      <c r="B20" s="3421"/>
      <c r="C20" s="822" t="s">
        <v>566</v>
      </c>
      <c r="D20" s="823"/>
      <c r="E20" s="821">
        <v>1.1000000000000001</v>
      </c>
      <c r="F20" s="824" t="s">
        <v>567</v>
      </c>
      <c r="G20" s="825"/>
      <c r="H20" s="817"/>
      <c r="I20" s="817"/>
    </row>
    <row r="21" spans="1:9" s="826" customFormat="1" ht="19.5" customHeight="1">
      <c r="A21" s="3421"/>
      <c r="B21" s="3421"/>
      <c r="C21" s="822" t="s">
        <v>568</v>
      </c>
      <c r="D21" s="823"/>
      <c r="E21" s="821">
        <v>0.8</v>
      </c>
      <c r="F21" s="824" t="s">
        <v>569</v>
      </c>
      <c r="G21" s="825"/>
      <c r="H21" s="817"/>
      <c r="I21" s="817"/>
    </row>
    <row r="22" spans="1:9" s="826" customFormat="1" ht="19.5" customHeight="1">
      <c r="A22" s="3421"/>
      <c r="B22" s="3421"/>
      <c r="C22" s="822" t="s">
        <v>570</v>
      </c>
      <c r="D22" s="823"/>
      <c r="E22" s="821">
        <v>0.5</v>
      </c>
      <c r="F22" s="824"/>
      <c r="G22" s="825"/>
      <c r="H22" s="817"/>
      <c r="I22" s="817"/>
    </row>
    <row r="23" spans="1:9" s="826" customFormat="1" ht="19.5" customHeight="1">
      <c r="A23" s="3421" t="s">
        <v>184</v>
      </c>
      <c r="B23" s="821" t="s">
        <v>560</v>
      </c>
      <c r="C23" s="822" t="s">
        <v>571</v>
      </c>
      <c r="D23" s="823"/>
      <c r="E23" s="821">
        <v>1</v>
      </c>
      <c r="F23" s="824" t="s">
        <v>572</v>
      </c>
      <c r="G23" s="825"/>
      <c r="H23" s="817"/>
      <c r="I23" s="817"/>
    </row>
    <row r="24" spans="1:9" s="826" customFormat="1" ht="19.5" customHeight="1">
      <c r="A24" s="3421"/>
      <c r="B24" s="3421" t="s">
        <v>563</v>
      </c>
      <c r="C24" s="822" t="s">
        <v>573</v>
      </c>
      <c r="D24" s="823"/>
      <c r="E24" s="821">
        <v>0.5</v>
      </c>
      <c r="F24" s="824"/>
      <c r="G24" s="825"/>
      <c r="H24" s="817"/>
      <c r="I24" s="817"/>
    </row>
    <row r="25" spans="1:9" s="826" customFormat="1" ht="19.5" customHeight="1">
      <c r="A25" s="3421"/>
      <c r="B25" s="3421"/>
      <c r="C25" s="822" t="s">
        <v>574</v>
      </c>
      <c r="D25" s="823"/>
      <c r="E25" s="821">
        <v>1.1000000000000001</v>
      </c>
      <c r="F25" s="824"/>
      <c r="G25" s="825"/>
      <c r="H25" s="817"/>
      <c r="I25" s="817"/>
    </row>
    <row r="26" spans="1:9" s="826" customFormat="1" ht="19.5" customHeight="1">
      <c r="A26" s="3421"/>
      <c r="B26" s="3421"/>
      <c r="C26" s="822" t="s">
        <v>575</v>
      </c>
      <c r="D26" s="823"/>
      <c r="E26" s="821">
        <v>1.1000000000000001</v>
      </c>
      <c r="F26" s="824"/>
      <c r="G26" s="825"/>
      <c r="H26" s="817"/>
      <c r="I26" s="817"/>
    </row>
    <row r="27" spans="1:9" s="826" customFormat="1" ht="19.5" customHeight="1">
      <c r="A27" s="3421"/>
      <c r="B27" s="3421"/>
      <c r="C27" s="822" t="s">
        <v>576</v>
      </c>
      <c r="D27" s="823"/>
      <c r="E27" s="821">
        <v>0.9</v>
      </c>
      <c r="F27" s="824" t="s">
        <v>577</v>
      </c>
      <c r="G27" s="825"/>
      <c r="H27" s="817"/>
      <c r="I27" s="817"/>
    </row>
    <row r="28" spans="1:9" s="826" customFormat="1" ht="19.5" customHeight="1">
      <c r="A28" s="3421"/>
      <c r="B28" s="3421"/>
      <c r="C28" s="822" t="s">
        <v>578</v>
      </c>
      <c r="D28" s="823"/>
      <c r="E28" s="821">
        <v>0.9</v>
      </c>
      <c r="F28" s="824" t="s">
        <v>579</v>
      </c>
      <c r="G28" s="825"/>
      <c r="H28" s="817"/>
      <c r="I28" s="817"/>
    </row>
    <row r="29" spans="1:9" s="826" customFormat="1" ht="19.5" customHeight="1">
      <c r="A29" s="3421"/>
      <c r="B29" s="3421"/>
      <c r="C29" s="822" t="s">
        <v>580</v>
      </c>
      <c r="D29" s="823"/>
      <c r="E29" s="821">
        <v>0.9</v>
      </c>
      <c r="F29" s="824" t="s">
        <v>581</v>
      </c>
      <c r="G29" s="825"/>
      <c r="H29" s="817"/>
      <c r="I29" s="817"/>
    </row>
    <row r="30" spans="1:9" s="826" customFormat="1" ht="19.5" customHeight="1">
      <c r="A30" s="3421"/>
      <c r="B30" s="3421"/>
      <c r="C30" s="822" t="s">
        <v>582</v>
      </c>
      <c r="D30" s="823"/>
      <c r="E30" s="821">
        <v>0.9</v>
      </c>
      <c r="F30" s="824" t="s">
        <v>583</v>
      </c>
      <c r="G30" s="825"/>
      <c r="H30" s="817"/>
      <c r="I30" s="817"/>
    </row>
    <row r="31" spans="1:9" s="826" customFormat="1" ht="19.5" customHeight="1">
      <c r="A31" s="3421"/>
      <c r="B31" s="3421"/>
      <c r="C31" s="822" t="s">
        <v>584</v>
      </c>
      <c r="D31" s="823"/>
      <c r="E31" s="821">
        <v>0.8</v>
      </c>
      <c r="F31" s="824" t="s">
        <v>585</v>
      </c>
      <c r="G31" s="825"/>
      <c r="H31" s="817"/>
      <c r="I31" s="817"/>
    </row>
    <row r="32" spans="1:9" s="826" customFormat="1" ht="19.5" customHeight="1">
      <c r="A32" s="3421"/>
      <c r="B32" s="3421"/>
      <c r="C32" s="822" t="s">
        <v>586</v>
      </c>
      <c r="D32" s="823"/>
      <c r="E32" s="821">
        <v>0.8</v>
      </c>
      <c r="F32" s="824" t="s">
        <v>587</v>
      </c>
      <c r="G32" s="825"/>
      <c r="H32" s="817"/>
      <c r="I32" s="817"/>
    </row>
    <row r="33" spans="1:9" s="826" customFormat="1" ht="19.5" customHeight="1">
      <c r="A33" s="3421" t="s">
        <v>185</v>
      </c>
      <c r="B33" s="821" t="s">
        <v>560</v>
      </c>
      <c r="C33" s="822" t="s">
        <v>588</v>
      </c>
      <c r="D33" s="823"/>
      <c r="E33" s="821">
        <v>1</v>
      </c>
      <c r="F33" s="824" t="s">
        <v>589</v>
      </c>
      <c r="G33" s="825"/>
      <c r="H33" s="817"/>
      <c r="I33" s="817"/>
    </row>
    <row r="34" spans="1:9" s="826" customFormat="1" ht="19.5" customHeight="1">
      <c r="A34" s="3421"/>
      <c r="B34" s="821" t="s">
        <v>563</v>
      </c>
      <c r="C34" s="822" t="s">
        <v>590</v>
      </c>
      <c r="D34" s="823"/>
      <c r="E34" s="821">
        <v>1.5</v>
      </c>
      <c r="F34" s="824" t="s">
        <v>591</v>
      </c>
      <c r="G34" s="825"/>
      <c r="H34" s="817"/>
      <c r="I34" s="817"/>
    </row>
    <row r="35" spans="1:9" s="826" customFormat="1" ht="19.5" customHeight="1">
      <c r="A35" s="3421" t="s">
        <v>186</v>
      </c>
      <c r="B35" s="821" t="s">
        <v>560</v>
      </c>
      <c r="C35" s="822" t="s">
        <v>592</v>
      </c>
      <c r="D35" s="823"/>
      <c r="E35" s="821">
        <v>1</v>
      </c>
      <c r="F35" s="824" t="s">
        <v>593</v>
      </c>
      <c r="G35" s="825"/>
      <c r="H35" s="817"/>
      <c r="I35" s="817"/>
    </row>
    <row r="36" spans="1:9" s="826" customFormat="1" ht="19.5" customHeight="1">
      <c r="A36" s="3421"/>
      <c r="B36" s="3421" t="s">
        <v>563</v>
      </c>
      <c r="C36" s="822" t="s">
        <v>594</v>
      </c>
      <c r="D36" s="823"/>
      <c r="E36" s="821">
        <v>1</v>
      </c>
      <c r="F36" s="824" t="s">
        <v>595</v>
      </c>
      <c r="G36" s="825"/>
      <c r="H36" s="817"/>
      <c r="I36" s="817"/>
    </row>
    <row r="37" spans="1:9" s="826" customFormat="1" ht="19.5" customHeight="1">
      <c r="A37" s="3421"/>
      <c r="B37" s="3421"/>
      <c r="C37" s="822" t="s">
        <v>596</v>
      </c>
      <c r="D37" s="823"/>
      <c r="E37" s="821">
        <v>1.5</v>
      </c>
      <c r="F37" s="824" t="s">
        <v>597</v>
      </c>
      <c r="G37" s="825"/>
      <c r="H37" s="817"/>
      <c r="I37" s="817"/>
    </row>
    <row r="38" spans="1:9" s="826" customFormat="1" ht="19.5" customHeight="1">
      <c r="A38" s="3421"/>
      <c r="B38" s="3421"/>
      <c r="C38" s="822" t="s">
        <v>598</v>
      </c>
      <c r="D38" s="823"/>
      <c r="E38" s="821">
        <v>1</v>
      </c>
      <c r="F38" s="824" t="s">
        <v>599</v>
      </c>
      <c r="G38" s="825"/>
      <c r="H38" s="817"/>
      <c r="I38" s="817"/>
    </row>
    <row r="39" spans="1:9" s="826" customFormat="1" ht="19.5" customHeight="1">
      <c r="A39" s="3421"/>
      <c r="B39" s="342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1" t="s">
        <v>614</v>
      </c>
      <c r="C61" s="757" t="s">
        <v>615</v>
      </c>
      <c r="D61" s="757" t="s">
        <v>616</v>
      </c>
      <c r="E61" s="834">
        <v>0.5</v>
      </c>
      <c r="F61" s="821">
        <v>80</v>
      </c>
    </row>
    <row r="62" spans="1:8" s="817" customFormat="1" ht="24">
      <c r="A62" s="821">
        <v>2</v>
      </c>
      <c r="B62" s="3421"/>
      <c r="C62" s="757" t="s">
        <v>617</v>
      </c>
      <c r="D62" s="757" t="s">
        <v>618</v>
      </c>
      <c r="E62" s="834">
        <v>0.5</v>
      </c>
      <c r="F62" s="821">
        <v>80</v>
      </c>
    </row>
    <row r="63" spans="1:8" s="817" customFormat="1" ht="36">
      <c r="A63" s="821">
        <v>3</v>
      </c>
      <c r="B63" s="3421"/>
      <c r="C63" s="757" t="s">
        <v>619</v>
      </c>
      <c r="D63" s="757" t="s">
        <v>620</v>
      </c>
      <c r="E63" s="834">
        <v>0.5</v>
      </c>
      <c r="F63" s="821">
        <v>80</v>
      </c>
    </row>
    <row r="64" spans="1:8" s="817" customFormat="1" ht="36">
      <c r="A64" s="821">
        <v>4</v>
      </c>
      <c r="B64" s="3421"/>
      <c r="C64" s="757" t="s">
        <v>621</v>
      </c>
      <c r="D64" s="757" t="s">
        <v>622</v>
      </c>
      <c r="E64" s="834">
        <v>0.4</v>
      </c>
      <c r="F64" s="821">
        <v>60</v>
      </c>
    </row>
    <row r="65" spans="1:6" s="817" customFormat="1" ht="36">
      <c r="A65" s="821">
        <v>5</v>
      </c>
      <c r="B65" s="3421"/>
      <c r="C65" s="757" t="s">
        <v>623</v>
      </c>
      <c r="D65" s="757" t="s">
        <v>624</v>
      </c>
      <c r="E65" s="834">
        <v>0.2</v>
      </c>
      <c r="F65" s="821">
        <v>30</v>
      </c>
    </row>
    <row r="66" spans="1:6" s="817" customFormat="1" ht="36">
      <c r="A66" s="821">
        <v>6</v>
      </c>
      <c r="B66" s="3421"/>
      <c r="C66" s="757" t="s">
        <v>625</v>
      </c>
      <c r="D66" s="757" t="s">
        <v>626</v>
      </c>
      <c r="E66" s="834">
        <v>0.3</v>
      </c>
      <c r="F66" s="821">
        <v>50</v>
      </c>
    </row>
    <row r="67" spans="1:6" s="817" customFormat="1" ht="36">
      <c r="A67" s="821">
        <v>7</v>
      </c>
      <c r="B67" s="3421"/>
      <c r="C67" s="757" t="s">
        <v>627</v>
      </c>
      <c r="D67" s="757" t="s">
        <v>628</v>
      </c>
      <c r="E67" s="834">
        <v>0.2</v>
      </c>
      <c r="F67" s="821">
        <v>30</v>
      </c>
    </row>
    <row r="68" spans="1:6" s="817" customFormat="1" ht="36">
      <c r="A68" s="821">
        <v>8</v>
      </c>
      <c r="B68" s="3421"/>
      <c r="C68" s="757" t="s">
        <v>629</v>
      </c>
      <c r="D68" s="757" t="s">
        <v>630</v>
      </c>
      <c r="E68" s="834">
        <v>0.2</v>
      </c>
      <c r="F68" s="821">
        <v>30</v>
      </c>
    </row>
    <row r="69" spans="1:6" s="817" customFormat="1" ht="36">
      <c r="A69" s="821">
        <v>9</v>
      </c>
      <c r="B69" s="3421"/>
      <c r="C69" s="757" t="s">
        <v>631</v>
      </c>
      <c r="D69" s="757" t="s">
        <v>632</v>
      </c>
      <c r="E69" s="834">
        <v>0.2</v>
      </c>
      <c r="F69" s="821">
        <v>30</v>
      </c>
    </row>
    <row r="70" spans="1:6" s="817" customFormat="1" ht="48">
      <c r="A70" s="821">
        <v>10</v>
      </c>
      <c r="B70" s="3421"/>
      <c r="C70" s="757" t="s">
        <v>633</v>
      </c>
      <c r="D70" s="757" t="s">
        <v>634</v>
      </c>
      <c r="E70" s="834">
        <v>0.2</v>
      </c>
      <c r="F70" s="821">
        <v>30</v>
      </c>
    </row>
    <row r="71" spans="1:6" s="817" customFormat="1" ht="48">
      <c r="A71" s="821">
        <v>11</v>
      </c>
      <c r="B71" s="3421"/>
      <c r="C71" s="757" t="s">
        <v>635</v>
      </c>
      <c r="D71" s="757" t="s">
        <v>636</v>
      </c>
      <c r="E71" s="834">
        <v>0.2</v>
      </c>
      <c r="F71" s="821">
        <v>30</v>
      </c>
    </row>
    <row r="72" spans="1:6" s="817" customFormat="1" ht="36">
      <c r="A72" s="821">
        <v>12</v>
      </c>
      <c r="B72" s="3421"/>
      <c r="C72" s="757" t="s">
        <v>637</v>
      </c>
      <c r="D72" s="757" t="s">
        <v>638</v>
      </c>
      <c r="E72" s="834">
        <v>0.5</v>
      </c>
      <c r="F72" s="821">
        <v>80</v>
      </c>
    </row>
    <row r="73" spans="1:6" s="817" customFormat="1" ht="24">
      <c r="A73" s="821">
        <v>13</v>
      </c>
      <c r="B73" s="3421"/>
      <c r="C73" s="757" t="s">
        <v>639</v>
      </c>
      <c r="D73" s="757" t="s">
        <v>640</v>
      </c>
      <c r="E73" s="834">
        <v>0.4</v>
      </c>
      <c r="F73" s="821">
        <v>60</v>
      </c>
    </row>
    <row r="74" spans="1:6" s="817" customFormat="1" ht="24">
      <c r="A74" s="821">
        <v>14</v>
      </c>
      <c r="B74" s="3421"/>
      <c r="C74" s="757" t="s">
        <v>641</v>
      </c>
      <c r="D74" s="757" t="s">
        <v>642</v>
      </c>
      <c r="E74" s="834">
        <v>0.2</v>
      </c>
      <c r="F74" s="821">
        <v>30</v>
      </c>
    </row>
    <row r="75" spans="1:6" s="817" customFormat="1" ht="24">
      <c r="A75" s="821">
        <v>15</v>
      </c>
      <c r="B75" s="3421"/>
      <c r="C75" s="757" t="s">
        <v>643</v>
      </c>
      <c r="D75" s="757" t="s">
        <v>644</v>
      </c>
      <c r="E75" s="834">
        <v>0.2</v>
      </c>
      <c r="F75" s="821">
        <v>30</v>
      </c>
    </row>
    <row r="76" spans="1:6" s="817" customFormat="1" ht="24">
      <c r="A76" s="821">
        <v>16</v>
      </c>
      <c r="B76" s="3421" t="s">
        <v>645</v>
      </c>
      <c r="C76" s="757" t="s">
        <v>646</v>
      </c>
      <c r="D76" s="757" t="s">
        <v>647</v>
      </c>
      <c r="E76" s="834">
        <v>0.5</v>
      </c>
      <c r="F76" s="821">
        <v>80</v>
      </c>
    </row>
    <row r="77" spans="1:6" s="817" customFormat="1" ht="24">
      <c r="A77" s="821">
        <v>17</v>
      </c>
      <c r="B77" s="3421"/>
      <c r="C77" s="757" t="s">
        <v>648</v>
      </c>
      <c r="D77" s="757" t="s">
        <v>649</v>
      </c>
      <c r="E77" s="834">
        <v>0.5</v>
      </c>
      <c r="F77" s="821">
        <v>80</v>
      </c>
    </row>
    <row r="78" spans="1:6" s="817" customFormat="1" ht="24">
      <c r="A78" s="821">
        <v>18</v>
      </c>
      <c r="B78" s="3421"/>
      <c r="C78" s="757" t="s">
        <v>650</v>
      </c>
      <c r="D78" s="757" t="s">
        <v>651</v>
      </c>
      <c r="E78" s="834">
        <v>0.2</v>
      </c>
      <c r="F78" s="821">
        <v>30</v>
      </c>
    </row>
    <row r="79" spans="1:6" s="817" customFormat="1" ht="24">
      <c r="A79" s="821">
        <v>19</v>
      </c>
      <c r="B79" s="3421"/>
      <c r="C79" s="757" t="s">
        <v>652</v>
      </c>
      <c r="D79" s="757" t="s">
        <v>653</v>
      </c>
      <c r="E79" s="834">
        <v>0.5</v>
      </c>
      <c r="F79" s="821">
        <v>80</v>
      </c>
    </row>
    <row r="80" spans="1:6" s="817" customFormat="1" ht="36">
      <c r="A80" s="821">
        <v>20</v>
      </c>
      <c r="B80" s="3421"/>
      <c r="C80" s="757" t="s">
        <v>654</v>
      </c>
      <c r="D80" s="757" t="s">
        <v>655</v>
      </c>
      <c r="E80" s="834">
        <v>0.2</v>
      </c>
      <c r="F80" s="821">
        <v>30</v>
      </c>
    </row>
    <row r="81" spans="1:6" s="817" customFormat="1" ht="36">
      <c r="A81" s="821">
        <v>21</v>
      </c>
      <c r="B81" s="3421"/>
      <c r="C81" s="757" t="s">
        <v>656</v>
      </c>
      <c r="D81" s="757" t="s">
        <v>657</v>
      </c>
      <c r="E81" s="834">
        <v>0.2</v>
      </c>
      <c r="F81" s="821">
        <v>30</v>
      </c>
    </row>
    <row r="82" spans="1:6" s="817" customFormat="1" ht="48">
      <c r="A82" s="821">
        <v>22</v>
      </c>
      <c r="B82" s="3421"/>
      <c r="C82" s="757" t="s">
        <v>658</v>
      </c>
      <c r="D82" s="757" t="s">
        <v>659</v>
      </c>
      <c r="E82" s="834">
        <v>0.2</v>
      </c>
      <c r="F82" s="821">
        <v>30</v>
      </c>
    </row>
    <row r="83" spans="1:6" s="817" customFormat="1" ht="48">
      <c r="A83" s="821">
        <v>23</v>
      </c>
      <c r="B83" s="3421"/>
      <c r="C83" s="757" t="s">
        <v>660</v>
      </c>
      <c r="D83" s="757" t="s">
        <v>661</v>
      </c>
      <c r="E83" s="834">
        <v>0.2</v>
      </c>
      <c r="F83" s="821">
        <v>30</v>
      </c>
    </row>
    <row r="84" spans="1:6" s="817" customFormat="1" ht="36">
      <c r="A84" s="821">
        <v>24</v>
      </c>
      <c r="B84" s="3421"/>
      <c r="C84" s="757" t="s">
        <v>662</v>
      </c>
      <c r="D84" s="757" t="s">
        <v>663</v>
      </c>
      <c r="E84" s="834">
        <v>0.2</v>
      </c>
      <c r="F84" s="821">
        <v>30</v>
      </c>
    </row>
    <row r="85" spans="1:6" s="817" customFormat="1" ht="36">
      <c r="A85" s="821">
        <v>25</v>
      </c>
      <c r="B85" s="3421"/>
      <c r="C85" s="757" t="s">
        <v>664</v>
      </c>
      <c r="D85" s="757" t="s">
        <v>665</v>
      </c>
      <c r="E85" s="834">
        <v>0.5</v>
      </c>
      <c r="F85" s="821">
        <v>80</v>
      </c>
    </row>
    <row r="86" spans="1:6" s="817" customFormat="1" ht="36">
      <c r="A86" s="821">
        <v>26</v>
      </c>
      <c r="B86" s="3421"/>
      <c r="C86" s="757" t="s">
        <v>666</v>
      </c>
      <c r="D86" s="757" t="s">
        <v>667</v>
      </c>
      <c r="E86" s="834">
        <v>0.2</v>
      </c>
      <c r="F86" s="821">
        <v>30</v>
      </c>
    </row>
    <row r="87" spans="1:6" s="817" customFormat="1" ht="36">
      <c r="A87" s="821">
        <v>27</v>
      </c>
      <c r="B87" s="3421"/>
      <c r="C87" s="757" t="s">
        <v>668</v>
      </c>
      <c r="D87" s="757" t="s">
        <v>669</v>
      </c>
      <c r="E87" s="834">
        <v>0.2</v>
      </c>
      <c r="F87" s="821">
        <v>30</v>
      </c>
    </row>
    <row r="88" spans="1:6" s="817" customFormat="1" ht="36">
      <c r="A88" s="821">
        <v>28</v>
      </c>
      <c r="B88" s="3421"/>
      <c r="C88" s="757" t="s">
        <v>670</v>
      </c>
      <c r="D88" s="757" t="s">
        <v>671</v>
      </c>
      <c r="E88" s="834">
        <v>0.2</v>
      </c>
      <c r="F88" s="821">
        <v>30</v>
      </c>
    </row>
    <row r="89" spans="1:6" s="817" customFormat="1" ht="24">
      <c r="A89" s="821">
        <v>29</v>
      </c>
      <c r="B89" s="3421"/>
      <c r="C89" s="757" t="s">
        <v>672</v>
      </c>
      <c r="D89" s="757" t="s">
        <v>673</v>
      </c>
      <c r="E89" s="834">
        <v>0.2</v>
      </c>
      <c r="F89" s="821">
        <v>30</v>
      </c>
    </row>
    <row r="90" spans="1:6" s="817" customFormat="1" ht="24">
      <c r="A90" s="821">
        <v>30</v>
      </c>
      <c r="B90" s="3421"/>
      <c r="C90" s="757" t="s">
        <v>674</v>
      </c>
      <c r="D90" s="757" t="s">
        <v>675</v>
      </c>
      <c r="E90" s="834">
        <v>0.2</v>
      </c>
      <c r="F90" s="821">
        <v>30</v>
      </c>
    </row>
    <row r="91" spans="1:6" s="817" customFormat="1" ht="36">
      <c r="A91" s="821">
        <v>31</v>
      </c>
      <c r="B91" s="3421"/>
      <c r="C91" s="757" t="s">
        <v>676</v>
      </c>
      <c r="D91" s="757" t="s">
        <v>677</v>
      </c>
      <c r="E91" s="834">
        <v>0.2</v>
      </c>
      <c r="F91" s="821">
        <v>30</v>
      </c>
    </row>
    <row r="92" spans="1:6" s="817" customFormat="1" ht="24">
      <c r="A92" s="821">
        <v>32</v>
      </c>
      <c r="B92" s="3421" t="s">
        <v>678</v>
      </c>
      <c r="C92" s="821" t="s">
        <v>679</v>
      </c>
      <c r="D92" s="757" t="s">
        <v>680</v>
      </c>
      <c r="E92" s="834">
        <v>0.2</v>
      </c>
      <c r="F92" s="821">
        <v>30</v>
      </c>
    </row>
    <row r="93" spans="1:6" s="817" customFormat="1" ht="36">
      <c r="A93" s="821">
        <v>33</v>
      </c>
      <c r="B93" s="3421"/>
      <c r="C93" s="821" t="s">
        <v>681</v>
      </c>
      <c r="D93" s="757" t="s">
        <v>682</v>
      </c>
      <c r="E93" s="834">
        <v>0.2</v>
      </c>
      <c r="F93" s="821">
        <v>30</v>
      </c>
    </row>
    <row r="94" spans="1:6" s="817" customFormat="1" ht="48">
      <c r="A94" s="821">
        <v>34</v>
      </c>
      <c r="B94" s="3421"/>
      <c r="C94" s="821" t="s">
        <v>683</v>
      </c>
      <c r="D94" s="757" t="s">
        <v>684</v>
      </c>
      <c r="E94" s="834">
        <v>0.2</v>
      </c>
      <c r="F94" s="821">
        <v>30</v>
      </c>
    </row>
    <row r="95" spans="1:6" s="817" customFormat="1" ht="36">
      <c r="A95" s="821">
        <v>35</v>
      </c>
      <c r="B95" s="3421"/>
      <c r="C95" s="821" t="s">
        <v>685</v>
      </c>
      <c r="D95" s="757" t="s">
        <v>686</v>
      </c>
      <c r="E95" s="834">
        <v>0.2</v>
      </c>
      <c r="F95" s="821">
        <v>30</v>
      </c>
    </row>
    <row r="96" spans="1:6" s="817" customFormat="1" ht="48">
      <c r="A96" s="821">
        <v>36</v>
      </c>
      <c r="B96" s="3421"/>
      <c r="C96" s="757" t="s">
        <v>687</v>
      </c>
      <c r="D96" s="757" t="s">
        <v>688</v>
      </c>
      <c r="E96" s="834">
        <v>0.2</v>
      </c>
      <c r="F96" s="821">
        <v>30</v>
      </c>
    </row>
    <row r="97" spans="1:6" s="817" customFormat="1" ht="36">
      <c r="A97" s="821">
        <v>37</v>
      </c>
      <c r="B97" s="3421"/>
      <c r="C97" s="821" t="s">
        <v>689</v>
      </c>
      <c r="D97" s="757" t="s">
        <v>690</v>
      </c>
      <c r="E97" s="834">
        <v>0.2</v>
      </c>
      <c r="F97" s="821">
        <v>30</v>
      </c>
    </row>
    <row r="98" spans="1:6" s="817" customFormat="1" ht="36">
      <c r="A98" s="821">
        <v>38</v>
      </c>
      <c r="B98" s="3421"/>
      <c r="C98" s="821" t="s">
        <v>691</v>
      </c>
      <c r="D98" s="757" t="s">
        <v>692</v>
      </c>
      <c r="E98" s="834">
        <v>0.2</v>
      </c>
      <c r="F98" s="821">
        <v>30</v>
      </c>
    </row>
    <row r="99" spans="1:6" s="817" customFormat="1" ht="36">
      <c r="A99" s="821">
        <v>39</v>
      </c>
      <c r="B99" s="3421" t="s">
        <v>693</v>
      </c>
      <c r="C99" s="821" t="s">
        <v>694</v>
      </c>
      <c r="D99" s="757" t="s">
        <v>695</v>
      </c>
      <c r="E99" s="834">
        <v>0.3</v>
      </c>
      <c r="F99" s="821">
        <v>50</v>
      </c>
    </row>
    <row r="100" spans="1:6" s="817" customFormat="1" ht="24">
      <c r="A100" s="821">
        <v>40</v>
      </c>
      <c r="B100" s="3421"/>
      <c r="C100" s="821" t="s">
        <v>696</v>
      </c>
      <c r="D100" s="757" t="s">
        <v>697</v>
      </c>
      <c r="E100" s="834">
        <v>0.2</v>
      </c>
      <c r="F100" s="821">
        <v>30</v>
      </c>
    </row>
    <row r="101" spans="1:6" s="817" customFormat="1" ht="36">
      <c r="A101" s="821">
        <v>41</v>
      </c>
      <c r="B101" s="342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1" t="s">
        <v>708</v>
      </c>
      <c r="C105" s="821" t="s">
        <v>709</v>
      </c>
      <c r="D105" s="757" t="s">
        <v>710</v>
      </c>
      <c r="E105" s="834">
        <v>0.2</v>
      </c>
      <c r="F105" s="821">
        <v>30</v>
      </c>
    </row>
    <row r="106" spans="1:6" s="817" customFormat="1" ht="36">
      <c r="A106" s="821">
        <v>46</v>
      </c>
      <c r="B106" s="3421"/>
      <c r="C106" s="821" t="s">
        <v>711</v>
      </c>
      <c r="D106" s="757" t="s">
        <v>712</v>
      </c>
      <c r="E106" s="834">
        <v>0.2</v>
      </c>
      <c r="F106" s="821">
        <v>30</v>
      </c>
    </row>
    <row r="107" spans="1:6" s="817" customFormat="1" ht="36">
      <c r="A107" s="821">
        <v>47</v>
      </c>
      <c r="B107" s="3421" t="s">
        <v>713</v>
      </c>
      <c r="C107" s="821" t="s">
        <v>714</v>
      </c>
      <c r="D107" s="757" t="s">
        <v>715</v>
      </c>
      <c r="E107" s="834">
        <v>0.3</v>
      </c>
      <c r="F107" s="821">
        <v>50</v>
      </c>
    </row>
    <row r="108" spans="1:6" s="817" customFormat="1" ht="36">
      <c r="A108" s="821">
        <v>48</v>
      </c>
      <c r="B108" s="342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1" t="s">
        <v>724</v>
      </c>
      <c r="C111" s="821" t="s">
        <v>725</v>
      </c>
      <c r="D111" s="757" t="s">
        <v>726</v>
      </c>
      <c r="E111" s="834">
        <v>0.2</v>
      </c>
      <c r="F111" s="821">
        <v>30</v>
      </c>
    </row>
    <row r="112" spans="1:6" s="817" customFormat="1" ht="24">
      <c r="A112" s="821">
        <v>52</v>
      </c>
      <c r="B112" s="3421"/>
      <c r="C112" s="821" t="s">
        <v>727</v>
      </c>
      <c r="D112" s="757" t="s">
        <v>728</v>
      </c>
      <c r="E112" s="834">
        <v>0.2</v>
      </c>
      <c r="F112" s="821">
        <v>30</v>
      </c>
    </row>
    <row r="113" spans="1:6" s="817" customFormat="1" ht="24">
      <c r="A113" s="821">
        <v>53</v>
      </c>
      <c r="B113" s="342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1" t="s">
        <v>737</v>
      </c>
      <c r="C116" s="821" t="s">
        <v>738</v>
      </c>
      <c r="D116" s="757" t="s">
        <v>739</v>
      </c>
      <c r="E116" s="834">
        <v>0.2</v>
      </c>
      <c r="F116" s="821">
        <v>30</v>
      </c>
    </row>
    <row r="117" spans="1:6" ht="36">
      <c r="A117" s="821">
        <v>57</v>
      </c>
      <c r="B117" s="342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2820</v>
      </c>
      <c r="B1" s="2363"/>
      <c r="C1" s="2363"/>
      <c r="D1" s="2363"/>
      <c r="E1" s="2363"/>
      <c r="F1" s="3021"/>
      <c r="G1" s="3021"/>
      <c r="H1" s="3021"/>
      <c r="I1" s="3021"/>
      <c r="J1" s="3021"/>
      <c r="K1" s="3021"/>
      <c r="L1" s="3021"/>
      <c r="M1" s="3021"/>
      <c r="N1" s="3021"/>
      <c r="O1" s="3021"/>
      <c r="P1" s="3021"/>
    </row>
    <row r="2" spans="1:16" ht="15.75">
      <c r="A2" s="2361" t="s">
        <v>2812</v>
      </c>
      <c r="B2" s="2825" t="e">
        <f ca="1">SUMIF(B6:B13,"&lt;&gt;#ref!",B6:B13)</f>
        <v>#DIV/0!</v>
      </c>
      <c r="C2" s="2361" t="s">
        <v>2813</v>
      </c>
      <c r="D2" s="2361" t="s">
        <v>2814</v>
      </c>
      <c r="E2" s="2835">
        <f ca="1">SUMIF(E6:E13,"&lt;&gt;#ref!",E6:E13)</f>
        <v>0</v>
      </c>
      <c r="F2" s="3021"/>
      <c r="G2" s="3021"/>
      <c r="H2" s="3021"/>
      <c r="I2" s="3021"/>
      <c r="J2" s="3021"/>
      <c r="K2" s="3021"/>
      <c r="L2" s="3021"/>
      <c r="M2" s="3021"/>
      <c r="N2" s="3021"/>
      <c r="O2" s="3021"/>
      <c r="P2" s="3021"/>
    </row>
    <row r="3" spans="1:16" ht="15.75">
      <c r="A3" s="2361" t="s">
        <v>2815</v>
      </c>
      <c r="B3" s="2825" t="e">
        <f ca="1">ROUND(B2*10000/E2,0)</f>
        <v>#DIV/0!</v>
      </c>
      <c r="C3" s="2361" t="s">
        <v>2821</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2816</v>
      </c>
      <c r="B5" s="2833" t="s">
        <v>2817</v>
      </c>
      <c r="C5" s="2362"/>
      <c r="D5" s="3021"/>
      <c r="E5" s="2834" t="s">
        <v>2818</v>
      </c>
      <c r="F5" s="3021"/>
      <c r="G5" s="3021"/>
      <c r="H5" s="3021"/>
      <c r="I5" s="3021"/>
      <c r="J5" s="3021"/>
      <c r="K5" s="3021"/>
      <c r="L5" s="3021"/>
      <c r="M5" s="3021"/>
      <c r="N5" s="3021"/>
      <c r="O5" s="3021"/>
      <c r="P5" s="3021"/>
    </row>
    <row r="6" spans="1:16" ht="15.75">
      <c r="A6" s="2832" t="s">
        <v>2819</v>
      </c>
      <c r="B6" s="2825" t="e">
        <f ca="1">SUMIF(INDIRECT("'"&amp;A6&amp;"'"&amp;"!A:A"),"总价",INDIRECT("'"&amp;A6&amp;"'"&amp;"!B:B"))</f>
        <v>#DIV/0!</v>
      </c>
      <c r="C6" s="2361" t="s">
        <v>2813</v>
      </c>
      <c r="D6" s="3021"/>
      <c r="E6" s="2835">
        <f ca="1">SUMIF(INDIRECT("'"&amp;A6&amp;"'"&amp;"!C:C"),"建筑面积",INDIRECT("'"&amp;A6&amp;"'"&amp;"!D:D"))</f>
        <v>0</v>
      </c>
      <c r="F6" s="3021"/>
      <c r="G6" s="3021"/>
      <c r="H6" s="3021"/>
      <c r="I6" s="3021"/>
      <c r="J6" s="3021"/>
      <c r="K6" s="3021"/>
      <c r="L6" s="3021"/>
      <c r="M6" s="3021"/>
      <c r="N6" s="3021"/>
      <c r="O6" s="3021"/>
      <c r="P6" s="3021"/>
    </row>
    <row r="7" spans="1:16" ht="15.75">
      <c r="A7" s="2832"/>
      <c r="B7" s="2825" t="e">
        <f ca="1">SUMIF(INDIRECT("'"&amp;A7&amp;"'"&amp;"!A:A"),"总价",INDIRECT("'"&amp;A7&amp;"'"&amp;"!B:B"))</f>
        <v>#REF!</v>
      </c>
      <c r="C7" s="2361" t="s">
        <v>2813</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61" t="s">
        <v>2813</v>
      </c>
      <c r="D8" s="3021"/>
      <c r="E8" s="2835" t="e">
        <f t="shared" ca="1" si="0"/>
        <v>#REF!</v>
      </c>
      <c r="F8" s="3021"/>
      <c r="G8" s="3021"/>
      <c r="H8" s="3021"/>
      <c r="I8" s="3021"/>
      <c r="J8" s="3021"/>
      <c r="K8" s="3021"/>
      <c r="L8" s="3021"/>
      <c r="M8" s="3021"/>
      <c r="N8" s="3021"/>
      <c r="O8" s="3021"/>
      <c r="P8" s="3021"/>
    </row>
    <row r="9" spans="1:16" ht="15.75">
      <c r="A9" s="2832"/>
      <c r="B9" s="2825" t="e">
        <f t="shared" ca="1" si="1"/>
        <v>#REF!</v>
      </c>
      <c r="C9" s="2361" t="s">
        <v>2813</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61" t="s">
        <v>2813</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61" t="s">
        <v>2813</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61" t="s">
        <v>2813</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61" t="s">
        <v>2813</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27" t="s">
        <v>1117</v>
      </c>
      <c r="C1" s="3427"/>
      <c r="D1" s="3427"/>
      <c r="E1" s="3427"/>
      <c r="F1" s="3427"/>
      <c r="G1" s="3423" t="s">
        <v>1118</v>
      </c>
      <c r="H1" s="3423"/>
      <c r="I1" s="3423"/>
      <c r="J1" s="3423"/>
      <c r="K1" s="3423"/>
      <c r="L1" s="3423"/>
      <c r="N1" s="3423" t="s">
        <v>1119</v>
      </c>
      <c r="O1" s="3423"/>
      <c r="P1" s="3423"/>
      <c r="Q1" s="3423"/>
      <c r="S1" s="3423" t="s">
        <v>1120</v>
      </c>
      <c r="T1" s="3423"/>
      <c r="U1" s="3423"/>
      <c r="V1" s="3423"/>
      <c r="X1" s="3422" t="s">
        <v>1121</v>
      </c>
      <c r="Y1" s="3423"/>
      <c r="Z1" s="3423"/>
      <c r="AA1" s="3423"/>
      <c r="AB1" s="3423"/>
      <c r="AD1" s="3422" t="s">
        <v>1122</v>
      </c>
      <c r="AE1" s="3423"/>
      <c r="AF1" s="3423"/>
      <c r="AG1" s="3423"/>
      <c r="AH1" s="3423"/>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2852</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3060</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1">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2853</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3059</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1">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3056</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0">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3055</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7">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2869</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2867</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2866</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2865</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2863</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2861</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2864</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425">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2859</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425"/>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2858</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425"/>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2851</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432"/>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2849</v>
      </c>
      <c r="B19" s="2438">
        <v>439</v>
      </c>
      <c r="C19" s="2438">
        <v>327</v>
      </c>
      <c r="D19" s="2438">
        <f>C19</f>
        <v>327</v>
      </c>
      <c r="E19" s="2438">
        <v>627</v>
      </c>
      <c r="F19" s="2439">
        <v>283</v>
      </c>
      <c r="G19" s="3428">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2850</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425"/>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425"/>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432"/>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428">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425"/>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425"/>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426"/>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424">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425"/>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425"/>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426"/>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424">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425"/>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425"/>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426"/>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429">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430"/>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430"/>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431"/>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424">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425"/>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425"/>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426"/>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424">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425">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425">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426">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424">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425">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425">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426">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424">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425">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425">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426">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424">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425">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425">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426">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424">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425">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425">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426">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424">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425">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425">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426">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424">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425">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425">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426">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424">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425">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425">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426">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424">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425">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425">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426">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424">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425">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425">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426">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8"/>
      <c r="C2" s="3108"/>
      <c r="D2" s="3108"/>
      <c r="E2" s="3108"/>
    </row>
    <row r="3" spans="1:5" ht="18">
      <c r="A3" s="3109" t="str">
        <f>IF(项目基本情况!B9="房地产市场价值","估价结果一览表（市场价值不需“结果表-1”）","估价结果一览表")</f>
        <v>估价结果一览表</v>
      </c>
      <c r="B3" s="3109"/>
      <c r="C3" s="3109"/>
      <c r="D3" s="3109"/>
      <c r="E3" s="3109"/>
    </row>
    <row r="4" spans="1:5" ht="19.5" thickBot="1">
      <c r="A4" s="1678"/>
      <c r="B4" s="3107" t="s">
        <v>1595</v>
      </c>
      <c r="C4" s="3107"/>
      <c r="D4" s="3107"/>
      <c r="E4" s="1678"/>
    </row>
    <row r="5" spans="1:5" ht="16.5" thickTop="1">
      <c r="A5" s="1676"/>
      <c r="B5" s="3105" t="s">
        <v>1587</v>
      </c>
      <c r="C5" s="1679" t="s">
        <v>1588</v>
      </c>
      <c r="D5" s="959">
        <f ca="1">结果表!H101</f>
        <v>4779</v>
      </c>
      <c r="E5" s="1676"/>
    </row>
    <row r="6" spans="1:5" ht="15.75">
      <c r="A6" s="1676"/>
      <c r="B6" s="3105"/>
      <c r="C6" s="1679" t="s">
        <v>1589</v>
      </c>
      <c r="D6" s="959" t="str">
        <f ca="1">NUMBERSTRING(INT(D5*10000),2)&amp;"元整"</f>
        <v>肆仟柒佰柒拾玖万元整</v>
      </c>
      <c r="E6" s="1676"/>
    </row>
    <row r="7" spans="1:5" ht="15.75">
      <c r="A7" s="1676"/>
      <c r="B7" s="3110"/>
      <c r="C7" s="1680" t="s">
        <v>1590</v>
      </c>
      <c r="D7" s="960">
        <f ca="1">结果表!H102</f>
        <v>41856</v>
      </c>
      <c r="E7" s="1676"/>
    </row>
    <row r="8" spans="1:5" ht="15.75">
      <c r="A8" s="1676"/>
      <c r="B8" s="3111" t="str">
        <f>结果表!E103</f>
        <v>2.估价师知悉的法定优先受偿款</v>
      </c>
      <c r="C8" s="1681" t="s">
        <v>1591</v>
      </c>
      <c r="D8" s="960">
        <f>结果表!H103</f>
        <v>0</v>
      </c>
      <c r="E8" s="1676"/>
    </row>
    <row r="9" spans="1:5" ht="15.75">
      <c r="A9" s="1676"/>
      <c r="B9" s="3113"/>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104" t="str">
        <f>结果表!E107</f>
        <v>3.房地产抵押价值</v>
      </c>
      <c r="C13" s="1684" t="s">
        <v>1588</v>
      </c>
      <c r="D13" s="962">
        <f ca="1">结果表!H107</f>
        <v>4779</v>
      </c>
      <c r="E13" s="1676"/>
    </row>
    <row r="14" spans="1:5" ht="15.75">
      <c r="A14" s="1676"/>
      <c r="B14" s="3105"/>
      <c r="C14" s="1679" t="s">
        <v>1589</v>
      </c>
      <c r="D14" s="959" t="str">
        <f ca="1">NUMBERSTRING(INT(D13*10000),2)&amp;"元整"</f>
        <v>肆仟柒佰柒拾玖万元整</v>
      </c>
      <c r="E14" s="1676"/>
    </row>
    <row r="15" spans="1:5" ht="15">
      <c r="A15" s="1676"/>
      <c r="B15" s="3110"/>
      <c r="C15" s="1680" t="s">
        <v>1599</v>
      </c>
      <c r="D15" s="968">
        <f ca="1">结果表!H108</f>
        <v>41856</v>
      </c>
      <c r="E15" s="1676"/>
    </row>
    <row r="16" spans="1:5" ht="15">
      <c r="A16" s="1676"/>
      <c r="B16" s="3111" t="str">
        <f>结果表!E109</f>
        <v>——</v>
      </c>
      <c r="C16" s="1684" t="s">
        <v>1600</v>
      </c>
      <c r="D16" s="1685" t="str">
        <f>结果表!H109</f>
        <v>——</v>
      </c>
      <c r="E16" s="1676"/>
    </row>
    <row r="17" spans="1:5" ht="15.75">
      <c r="A17" s="1676"/>
      <c r="B17" s="3112"/>
      <c r="C17" s="1679" t="s">
        <v>1601</v>
      </c>
      <c r="D17" s="959" t="e">
        <f>NUMBERSTRING(INT(D16*10000),2)&amp;"元整"</f>
        <v>#VALUE!</v>
      </c>
      <c r="E17" s="1676"/>
    </row>
    <row r="18" spans="1:5" ht="15">
      <c r="A18" s="1676"/>
      <c r="B18" s="3113"/>
      <c r="C18" s="1680" t="s">
        <v>1590</v>
      </c>
      <c r="D18" s="968" t="str">
        <f>结果表!H110</f>
        <v>——</v>
      </c>
      <c r="E18" s="1676"/>
    </row>
    <row r="19" spans="1:5" ht="15.75">
      <c r="A19" s="1676"/>
      <c r="B19" s="3104" t="str">
        <f>结果表!E111</f>
        <v>——</v>
      </c>
      <c r="C19" s="1684" t="s">
        <v>1588</v>
      </c>
      <c r="D19" s="960" t="str">
        <f>结果表!H111</f>
        <v>——</v>
      </c>
      <c r="E19" s="1676"/>
    </row>
    <row r="20" spans="1:5" ht="15.75">
      <c r="A20" s="1676"/>
      <c r="B20" s="3105"/>
      <c r="C20" s="1679" t="s">
        <v>1601</v>
      </c>
      <c r="D20" s="959" t="e">
        <f>NUMBERSTRING(INT(D19*10000),2)&amp;"元整"</f>
        <v>#VALUE!</v>
      </c>
      <c r="E20" s="1676"/>
    </row>
    <row r="21" spans="1:5" ht="15.75" thickBot="1">
      <c r="A21" s="1676"/>
      <c r="B21" s="3106"/>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8" zoomScale="80" zoomScaleNormal="70" zoomScaleSheetLayoutView="80" workbookViewId="0">
      <selection activeCell="I42" sqref="I42"/>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2346</v>
      </c>
      <c r="B1" s="2143" t="s">
        <v>2504</v>
      </c>
      <c r="C1" s="1392" t="s">
        <v>2348</v>
      </c>
      <c r="D1" s="1393" t="s">
        <v>3085</v>
      </c>
      <c r="E1" s="1402"/>
      <c r="F1" s="2065" t="s">
        <v>3151</v>
      </c>
      <c r="G1" s="1403" t="s">
        <v>2350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1359</v>
      </c>
      <c r="B2" s="1326">
        <f>IF(C2="——",ROUND(C50*D3/10000,0),ROUND(C50*D3/10000,0)-D2)</f>
        <v>0</v>
      </c>
      <c r="C2" s="2067" t="s">
        <v>70</v>
      </c>
      <c r="D2" s="1275" t="e">
        <f ca="1">SUMIF(INDIRECT("'"&amp;F2&amp;"'"&amp;"!A:A"),"承租人权益价值",INDIRECT("'"&amp;F2&amp;"'"&amp;"!c:c"))</f>
        <v>#REF!</v>
      </c>
      <c r="E2" s="2068" t="s">
        <v>2146</v>
      </c>
      <c r="F2" s="2069"/>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1360</v>
      </c>
      <c r="B3" s="566">
        <f>IF(C2="——",C50,ROUND(B2*10000/D3,0))</f>
        <v>7.3</v>
      </c>
      <c r="C3" s="360" t="s">
        <v>2352</v>
      </c>
      <c r="D3" s="359">
        <f>IF(D1="",'数据-汇总表'!E3,SUMIF('数据-汇总表'!$C19:$C33,D1,'数据-汇总表'!$E19:$E33))</f>
        <v>103.53</v>
      </c>
      <c r="E3" s="2140"/>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61" t="s">
        <v>2353</v>
      </c>
      <c r="B4" s="362"/>
      <c r="C4" s="3341" t="s">
        <v>2354</v>
      </c>
      <c r="D4" s="3342"/>
      <c r="E4" s="3343" t="s">
        <v>2355</v>
      </c>
      <c r="F4" s="3344"/>
      <c r="G4" s="3341" t="s">
        <v>2356</v>
      </c>
      <c r="H4" s="3342"/>
      <c r="I4" s="3341" t="s">
        <v>2357</v>
      </c>
      <c r="J4" s="3342"/>
      <c r="K4" s="567" t="s">
        <v>2358</v>
      </c>
      <c r="L4" s="2941"/>
      <c r="M4" s="2942"/>
      <c r="N4" s="2942"/>
      <c r="O4" s="2942"/>
      <c r="P4" s="3376" t="s">
        <v>2359</v>
      </c>
      <c r="Q4" s="3377"/>
      <c r="R4" s="3370" t="s">
        <v>2355</v>
      </c>
      <c r="S4" s="3371"/>
      <c r="T4" s="3370" t="s">
        <v>2356</v>
      </c>
      <c r="U4" s="3371"/>
      <c r="V4" s="3380" t="s">
        <v>2357</v>
      </c>
      <c r="W4" s="3380"/>
      <c r="X4" s="3081"/>
      <c r="Y4" s="3370" t="s">
        <v>2359</v>
      </c>
      <c r="Z4" s="3371"/>
      <c r="AA4" s="3369" t="s">
        <v>2355</v>
      </c>
      <c r="AB4" s="3369" t="s">
        <v>2356</v>
      </c>
      <c r="AC4" s="3373" t="s">
        <v>2357</v>
      </c>
    </row>
    <row r="5" spans="1:29" ht="15">
      <c r="A5" s="364"/>
      <c r="B5" s="365"/>
      <c r="C5" s="3334" t="s">
        <v>2360</v>
      </c>
      <c r="D5" s="3335"/>
      <c r="E5" s="3334" t="s">
        <v>3119</v>
      </c>
      <c r="F5" s="3335"/>
      <c r="G5" s="3334" t="s">
        <v>3119</v>
      </c>
      <c r="H5" s="3335"/>
      <c r="I5" s="3334" t="s">
        <v>3119</v>
      </c>
      <c r="J5" s="3335"/>
      <c r="K5" s="567"/>
      <c r="L5" s="2941"/>
      <c r="M5" s="2942"/>
      <c r="N5" s="2942"/>
      <c r="O5" s="2942"/>
      <c r="P5" s="3378"/>
      <c r="Q5" s="3348"/>
      <c r="R5" s="3330"/>
      <c r="S5" s="3331"/>
      <c r="T5" s="3330"/>
      <c r="U5" s="3331"/>
      <c r="V5" s="3353"/>
      <c r="W5" s="3353"/>
      <c r="X5" s="3076"/>
      <c r="Y5" s="3330"/>
      <c r="Z5" s="3331"/>
      <c r="AA5" s="3324"/>
      <c r="AB5" s="3324"/>
      <c r="AC5" s="3374"/>
    </row>
    <row r="6" spans="1:29" ht="15.75" thickBot="1">
      <c r="A6" s="366"/>
      <c r="B6" s="367"/>
      <c r="C6" s="3336" t="s">
        <v>2364</v>
      </c>
      <c r="D6" s="3337"/>
      <c r="E6" s="3338" t="s">
        <v>2364</v>
      </c>
      <c r="F6" s="3339"/>
      <c r="G6" s="3336" t="s">
        <v>2364</v>
      </c>
      <c r="H6" s="3337"/>
      <c r="I6" s="3336" t="s">
        <v>2364</v>
      </c>
      <c r="J6" s="3337"/>
      <c r="K6" s="567" t="s">
        <v>2365</v>
      </c>
      <c r="L6" s="2941"/>
      <c r="M6" s="2942"/>
      <c r="N6" s="2942"/>
      <c r="O6" s="2942"/>
      <c r="P6" s="3379"/>
      <c r="Q6" s="3350"/>
      <c r="R6" s="3330"/>
      <c r="S6" s="3331"/>
      <c r="T6" s="3351"/>
      <c r="U6" s="3352"/>
      <c r="V6" s="3353"/>
      <c r="W6" s="3353"/>
      <c r="X6" s="3076"/>
      <c r="Y6" s="3351"/>
      <c r="Z6" s="3352"/>
      <c r="AA6" s="3325"/>
      <c r="AB6" s="3325"/>
      <c r="AC6" s="3375"/>
    </row>
    <row r="7" spans="1:29" s="113" customFormat="1" ht="15.75" thickBot="1">
      <c r="A7" s="368" t="s">
        <v>2366</v>
      </c>
      <c r="B7" s="369"/>
      <c r="C7" s="370">
        <f>'数据-取费表'!B2</f>
        <v>44370</v>
      </c>
      <c r="D7" s="371">
        <v>100</v>
      </c>
      <c r="E7" s="372">
        <f>C7</f>
        <v>44370</v>
      </c>
      <c r="F7" s="373">
        <f>SUMIF(59:59,YEAR(E7)&amp;"-"&amp;MONTH(E7),60:60)</f>
        <v>100</v>
      </c>
      <c r="G7" s="372">
        <f>C7</f>
        <v>44370</v>
      </c>
      <c r="H7" s="371">
        <f>SUMIF(59:59,YEAR(G7)&amp;"-"&amp;MONTH(G7),60:60)</f>
        <v>100</v>
      </c>
      <c r="I7" s="372">
        <f>C7</f>
        <v>44370</v>
      </c>
      <c r="J7" s="371">
        <f>SUMIF(59:59,YEAR(I7)&amp;"-"&amp;MONTH(I7),60:60)</f>
        <v>100</v>
      </c>
      <c r="K7" s="568"/>
      <c r="L7" s="2943"/>
      <c r="M7" s="2944"/>
      <c r="N7" s="2944"/>
      <c r="O7" s="2944"/>
      <c r="P7" s="3381" t="s">
        <v>2367</v>
      </c>
      <c r="Q7" s="3354"/>
      <c r="R7" s="710" t="s">
        <v>17</v>
      </c>
      <c r="S7" s="711">
        <f t="shared" ref="S7:S15" si="0">F7</f>
        <v>100</v>
      </c>
      <c r="T7" s="710" t="s">
        <v>17</v>
      </c>
      <c r="U7" s="711">
        <f t="shared" ref="U7:U15" si="1">H7</f>
        <v>100</v>
      </c>
      <c r="V7" s="710" t="s">
        <v>17</v>
      </c>
      <c r="W7" s="711">
        <f t="shared" ref="W7:W15" si="2">J7</f>
        <v>100</v>
      </c>
      <c r="X7" s="712"/>
      <c r="Y7" s="3326" t="s">
        <v>2367</v>
      </c>
      <c r="Z7" s="3327"/>
      <c r="AA7" s="713">
        <f>D7/F7</f>
        <v>1</v>
      </c>
      <c r="AB7" s="713">
        <f>D7/H7</f>
        <v>1</v>
      </c>
      <c r="AC7" s="2145">
        <f>D7/J7</f>
        <v>1</v>
      </c>
    </row>
    <row r="8" spans="1:29" s="113" customFormat="1" ht="15.75" thickBot="1">
      <c r="A8" s="368" t="s">
        <v>2368</v>
      </c>
      <c r="B8" s="369"/>
      <c r="C8" s="374" t="s">
        <v>2405</v>
      </c>
      <c r="D8" s="371">
        <v>100</v>
      </c>
      <c r="E8" s="374" t="s">
        <v>3120</v>
      </c>
      <c r="F8" s="373">
        <f>SUMIF(62:62,E8,63:63)-SUMIF(62:62,C8,63:63)+100</f>
        <v>100</v>
      </c>
      <c r="G8" s="374" t="s">
        <v>3120</v>
      </c>
      <c r="H8" s="371">
        <f>SUMIF(62:62,G8,63:63)-SUMIF(62:62,C8,63:63)+100</f>
        <v>100</v>
      </c>
      <c r="I8" s="374" t="s">
        <v>3120</v>
      </c>
      <c r="J8" s="371">
        <f>SUMIF(62:62,I8,63:63)-SUMIF(62:62,C8,63:63)+100</f>
        <v>100</v>
      </c>
      <c r="K8" s="568"/>
      <c r="L8" s="2943"/>
      <c r="M8" s="2944"/>
      <c r="N8" s="2944"/>
      <c r="O8" s="2944"/>
      <c r="P8" s="3381" t="s">
        <v>2370</v>
      </c>
      <c r="Q8" s="3327"/>
      <c r="R8" s="710" t="s">
        <v>17</v>
      </c>
      <c r="S8" s="711">
        <f t="shared" si="0"/>
        <v>100</v>
      </c>
      <c r="T8" s="710" t="s">
        <v>17</v>
      </c>
      <c r="U8" s="711">
        <f t="shared" si="1"/>
        <v>100</v>
      </c>
      <c r="V8" s="710" t="s">
        <v>17</v>
      </c>
      <c r="W8" s="711">
        <f t="shared" si="2"/>
        <v>100</v>
      </c>
      <c r="X8" s="712"/>
      <c r="Y8" s="3326" t="s">
        <v>2370</v>
      </c>
      <c r="Z8" s="3327"/>
      <c r="AA8" s="713">
        <f t="shared" ref="AA8:AA47" si="3">D8/F8</f>
        <v>1</v>
      </c>
      <c r="AB8" s="713">
        <f t="shared" ref="AB8:AB47" si="4">D8/H8</f>
        <v>1</v>
      </c>
      <c r="AC8" s="2145">
        <f t="shared" ref="AC8:AC47" si="5">D8/J8</f>
        <v>1</v>
      </c>
    </row>
    <row r="9" spans="1:29" s="113" customFormat="1">
      <c r="A9" s="375" t="s">
        <v>2371</v>
      </c>
      <c r="B9" s="67" t="s">
        <v>2372</v>
      </c>
      <c r="C9" s="3096" t="s">
        <v>3121</v>
      </c>
      <c r="D9" s="131">
        <v>100</v>
      </c>
      <c r="E9" s="379" t="s">
        <v>27</v>
      </c>
      <c r="F9" s="131">
        <f>SUMIF(64:64,E9,65:65)-SUMIF(64:64,C9,65:65)+100</f>
        <v>100</v>
      </c>
      <c r="G9" s="379" t="s">
        <v>27</v>
      </c>
      <c r="H9" s="131">
        <f>SUMIF(64:64,G9,65:65)-SUMIF(64:64,C9,65:65)+100</f>
        <v>100</v>
      </c>
      <c r="I9" s="379" t="s">
        <v>27</v>
      </c>
      <c r="J9" s="131">
        <f>SUMIF(64:64,I9,65:65)-SUMIF(64:64,C9,65:65)+100</f>
        <v>100</v>
      </c>
      <c r="K9" s="568"/>
      <c r="L9" s="2943"/>
      <c r="M9" s="2944"/>
      <c r="N9" s="2944"/>
      <c r="O9" s="2944"/>
      <c r="P9" s="3340" t="s">
        <v>2373</v>
      </c>
      <c r="Q9" s="3074" t="str">
        <f t="shared" ref="Q9:Q15" si="6">B9</f>
        <v>用途</v>
      </c>
      <c r="R9" s="710" t="s">
        <v>17</v>
      </c>
      <c r="S9" s="711">
        <f t="shared" si="0"/>
        <v>100</v>
      </c>
      <c r="T9" s="710" t="s">
        <v>17</v>
      </c>
      <c r="U9" s="711">
        <f t="shared" si="1"/>
        <v>100</v>
      </c>
      <c r="V9" s="710" t="s">
        <v>17</v>
      </c>
      <c r="W9" s="711">
        <f t="shared" si="2"/>
        <v>100</v>
      </c>
      <c r="X9" s="712"/>
      <c r="Y9" s="3268" t="s">
        <v>2374</v>
      </c>
      <c r="Z9" s="3058" t="str">
        <f t="shared" ref="Z9:Z15" si="7">Q9</f>
        <v>用途</v>
      </c>
      <c r="AA9" s="713">
        <f t="shared" si="3"/>
        <v>1</v>
      </c>
      <c r="AB9" s="713">
        <f t="shared" si="4"/>
        <v>1</v>
      </c>
      <c r="AC9" s="2145">
        <f t="shared" si="5"/>
        <v>1</v>
      </c>
    </row>
    <row r="10" spans="1:29" s="386" customFormat="1" ht="27">
      <c r="A10" s="380"/>
      <c r="B10" s="381" t="s">
        <v>2375</v>
      </c>
      <c r="C10" s="382" t="s">
        <v>3153</v>
      </c>
      <c r="D10" s="132">
        <v>100</v>
      </c>
      <c r="E10" s="382" t="s">
        <v>3153</v>
      </c>
      <c r="F10" s="132">
        <f>SUMIF(66:66,E10,67:67)-SUMIF(66:66,C10,67:67)+100</f>
        <v>100</v>
      </c>
      <c r="G10" s="383" t="s">
        <v>3153</v>
      </c>
      <c r="H10" s="132">
        <f>SUMIF(66:66,G10,67:67)-SUMIF(66:66,C10,67:67)+100</f>
        <v>100</v>
      </c>
      <c r="I10" s="382" t="s">
        <v>3153</v>
      </c>
      <c r="J10" s="132">
        <f>SUMIF(66:66,I10,67:67)-SUMIF(66:66,C10,67:67)+100</f>
        <v>100</v>
      </c>
      <c r="K10" s="569">
        <v>1</v>
      </c>
      <c r="L10" s="2945"/>
      <c r="M10" s="2946"/>
      <c r="N10" s="2946"/>
      <c r="O10" s="2946"/>
      <c r="P10" s="3340"/>
      <c r="Q10" s="3074" t="str">
        <f t="shared" si="6"/>
        <v>土地使用年限（年）</v>
      </c>
      <c r="R10" s="710" t="s">
        <v>17</v>
      </c>
      <c r="S10" s="711">
        <f t="shared" si="0"/>
        <v>100</v>
      </c>
      <c r="T10" s="710" t="s">
        <v>17</v>
      </c>
      <c r="U10" s="711">
        <f t="shared" si="1"/>
        <v>100</v>
      </c>
      <c r="V10" s="710" t="s">
        <v>17</v>
      </c>
      <c r="W10" s="711">
        <f t="shared" si="2"/>
        <v>100</v>
      </c>
      <c r="X10" s="712"/>
      <c r="Y10" s="3268"/>
      <c r="Z10" s="3058" t="str">
        <f t="shared" si="7"/>
        <v>土地使用年限（年）</v>
      </c>
      <c r="AA10" s="713">
        <f t="shared" si="3"/>
        <v>1</v>
      </c>
      <c r="AB10" s="713">
        <f t="shared" si="4"/>
        <v>1</v>
      </c>
      <c r="AC10" s="2145">
        <f t="shared" si="5"/>
        <v>1</v>
      </c>
    </row>
    <row r="11" spans="1:29" ht="15.75" thickBot="1">
      <c r="A11" s="387"/>
      <c r="B11" s="381" t="s">
        <v>2376</v>
      </c>
      <c r="C11" s="388"/>
      <c r="D11" s="132">
        <v>100</v>
      </c>
      <c r="E11" s="388"/>
      <c r="F11" s="132">
        <f>LOOKUP(E11,69:69,70:70)-LOOKUP(C11,69:69,70:70)+100</f>
        <v>100</v>
      </c>
      <c r="G11" s="389"/>
      <c r="H11" s="132">
        <f>LOOKUP(G11,69:69,70:70)-LOOKUP(C11,69:69,70:70)+100</f>
        <v>100</v>
      </c>
      <c r="I11" s="388"/>
      <c r="J11" s="132">
        <f>LOOKUP(I11,69:69,70:70)-LOOKUP(C11,69:69,70:70)+100</f>
        <v>100</v>
      </c>
      <c r="K11" s="569">
        <v>2</v>
      </c>
      <c r="L11" s="2947"/>
      <c r="M11" s="2942"/>
      <c r="N11" s="2942"/>
      <c r="O11" s="2942"/>
      <c r="P11" s="3340"/>
      <c r="Q11" s="3074" t="str">
        <f t="shared" si="6"/>
        <v>容积率</v>
      </c>
      <c r="R11" s="710" t="s">
        <v>17</v>
      </c>
      <c r="S11" s="711">
        <f t="shared" si="0"/>
        <v>100</v>
      </c>
      <c r="T11" s="710" t="s">
        <v>17</v>
      </c>
      <c r="U11" s="711">
        <f t="shared" si="1"/>
        <v>100</v>
      </c>
      <c r="V11" s="710" t="s">
        <v>17</v>
      </c>
      <c r="W11" s="711">
        <f t="shared" si="2"/>
        <v>100</v>
      </c>
      <c r="X11" s="712"/>
      <c r="Y11" s="3268"/>
      <c r="Z11" s="3058" t="str">
        <f t="shared" si="7"/>
        <v>容积率</v>
      </c>
      <c r="AA11" s="713">
        <f t="shared" si="3"/>
        <v>1</v>
      </c>
      <c r="AB11" s="713">
        <f t="shared" si="4"/>
        <v>1</v>
      </c>
      <c r="AC11" s="2145">
        <f t="shared" si="5"/>
        <v>1</v>
      </c>
    </row>
    <row r="12" spans="1:29" s="113" customFormat="1" ht="15.75" hidden="1" thickBot="1">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3"/>
      <c r="M12" s="2944"/>
      <c r="N12" s="2944"/>
      <c r="O12" s="2944"/>
      <c r="P12" s="3340"/>
      <c r="Q12" s="3074">
        <f t="shared" si="6"/>
        <v>111</v>
      </c>
      <c r="R12" s="710" t="s">
        <v>17</v>
      </c>
      <c r="S12" s="711">
        <f t="shared" si="0"/>
        <v>100</v>
      </c>
      <c r="T12" s="710" t="s">
        <v>17</v>
      </c>
      <c r="U12" s="711">
        <f t="shared" si="1"/>
        <v>100</v>
      </c>
      <c r="V12" s="710" t="s">
        <v>17</v>
      </c>
      <c r="W12" s="711">
        <f t="shared" si="2"/>
        <v>100</v>
      </c>
      <c r="X12" s="712"/>
      <c r="Y12" s="3268"/>
      <c r="Z12" s="3058">
        <f t="shared" si="7"/>
        <v>111</v>
      </c>
      <c r="AA12" s="713">
        <f>D12/F12</f>
        <v>1</v>
      </c>
      <c r="AB12" s="713">
        <f>D12/H12</f>
        <v>1</v>
      </c>
      <c r="AC12" s="2145">
        <f>D12/J12</f>
        <v>1</v>
      </c>
    </row>
    <row r="13" spans="1:29" ht="15.75" hidden="1" thickBot="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8"/>
      <c r="M13" s="2942"/>
      <c r="N13" s="2942"/>
      <c r="O13" s="2942"/>
      <c r="P13" s="3340"/>
      <c r="Q13" s="3074">
        <f t="shared" si="6"/>
        <v>111</v>
      </c>
      <c r="R13" s="710" t="s">
        <v>17</v>
      </c>
      <c r="S13" s="711">
        <f t="shared" si="0"/>
        <v>100</v>
      </c>
      <c r="T13" s="710" t="s">
        <v>17</v>
      </c>
      <c r="U13" s="711">
        <f t="shared" si="1"/>
        <v>100</v>
      </c>
      <c r="V13" s="710" t="s">
        <v>17</v>
      </c>
      <c r="W13" s="711">
        <f t="shared" si="2"/>
        <v>100</v>
      </c>
      <c r="X13" s="712"/>
      <c r="Y13" s="3268"/>
      <c r="Z13" s="3058">
        <f t="shared" si="7"/>
        <v>111</v>
      </c>
      <c r="AA13" s="713">
        <f t="shared" si="3"/>
        <v>1</v>
      </c>
      <c r="AB13" s="713">
        <f t="shared" si="4"/>
        <v>1</v>
      </c>
      <c r="AC13" s="2145">
        <f t="shared" si="5"/>
        <v>1</v>
      </c>
    </row>
    <row r="14" spans="1:29" ht="15.7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8"/>
      <c r="M14" s="2942"/>
      <c r="N14" s="2942"/>
      <c r="O14" s="2942"/>
      <c r="P14" s="3340"/>
      <c r="Q14" s="3074">
        <f t="shared" si="6"/>
        <v>111</v>
      </c>
      <c r="R14" s="710" t="s">
        <v>17</v>
      </c>
      <c r="S14" s="711">
        <f t="shared" si="0"/>
        <v>100</v>
      </c>
      <c r="T14" s="710" t="s">
        <v>17</v>
      </c>
      <c r="U14" s="711">
        <f t="shared" si="1"/>
        <v>100</v>
      </c>
      <c r="V14" s="710" t="s">
        <v>17</v>
      </c>
      <c r="W14" s="711">
        <f t="shared" si="2"/>
        <v>100</v>
      </c>
      <c r="X14" s="712"/>
      <c r="Y14" s="3268"/>
      <c r="Z14" s="3058">
        <f t="shared" si="7"/>
        <v>111</v>
      </c>
      <c r="AA14" s="713">
        <f t="shared" si="3"/>
        <v>1</v>
      </c>
      <c r="AB14" s="713">
        <f t="shared" si="4"/>
        <v>1</v>
      </c>
      <c r="AC14" s="2145">
        <f t="shared" si="5"/>
        <v>1</v>
      </c>
    </row>
    <row r="15" spans="1:29" ht="71.25">
      <c r="A15" s="399" t="s">
        <v>2377</v>
      </c>
      <c r="B15" s="585" t="s">
        <v>2505</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1.5</v>
      </c>
      <c r="L15" s="2948"/>
      <c r="M15" s="2942"/>
      <c r="N15" s="2942"/>
      <c r="O15" s="2942"/>
      <c r="P15" s="3367" t="s">
        <v>2378</v>
      </c>
      <c r="Q15" s="3079" t="str">
        <f t="shared" si="6"/>
        <v>办公集聚程度</v>
      </c>
      <c r="R15" s="714" t="s">
        <v>17</v>
      </c>
      <c r="S15" s="715">
        <f t="shared" si="0"/>
        <v>100</v>
      </c>
      <c r="T15" s="714" t="s">
        <v>17</v>
      </c>
      <c r="U15" s="715">
        <f t="shared" si="1"/>
        <v>100</v>
      </c>
      <c r="V15" s="714" t="s">
        <v>17</v>
      </c>
      <c r="W15" s="715">
        <f t="shared" si="2"/>
        <v>100</v>
      </c>
      <c r="X15" s="3076"/>
      <c r="Y15" s="3360" t="s">
        <v>2378</v>
      </c>
      <c r="Z15" s="3077" t="str">
        <f t="shared" si="7"/>
        <v>办公集聚程度</v>
      </c>
      <c r="AA15" s="3080">
        <f t="shared" si="3"/>
        <v>1</v>
      </c>
      <c r="AB15" s="3080">
        <f t="shared" si="4"/>
        <v>1</v>
      </c>
      <c r="AC15" s="2148">
        <f t="shared" si="5"/>
        <v>1</v>
      </c>
    </row>
    <row r="16" spans="1:29" ht="15">
      <c r="A16" s="387"/>
      <c r="B16" s="586"/>
      <c r="C16" s="2090" t="s">
        <v>3122</v>
      </c>
      <c r="D16" s="407"/>
      <c r="E16" s="406" t="s">
        <v>3122</v>
      </c>
      <c r="F16" s="407"/>
      <c r="G16" s="2090" t="s">
        <v>3122</v>
      </c>
      <c r="H16" s="409"/>
      <c r="I16" s="406" t="s">
        <v>3122</v>
      </c>
      <c r="J16" s="407"/>
      <c r="K16" s="572"/>
      <c r="L16" s="2948"/>
      <c r="M16" s="2942"/>
      <c r="N16" s="2942"/>
      <c r="O16" s="2942"/>
      <c r="P16" s="3368"/>
      <c r="Q16" s="3079"/>
      <c r="R16" s="714"/>
      <c r="S16" s="715"/>
      <c r="T16" s="714"/>
      <c r="U16" s="715"/>
      <c r="V16" s="714"/>
      <c r="W16" s="715"/>
      <c r="X16" s="3076"/>
      <c r="Y16" s="3361"/>
      <c r="Z16" s="3077"/>
      <c r="AA16" s="3080">
        <v>1</v>
      </c>
      <c r="AB16" s="3080">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3</v>
      </c>
      <c r="L17" s="2948"/>
      <c r="M17" s="2942"/>
      <c r="N17" s="2942"/>
      <c r="O17" s="2942"/>
      <c r="P17" s="3368"/>
      <c r="Q17" s="3079" t="str">
        <f>B17</f>
        <v>交通便捷度</v>
      </c>
      <c r="R17" s="714" t="s">
        <v>17</v>
      </c>
      <c r="S17" s="715">
        <f>F17</f>
        <v>100</v>
      </c>
      <c r="T17" s="714" t="s">
        <v>17</v>
      </c>
      <c r="U17" s="715">
        <f>H17</f>
        <v>100</v>
      </c>
      <c r="V17" s="714" t="s">
        <v>17</v>
      </c>
      <c r="W17" s="715">
        <f>J17</f>
        <v>100</v>
      </c>
      <c r="X17" s="3076"/>
      <c r="Y17" s="3361"/>
      <c r="Z17" s="3077" t="str">
        <f>Q17</f>
        <v>交通便捷度</v>
      </c>
      <c r="AA17" s="3080">
        <f t="shared" si="3"/>
        <v>1</v>
      </c>
      <c r="AB17" s="3080">
        <f t="shared" si="4"/>
        <v>1</v>
      </c>
      <c r="AC17" s="2148">
        <f t="shared" si="5"/>
        <v>1</v>
      </c>
    </row>
    <row r="18" spans="1:29" ht="15">
      <c r="A18" s="387"/>
      <c r="B18" s="588"/>
      <c r="C18" s="2150" t="s">
        <v>3123</v>
      </c>
      <c r="D18" s="409"/>
      <c r="E18" s="2150" t="s">
        <v>3123</v>
      </c>
      <c r="F18" s="409"/>
      <c r="G18" s="2150" t="s">
        <v>3123</v>
      </c>
      <c r="H18" s="407"/>
      <c r="I18" s="2150" t="s">
        <v>3123</v>
      </c>
      <c r="J18" s="407"/>
      <c r="K18" s="572"/>
      <c r="L18" s="2948"/>
      <c r="M18" s="2942"/>
      <c r="N18" s="2942"/>
      <c r="O18" s="2942"/>
      <c r="P18" s="3368"/>
      <c r="Q18" s="3079"/>
      <c r="R18" s="714"/>
      <c r="S18" s="715"/>
      <c r="T18" s="714"/>
      <c r="U18" s="715"/>
      <c r="V18" s="714"/>
      <c r="W18" s="715"/>
      <c r="X18" s="3076"/>
      <c r="Y18" s="3361"/>
      <c r="Z18" s="3077"/>
      <c r="AA18" s="3080">
        <v>1</v>
      </c>
      <c r="AB18" s="3080">
        <v>1</v>
      </c>
      <c r="AC18" s="2148">
        <v>1</v>
      </c>
    </row>
    <row r="19" spans="1:29" ht="42.75">
      <c r="A19" s="387"/>
      <c r="B19" s="587" t="s">
        <v>2506</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2.5</v>
      </c>
      <c r="L19" s="2948"/>
      <c r="M19" s="2942"/>
      <c r="N19" s="2942"/>
      <c r="O19" s="2942"/>
      <c r="P19" s="3368"/>
      <c r="Q19" s="3079" t="str">
        <f>B19</f>
        <v>公共配套设施</v>
      </c>
      <c r="R19" s="714" t="s">
        <v>17</v>
      </c>
      <c r="S19" s="715">
        <f>F19</f>
        <v>100</v>
      </c>
      <c r="T19" s="714" t="s">
        <v>17</v>
      </c>
      <c r="U19" s="715">
        <f>H19</f>
        <v>100</v>
      </c>
      <c r="V19" s="714" t="s">
        <v>17</v>
      </c>
      <c r="W19" s="715">
        <f>J19</f>
        <v>100</v>
      </c>
      <c r="X19" s="3076"/>
      <c r="Y19" s="3361"/>
      <c r="Z19" s="3077" t="str">
        <f>Q19</f>
        <v>公共配套设施</v>
      </c>
      <c r="AA19" s="3080">
        <f t="shared" si="3"/>
        <v>1</v>
      </c>
      <c r="AB19" s="3080">
        <f t="shared" si="4"/>
        <v>1</v>
      </c>
      <c r="AC19" s="2148">
        <f t="shared" si="5"/>
        <v>1</v>
      </c>
    </row>
    <row r="20" spans="1:29" ht="15">
      <c r="A20" s="387"/>
      <c r="B20" s="588"/>
      <c r="C20" s="2090" t="s">
        <v>3123</v>
      </c>
      <c r="D20" s="407"/>
      <c r="E20" s="2090" t="s">
        <v>3123</v>
      </c>
      <c r="F20" s="407"/>
      <c r="G20" s="2090" t="s">
        <v>3123</v>
      </c>
      <c r="H20" s="407"/>
      <c r="I20" s="2090" t="s">
        <v>3123</v>
      </c>
      <c r="J20" s="407"/>
      <c r="K20" s="572"/>
      <c r="L20" s="2948"/>
      <c r="M20" s="2942"/>
      <c r="N20" s="2942"/>
      <c r="O20" s="2942"/>
      <c r="P20" s="3368"/>
      <c r="Q20" s="3079"/>
      <c r="R20" s="714"/>
      <c r="S20" s="715"/>
      <c r="T20" s="714"/>
      <c r="U20" s="715"/>
      <c r="V20" s="714"/>
      <c r="W20" s="715"/>
      <c r="X20" s="3076"/>
      <c r="Y20" s="3361"/>
      <c r="Z20" s="3077"/>
      <c r="AA20" s="3080">
        <v>1</v>
      </c>
      <c r="AB20" s="3080">
        <v>1</v>
      </c>
      <c r="AC20" s="2148">
        <v>1</v>
      </c>
    </row>
    <row r="21" spans="1:29" ht="28.5">
      <c r="A21" s="387"/>
      <c r="B21" s="589" t="s">
        <v>2507</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1.5</v>
      </c>
      <c r="L21" s="2948"/>
      <c r="M21" s="2942"/>
      <c r="N21" s="2942"/>
      <c r="O21" s="2942"/>
      <c r="P21" s="3368"/>
      <c r="Q21" s="3079" t="str">
        <f>B21</f>
        <v>基础设施水平</v>
      </c>
      <c r="R21" s="714" t="s">
        <v>17</v>
      </c>
      <c r="S21" s="715">
        <f>F21</f>
        <v>100</v>
      </c>
      <c r="T21" s="714" t="s">
        <v>17</v>
      </c>
      <c r="U21" s="715">
        <f>H21</f>
        <v>100</v>
      </c>
      <c r="V21" s="714" t="s">
        <v>17</v>
      </c>
      <c r="W21" s="715">
        <f>J21</f>
        <v>100</v>
      </c>
      <c r="X21" s="3076"/>
      <c r="Y21" s="3361"/>
      <c r="Z21" s="3077" t="str">
        <f>Q21</f>
        <v>基础设施水平</v>
      </c>
      <c r="AA21" s="3080">
        <f t="shared" ref="AA21" si="8">D21/F21</f>
        <v>1</v>
      </c>
      <c r="AB21" s="3080">
        <f t="shared" ref="AB21" si="9">D21/H21</f>
        <v>1</v>
      </c>
      <c r="AC21" s="2148">
        <f t="shared" ref="AC21" si="10">D21/J21</f>
        <v>1</v>
      </c>
    </row>
    <row r="22" spans="1:29" ht="15">
      <c r="A22" s="387"/>
      <c r="B22" s="589"/>
      <c r="C22" s="2150" t="s">
        <v>3124</v>
      </c>
      <c r="D22" s="407"/>
      <c r="E22" s="2150" t="s">
        <v>3124</v>
      </c>
      <c r="F22" s="407"/>
      <c r="G22" s="2150" t="s">
        <v>3124</v>
      </c>
      <c r="H22" s="407"/>
      <c r="I22" s="2150" t="s">
        <v>3124</v>
      </c>
      <c r="J22" s="407"/>
      <c r="K22" s="1292"/>
      <c r="L22" s="2948"/>
      <c r="M22" s="2942"/>
      <c r="N22" s="2942"/>
      <c r="O22" s="2942"/>
      <c r="P22" s="3368"/>
      <c r="Q22" s="3079"/>
      <c r="R22" s="714"/>
      <c r="S22" s="715"/>
      <c r="T22" s="714"/>
      <c r="U22" s="715"/>
      <c r="V22" s="714"/>
      <c r="W22" s="715"/>
      <c r="X22" s="3076"/>
      <c r="Y22" s="3361"/>
      <c r="Z22" s="3077"/>
      <c r="AA22" s="3080">
        <v>1</v>
      </c>
      <c r="AB22" s="3080">
        <v>1</v>
      </c>
      <c r="AC22" s="2148">
        <v>1</v>
      </c>
    </row>
    <row r="23" spans="1:29" ht="42.75">
      <c r="A23" s="387"/>
      <c r="B23" s="587" t="s">
        <v>2508</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1.5</v>
      </c>
      <c r="L23" s="2948"/>
      <c r="M23" s="2942"/>
      <c r="N23" s="2942"/>
      <c r="O23" s="2942"/>
      <c r="P23" s="3368"/>
      <c r="Q23" s="3079" t="str">
        <f>B23</f>
        <v>环境质量</v>
      </c>
      <c r="R23" s="714" t="s">
        <v>17</v>
      </c>
      <c r="S23" s="715">
        <f>F23</f>
        <v>100</v>
      </c>
      <c r="T23" s="714" t="s">
        <v>17</v>
      </c>
      <c r="U23" s="715">
        <f>H23</f>
        <v>100</v>
      </c>
      <c r="V23" s="714" t="s">
        <v>17</v>
      </c>
      <c r="W23" s="715">
        <f>J23</f>
        <v>100</v>
      </c>
      <c r="X23" s="3076"/>
      <c r="Y23" s="3361"/>
      <c r="Z23" s="3077" t="str">
        <f>Q23</f>
        <v>环境质量</v>
      </c>
      <c r="AA23" s="3080">
        <f t="shared" si="3"/>
        <v>1</v>
      </c>
      <c r="AB23" s="3080">
        <f t="shared" si="4"/>
        <v>1</v>
      </c>
      <c r="AC23" s="2148">
        <f t="shared" si="5"/>
        <v>1</v>
      </c>
    </row>
    <row r="24" spans="1:29" ht="15">
      <c r="A24" s="387"/>
      <c r="B24" s="589"/>
      <c r="C24" s="2090" t="s">
        <v>3122</v>
      </c>
      <c r="D24" s="407"/>
      <c r="E24" s="2090" t="s">
        <v>3122</v>
      </c>
      <c r="F24" s="407"/>
      <c r="G24" s="2090" t="s">
        <v>3122</v>
      </c>
      <c r="H24" s="407"/>
      <c r="I24" s="2090" t="s">
        <v>3122</v>
      </c>
      <c r="J24" s="407"/>
      <c r="K24" s="572"/>
      <c r="L24" s="2948"/>
      <c r="M24" s="2942"/>
      <c r="N24" s="2942"/>
      <c r="O24" s="2942"/>
      <c r="P24" s="3368"/>
      <c r="Q24" s="3079"/>
      <c r="R24" s="714"/>
      <c r="S24" s="715"/>
      <c r="T24" s="714"/>
      <c r="U24" s="715"/>
      <c r="V24" s="714"/>
      <c r="W24" s="715"/>
      <c r="X24" s="3076"/>
      <c r="Y24" s="3361"/>
      <c r="Z24" s="3077"/>
      <c r="AA24" s="3080">
        <v>1</v>
      </c>
      <c r="AB24" s="3080">
        <v>1</v>
      </c>
      <c r="AC24" s="2148">
        <v>1</v>
      </c>
    </row>
    <row r="25" spans="1:29" ht="27">
      <c r="A25" s="364"/>
      <c r="B25" s="587" t="s">
        <v>2509</v>
      </c>
      <c r="C25" s="2094"/>
      <c r="D25" s="394">
        <v>100</v>
      </c>
      <c r="E25" s="393"/>
      <c r="F25" s="394">
        <f>SUMIF(87:87,E26,88:88)-SUMIF(87:87,C26,88:88)+100</f>
        <v>100</v>
      </c>
      <c r="G25" s="2094"/>
      <c r="H25" s="394">
        <f>SUMIF(87:87,G26,88:88)-SUMIF(87:87,C26,88:88)+100</f>
        <v>100</v>
      </c>
      <c r="I25" s="393"/>
      <c r="J25" s="394">
        <f>SUMIF(87:87,I26,88:88)-SUMIF(87:87,C26,88:88)+100</f>
        <v>100</v>
      </c>
      <c r="K25" s="571">
        <v>1.5</v>
      </c>
      <c r="L25" s="2948"/>
      <c r="M25" s="2942"/>
      <c r="N25" s="2942"/>
      <c r="O25" s="2942"/>
      <c r="P25" s="3368"/>
      <c r="Q25" s="3079" t="str">
        <f>B25</f>
        <v>毗邻道路的类型与等级</v>
      </c>
      <c r="R25" s="714" t="s">
        <v>17</v>
      </c>
      <c r="S25" s="715">
        <f>F25</f>
        <v>100</v>
      </c>
      <c r="T25" s="714" t="s">
        <v>17</v>
      </c>
      <c r="U25" s="715">
        <f>H25</f>
        <v>100</v>
      </c>
      <c r="V25" s="714" t="s">
        <v>17</v>
      </c>
      <c r="W25" s="715">
        <f>J25</f>
        <v>100</v>
      </c>
      <c r="X25" s="3076"/>
      <c r="Y25" s="3361"/>
      <c r="Z25" s="3077" t="str">
        <f>Q25</f>
        <v>毗邻道路的类型与等级</v>
      </c>
      <c r="AA25" s="3080">
        <f t="shared" si="3"/>
        <v>1</v>
      </c>
      <c r="AB25" s="3080">
        <f t="shared" si="4"/>
        <v>1</v>
      </c>
      <c r="AC25" s="2148">
        <f t="shared" si="5"/>
        <v>1</v>
      </c>
    </row>
    <row r="26" spans="1:29" ht="15">
      <c r="A26" s="364"/>
      <c r="B26" s="588"/>
      <c r="C26" s="590" t="s">
        <v>3126</v>
      </c>
      <c r="D26" s="394"/>
      <c r="E26" s="590" t="s">
        <v>3126</v>
      </c>
      <c r="F26" s="394"/>
      <c r="G26" s="590" t="s">
        <v>3126</v>
      </c>
      <c r="H26" s="394"/>
      <c r="I26" s="590" t="s">
        <v>3126</v>
      </c>
      <c r="J26" s="394"/>
      <c r="K26" s="572"/>
      <c r="L26" s="2948"/>
      <c r="M26" s="2942"/>
      <c r="N26" s="2942"/>
      <c r="O26" s="2942"/>
      <c r="P26" s="3368"/>
      <c r="Q26" s="3079"/>
      <c r="R26" s="714"/>
      <c r="S26" s="715"/>
      <c r="T26" s="714"/>
      <c r="U26" s="715"/>
      <c r="V26" s="714"/>
      <c r="W26" s="715"/>
      <c r="X26" s="3076"/>
      <c r="Y26" s="3361"/>
      <c r="Z26" s="3077"/>
      <c r="AA26" s="3080">
        <v>1</v>
      </c>
      <c r="AB26" s="3080">
        <v>1</v>
      </c>
      <c r="AC26" s="2148">
        <v>1</v>
      </c>
    </row>
    <row r="27" spans="1:29" ht="15">
      <c r="A27" s="387"/>
      <c r="B27" s="588" t="s">
        <v>2477</v>
      </c>
      <c r="C27" s="590" t="s">
        <v>3130</v>
      </c>
      <c r="D27" s="394">
        <v>100</v>
      </c>
      <c r="E27" s="573" t="s">
        <v>3130</v>
      </c>
      <c r="F27" s="394">
        <f>SUMIF(89:89,E27,90:90)-SUMIF(89:89,C27,90:90)+100</f>
        <v>100</v>
      </c>
      <c r="G27" s="590" t="s">
        <v>3130</v>
      </c>
      <c r="H27" s="394">
        <f>SUMIF(89:89,G27,90:90)-SUMIF(89:89,C27,90:90)+100</f>
        <v>100</v>
      </c>
      <c r="I27" s="573" t="s">
        <v>3131</v>
      </c>
      <c r="J27" s="394">
        <f>SUMIF(89:89,I27,90:90)-SUMIF(89:89,C27,90:90)+100</f>
        <v>98</v>
      </c>
      <c r="K27" s="569">
        <v>2</v>
      </c>
      <c r="L27" s="2948"/>
      <c r="M27" s="2942"/>
      <c r="N27" s="2942"/>
      <c r="O27" s="2942"/>
      <c r="P27" s="3368"/>
      <c r="Q27" s="3079" t="str">
        <f t="shared" ref="Q27:Q47" si="11">B27</f>
        <v>楼层</v>
      </c>
      <c r="R27" s="714" t="s">
        <v>17</v>
      </c>
      <c r="S27" s="715">
        <f>F27</f>
        <v>100</v>
      </c>
      <c r="T27" s="714" t="s">
        <v>17</v>
      </c>
      <c r="U27" s="715">
        <f>H27</f>
        <v>100</v>
      </c>
      <c r="V27" s="714" t="s">
        <v>17</v>
      </c>
      <c r="W27" s="715">
        <f>J27</f>
        <v>98</v>
      </c>
      <c r="X27" s="3076"/>
      <c r="Y27" s="3361"/>
      <c r="Z27" s="3077" t="str">
        <f>Q27</f>
        <v>楼层</v>
      </c>
      <c r="AA27" s="3080">
        <f t="shared" si="3"/>
        <v>1</v>
      </c>
      <c r="AB27" s="3080">
        <f t="shared" si="4"/>
        <v>1</v>
      </c>
      <c r="AC27" s="2148">
        <f t="shared" si="5"/>
        <v>1.0204081632653061</v>
      </c>
    </row>
    <row r="28" spans="1:29" s="113" customFormat="1" ht="15">
      <c r="A28" s="390"/>
      <c r="B28" s="587" t="s">
        <v>2510</v>
      </c>
      <c r="C28" s="2151"/>
      <c r="D28" s="421">
        <v>100</v>
      </c>
      <c r="E28" s="2142"/>
      <c r="F28" s="421">
        <f>SUMIF(91:91,E28,92:92)-SUMIF(91:91,C28,92:92)+100</f>
        <v>100</v>
      </c>
      <c r="G28" s="2151"/>
      <c r="H28" s="421">
        <f>SUMIF(91:91,G28,92:92)-SUMIF(91:91,C28,92:92)+100</f>
        <v>100</v>
      </c>
      <c r="I28" s="2142"/>
      <c r="J28" s="421">
        <f>SUMIF(91:91,I28,92:92)-SUMIF(91:91,C28,92:92)+100</f>
        <v>100</v>
      </c>
      <c r="K28" s="569"/>
      <c r="L28" s="2943"/>
      <c r="M28" s="2944"/>
      <c r="N28" s="2944"/>
      <c r="O28" s="2944"/>
      <c r="P28" s="3368"/>
      <c r="Q28" s="3074" t="str">
        <f t="shared" si="11"/>
        <v>朝向</v>
      </c>
      <c r="R28" s="710" t="s">
        <v>17</v>
      </c>
      <c r="S28" s="711">
        <f>F28</f>
        <v>100</v>
      </c>
      <c r="T28" s="710" t="s">
        <v>17</v>
      </c>
      <c r="U28" s="711">
        <f>H28</f>
        <v>100</v>
      </c>
      <c r="V28" s="710" t="s">
        <v>17</v>
      </c>
      <c r="W28" s="711">
        <f>J28</f>
        <v>100</v>
      </c>
      <c r="X28" s="712"/>
      <c r="Y28" s="3361"/>
      <c r="Z28" s="3058" t="str">
        <f>Q28</f>
        <v>朝向</v>
      </c>
      <c r="AA28" s="3080">
        <f>D28/F28</f>
        <v>1</v>
      </c>
      <c r="AB28" s="3080">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8"/>
      <c r="M29" s="2942"/>
      <c r="N29" s="2942"/>
      <c r="O29" s="2942"/>
      <c r="P29" s="3368"/>
      <c r="Q29" s="3079">
        <f t="shared" si="11"/>
        <v>111</v>
      </c>
      <c r="R29" s="714" t="s">
        <v>17</v>
      </c>
      <c r="S29" s="715">
        <f t="shared" ref="S29:S47" si="12">F29</f>
        <v>100</v>
      </c>
      <c r="T29" s="714" t="s">
        <v>17</v>
      </c>
      <c r="U29" s="715">
        <f t="shared" ref="U29:U47" si="13">H29</f>
        <v>100</v>
      </c>
      <c r="V29" s="714" t="s">
        <v>17</v>
      </c>
      <c r="W29" s="715">
        <f t="shared" ref="W29:W47" si="14">J29</f>
        <v>100</v>
      </c>
      <c r="X29" s="3076"/>
      <c r="Y29" s="3361"/>
      <c r="Z29" s="3077">
        <f t="shared" ref="Z29:Z47" si="15">Q29</f>
        <v>111</v>
      </c>
      <c r="AA29" s="3080">
        <f t="shared" si="3"/>
        <v>1</v>
      </c>
      <c r="AB29" s="3080">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8"/>
      <c r="M30" s="2942"/>
      <c r="N30" s="2942"/>
      <c r="O30" s="2942"/>
      <c r="P30" s="3368"/>
      <c r="Q30" s="3079">
        <f t="shared" si="11"/>
        <v>111</v>
      </c>
      <c r="R30" s="714" t="s">
        <v>17</v>
      </c>
      <c r="S30" s="715">
        <f t="shared" si="12"/>
        <v>100</v>
      </c>
      <c r="T30" s="714" t="s">
        <v>17</v>
      </c>
      <c r="U30" s="715">
        <f t="shared" si="13"/>
        <v>100</v>
      </c>
      <c r="V30" s="714" t="s">
        <v>17</v>
      </c>
      <c r="W30" s="715">
        <f t="shared" si="14"/>
        <v>100</v>
      </c>
      <c r="X30" s="3076"/>
      <c r="Y30" s="3361"/>
      <c r="Z30" s="3077">
        <f t="shared" si="15"/>
        <v>111</v>
      </c>
      <c r="AA30" s="3080">
        <f t="shared" si="3"/>
        <v>1</v>
      </c>
      <c r="AB30" s="3080">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8"/>
      <c r="M31" s="2942"/>
      <c r="N31" s="2942"/>
      <c r="O31" s="2942"/>
      <c r="P31" s="3368"/>
      <c r="Q31" s="3079">
        <f t="shared" si="11"/>
        <v>111</v>
      </c>
      <c r="R31" s="714" t="s">
        <v>17</v>
      </c>
      <c r="S31" s="715">
        <f t="shared" si="12"/>
        <v>100</v>
      </c>
      <c r="T31" s="714" t="s">
        <v>17</v>
      </c>
      <c r="U31" s="715">
        <f t="shared" si="13"/>
        <v>100</v>
      </c>
      <c r="V31" s="714" t="s">
        <v>17</v>
      </c>
      <c r="W31" s="715">
        <f t="shared" si="14"/>
        <v>100</v>
      </c>
      <c r="X31" s="3076"/>
      <c r="Y31" s="3361"/>
      <c r="Z31" s="3077">
        <f t="shared" si="15"/>
        <v>111</v>
      </c>
      <c r="AA31" s="3080">
        <f t="shared" si="3"/>
        <v>1</v>
      </c>
      <c r="AB31" s="3080">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8"/>
      <c r="M32" s="2942"/>
      <c r="N32" s="2942"/>
      <c r="O32" s="2942"/>
      <c r="P32" s="3368"/>
      <c r="Q32" s="3079">
        <f t="shared" si="11"/>
        <v>111</v>
      </c>
      <c r="R32" s="714" t="s">
        <v>17</v>
      </c>
      <c r="S32" s="715">
        <f t="shared" si="12"/>
        <v>100</v>
      </c>
      <c r="T32" s="714" t="s">
        <v>17</v>
      </c>
      <c r="U32" s="715">
        <f t="shared" si="13"/>
        <v>100</v>
      </c>
      <c r="V32" s="714" t="s">
        <v>17</v>
      </c>
      <c r="W32" s="715">
        <f t="shared" si="14"/>
        <v>100</v>
      </c>
      <c r="X32" s="3076"/>
      <c r="Y32" s="3361"/>
      <c r="Z32" s="3077">
        <f t="shared" si="15"/>
        <v>111</v>
      </c>
      <c r="AA32" s="3080">
        <f t="shared" si="3"/>
        <v>1</v>
      </c>
      <c r="AB32" s="3080">
        <f t="shared" si="4"/>
        <v>1</v>
      </c>
      <c r="AC32" s="2148">
        <f t="shared" si="5"/>
        <v>1</v>
      </c>
    </row>
    <row r="33" spans="1:29" ht="15">
      <c r="A33" s="399" t="s">
        <v>2381</v>
      </c>
      <c r="B33" s="67" t="s">
        <v>2511</v>
      </c>
      <c r="C33" s="2153" t="s">
        <v>3156</v>
      </c>
      <c r="D33" s="426">
        <v>100</v>
      </c>
      <c r="E33" s="2153" t="s">
        <v>3156</v>
      </c>
      <c r="F33" s="420">
        <f>SUMIF(101:101,E33,102:102)-SUMIF(101:101,C33,102:102)+100</f>
        <v>100</v>
      </c>
      <c r="G33" s="2153" t="s">
        <v>3156</v>
      </c>
      <c r="H33" s="394">
        <f>SUMIF(101:101,G33,102:102)-SUMIF(101:101,C33,102:102)+100</f>
        <v>100</v>
      </c>
      <c r="I33" s="2153" t="s">
        <v>3156</v>
      </c>
      <c r="J33" s="426">
        <f>SUMIF(101:101,I33,102:102)-SUMIF(101:101,C33,102:102)+100</f>
        <v>100</v>
      </c>
      <c r="K33" s="569">
        <v>1.5</v>
      </c>
      <c r="L33" s="2948"/>
      <c r="M33" s="2942"/>
      <c r="N33" s="2942"/>
      <c r="O33" s="2942"/>
      <c r="P33" s="3362" t="s">
        <v>2383</v>
      </c>
      <c r="Q33" s="3079" t="str">
        <f t="shared" si="11"/>
        <v>建筑类型</v>
      </c>
      <c r="R33" s="714" t="s">
        <v>17</v>
      </c>
      <c r="S33" s="715">
        <f t="shared" si="12"/>
        <v>100</v>
      </c>
      <c r="T33" s="714" t="s">
        <v>17</v>
      </c>
      <c r="U33" s="715">
        <f t="shared" si="13"/>
        <v>100</v>
      </c>
      <c r="V33" s="714" t="s">
        <v>17</v>
      </c>
      <c r="W33" s="715">
        <f t="shared" si="14"/>
        <v>100</v>
      </c>
      <c r="X33" s="3076"/>
      <c r="Y33" s="3365" t="s">
        <v>2383</v>
      </c>
      <c r="Z33" s="3077" t="str">
        <f t="shared" si="15"/>
        <v>建筑类型</v>
      </c>
      <c r="AA33" s="3080">
        <f t="shared" si="3"/>
        <v>1</v>
      </c>
      <c r="AB33" s="3080">
        <f t="shared" si="4"/>
        <v>1</v>
      </c>
      <c r="AC33" s="2148">
        <f t="shared" si="5"/>
        <v>1</v>
      </c>
    </row>
    <row r="34" spans="1:29" s="430" customFormat="1" ht="15">
      <c r="A34" s="427"/>
      <c r="B34" s="381" t="s">
        <v>2384</v>
      </c>
      <c r="C34" s="428">
        <v>264000</v>
      </c>
      <c r="D34" s="132">
        <v>100</v>
      </c>
      <c r="E34" s="389">
        <f>C34</f>
        <v>264000</v>
      </c>
      <c r="F34" s="384">
        <f>LOOKUP(E34,104:104,105:105)-LOOKUP(C34,104:104,105:105)+100</f>
        <v>100</v>
      </c>
      <c r="G34" s="388">
        <f>C34</f>
        <v>264000</v>
      </c>
      <c r="H34" s="132">
        <f>LOOKUP(G34,104:104,105:105)-LOOKUP(C34,104:104,105:105)+100</f>
        <v>100</v>
      </c>
      <c r="I34" s="388">
        <f>C34</f>
        <v>264000</v>
      </c>
      <c r="J34" s="132">
        <f>LOOKUP(I34,104:104,105:105)-LOOKUP(C34,104:104,105:105)+100</f>
        <v>100</v>
      </c>
      <c r="K34" s="570"/>
      <c r="L34" s="2947"/>
      <c r="M34" s="2949"/>
      <c r="N34" s="2949"/>
      <c r="O34" s="2949"/>
      <c r="P34" s="3363"/>
      <c r="Q34" s="716" t="str">
        <f t="shared" si="11"/>
        <v>项目建筑规模</v>
      </c>
      <c r="R34" s="717" t="s">
        <v>17</v>
      </c>
      <c r="S34" s="718">
        <f t="shared" si="12"/>
        <v>100</v>
      </c>
      <c r="T34" s="717" t="s">
        <v>17</v>
      </c>
      <c r="U34" s="718">
        <f t="shared" si="13"/>
        <v>100</v>
      </c>
      <c r="V34" s="717" t="s">
        <v>17</v>
      </c>
      <c r="W34" s="718">
        <f t="shared" si="14"/>
        <v>100</v>
      </c>
      <c r="X34" s="719"/>
      <c r="Y34" s="3365"/>
      <c r="Z34" s="720" t="str">
        <f t="shared" si="15"/>
        <v>项目建筑规模</v>
      </c>
      <c r="AA34" s="3080">
        <f t="shared" si="3"/>
        <v>1</v>
      </c>
      <c r="AB34" s="3080">
        <f t="shared" si="4"/>
        <v>1</v>
      </c>
      <c r="AC34" s="2148">
        <f t="shared" si="5"/>
        <v>1</v>
      </c>
    </row>
    <row r="35" spans="1:29" ht="15">
      <c r="A35" s="431"/>
      <c r="B35" s="381" t="s">
        <v>2385</v>
      </c>
      <c r="C35" s="419" t="s">
        <v>3114</v>
      </c>
      <c r="D35" s="394">
        <v>100</v>
      </c>
      <c r="E35" s="419" t="s">
        <v>3114</v>
      </c>
      <c r="F35" s="420">
        <f>SUMIF(106:106,E35,107:107)-SUMIF(106:106,C35,107:107)+100</f>
        <v>100</v>
      </c>
      <c r="G35" s="419" t="s">
        <v>3114</v>
      </c>
      <c r="H35" s="394">
        <f>SUMIF(106:106,G35,107:107)-SUMIF(106:106,C35,107:107)+100</f>
        <v>100</v>
      </c>
      <c r="I35" s="419" t="s">
        <v>3114</v>
      </c>
      <c r="J35" s="394">
        <f>SUMIF(106:106,I35,107:107)-SUMIF(106:106,C35,107:107)+100</f>
        <v>100</v>
      </c>
      <c r="K35" s="569">
        <v>2</v>
      </c>
      <c r="L35" s="2948"/>
      <c r="M35" s="2942"/>
      <c r="N35" s="2942"/>
      <c r="O35" s="2942"/>
      <c r="P35" s="3363"/>
      <c r="Q35" s="3079" t="str">
        <f t="shared" si="11"/>
        <v>建筑结构</v>
      </c>
      <c r="R35" s="714" t="s">
        <v>17</v>
      </c>
      <c r="S35" s="715">
        <f t="shared" si="12"/>
        <v>100</v>
      </c>
      <c r="T35" s="714" t="s">
        <v>17</v>
      </c>
      <c r="U35" s="715">
        <f t="shared" si="13"/>
        <v>100</v>
      </c>
      <c r="V35" s="714" t="s">
        <v>17</v>
      </c>
      <c r="W35" s="715">
        <f t="shared" si="14"/>
        <v>100</v>
      </c>
      <c r="X35" s="3076"/>
      <c r="Y35" s="3365"/>
      <c r="Z35" s="3077" t="str">
        <f t="shared" si="15"/>
        <v>建筑结构</v>
      </c>
      <c r="AA35" s="3080">
        <f t="shared" si="3"/>
        <v>1</v>
      </c>
      <c r="AB35" s="3080">
        <f t="shared" si="4"/>
        <v>1</v>
      </c>
      <c r="AC35" s="2148">
        <f t="shared" si="5"/>
        <v>1</v>
      </c>
    </row>
    <row r="36" spans="1:29" ht="15">
      <c r="A36" s="431"/>
      <c r="B36" s="381" t="s">
        <v>2479</v>
      </c>
      <c r="C36" s="419" t="s">
        <v>3134</v>
      </c>
      <c r="D36" s="394">
        <v>100</v>
      </c>
      <c r="E36" s="419" t="s">
        <v>3134</v>
      </c>
      <c r="F36" s="420">
        <f>SUMIF(108:108,E36,109:109)-SUMIF(108:108,C36,109:109)+100</f>
        <v>100</v>
      </c>
      <c r="G36" s="419" t="s">
        <v>3134</v>
      </c>
      <c r="H36" s="394">
        <f>SUMIF(108:108,G36,109:109)-SUMIF(108:108,C36,109:109)+100</f>
        <v>100</v>
      </c>
      <c r="I36" s="419" t="s">
        <v>3134</v>
      </c>
      <c r="J36" s="394">
        <f>SUMIF(108:108,I36,109:109)-SUMIF(108:108,C36,109:109)+100</f>
        <v>100</v>
      </c>
      <c r="K36" s="569">
        <v>2</v>
      </c>
      <c r="L36" s="2948"/>
      <c r="M36" s="2942"/>
      <c r="N36" s="2942"/>
      <c r="O36" s="2942"/>
      <c r="P36" s="3363"/>
      <c r="Q36" s="3079" t="str">
        <f t="shared" si="11"/>
        <v>公共部分装修</v>
      </c>
      <c r="R36" s="714" t="s">
        <v>17</v>
      </c>
      <c r="S36" s="715">
        <f t="shared" si="12"/>
        <v>100</v>
      </c>
      <c r="T36" s="714" t="s">
        <v>17</v>
      </c>
      <c r="U36" s="715">
        <f t="shared" si="13"/>
        <v>100</v>
      </c>
      <c r="V36" s="714" t="s">
        <v>17</v>
      </c>
      <c r="W36" s="715">
        <f t="shared" si="14"/>
        <v>100</v>
      </c>
      <c r="X36" s="3076"/>
      <c r="Y36" s="3365"/>
      <c r="Z36" s="3077" t="str">
        <f t="shared" si="15"/>
        <v>公共部分装修</v>
      </c>
      <c r="AA36" s="3080">
        <f t="shared" si="3"/>
        <v>1</v>
      </c>
      <c r="AB36" s="3080">
        <f t="shared" si="4"/>
        <v>1</v>
      </c>
      <c r="AC36" s="2148">
        <f t="shared" si="5"/>
        <v>1</v>
      </c>
    </row>
    <row r="37" spans="1:29" ht="15">
      <c r="A37" s="431"/>
      <c r="B37" s="381" t="s">
        <v>2480</v>
      </c>
      <c r="C37" s="433">
        <f>'数据-取费表'!N6</f>
        <v>0.79</v>
      </c>
      <c r="D37" s="394">
        <v>100</v>
      </c>
      <c r="E37" s="433">
        <f>C37</f>
        <v>0.79</v>
      </c>
      <c r="F37" s="420">
        <f>LOOKUP(E37,111:111,112:112)-LOOKUP(C37,111:111,112:112)+100</f>
        <v>100</v>
      </c>
      <c r="G37" s="433">
        <f>C37</f>
        <v>0.79</v>
      </c>
      <c r="H37" s="420">
        <f>LOOKUP(G37,111:111,112:112)-LOOKUP(C37,111:111,112:112)+100</f>
        <v>100</v>
      </c>
      <c r="I37" s="433">
        <f>C37</f>
        <v>0.79</v>
      </c>
      <c r="J37" s="394">
        <f>LOOKUP(I37,111:111,112:112)-LOOKUP(C37,111:111,112:112)+100</f>
        <v>100</v>
      </c>
      <c r="K37" s="569">
        <v>2</v>
      </c>
      <c r="L37" s="2948"/>
      <c r="M37" s="2942"/>
      <c r="N37" s="2942"/>
      <c r="O37" s="2942"/>
      <c r="P37" s="3363"/>
      <c r="Q37" s="3079" t="str">
        <f t="shared" si="11"/>
        <v>成新度</v>
      </c>
      <c r="R37" s="714" t="s">
        <v>17</v>
      </c>
      <c r="S37" s="715">
        <f t="shared" si="12"/>
        <v>100</v>
      </c>
      <c r="T37" s="714" t="s">
        <v>17</v>
      </c>
      <c r="U37" s="715">
        <f t="shared" si="13"/>
        <v>100</v>
      </c>
      <c r="V37" s="714" t="s">
        <v>17</v>
      </c>
      <c r="W37" s="715">
        <f t="shared" si="14"/>
        <v>100</v>
      </c>
      <c r="X37" s="3076"/>
      <c r="Y37" s="3365"/>
      <c r="Z37" s="3077" t="str">
        <f t="shared" si="15"/>
        <v>成新度</v>
      </c>
      <c r="AA37" s="3080">
        <f t="shared" si="3"/>
        <v>1</v>
      </c>
      <c r="AB37" s="3080">
        <f t="shared" si="4"/>
        <v>1</v>
      </c>
      <c r="AC37" s="2148">
        <f t="shared" si="5"/>
        <v>1</v>
      </c>
    </row>
    <row r="38" spans="1:29" s="113" customFormat="1" ht="15">
      <c r="A38" s="432"/>
      <c r="B38" s="381" t="s">
        <v>2512</v>
      </c>
      <c r="C38" s="419" t="s">
        <v>3139</v>
      </c>
      <c r="D38" s="132">
        <v>100</v>
      </c>
      <c r="E38" s="419" t="s">
        <v>3139</v>
      </c>
      <c r="F38" s="420">
        <f>SUMIF(113:113,E38,114:114)-SUMIF(113:113,C38,114:114)+100</f>
        <v>100</v>
      </c>
      <c r="G38" s="419" t="s">
        <v>3139</v>
      </c>
      <c r="H38" s="394">
        <f>SUMIF(113:113,G38,114:114)-SUMIF(113:113,C38,114:114)+100</f>
        <v>100</v>
      </c>
      <c r="I38" s="419" t="s">
        <v>3139</v>
      </c>
      <c r="J38" s="394">
        <f>SUMIF(113:113,I38,114:114)-SUMIF(113:113,C38,114:114)+100</f>
        <v>100</v>
      </c>
      <c r="K38" s="569">
        <v>4</v>
      </c>
      <c r="L38" s="2943"/>
      <c r="M38" s="2944"/>
      <c r="N38" s="2944"/>
      <c r="O38" s="2944"/>
      <c r="P38" s="3363"/>
      <c r="Q38" s="3074" t="str">
        <f t="shared" si="11"/>
        <v>写字楼等级</v>
      </c>
      <c r="R38" s="710" t="s">
        <v>17</v>
      </c>
      <c r="S38" s="711">
        <f t="shared" si="12"/>
        <v>100</v>
      </c>
      <c r="T38" s="710" t="s">
        <v>17</v>
      </c>
      <c r="U38" s="711">
        <f t="shared" si="13"/>
        <v>100</v>
      </c>
      <c r="V38" s="710" t="s">
        <v>17</v>
      </c>
      <c r="W38" s="711">
        <f t="shared" si="14"/>
        <v>100</v>
      </c>
      <c r="X38" s="712"/>
      <c r="Y38" s="3365"/>
      <c r="Z38" s="3058" t="str">
        <f t="shared" si="15"/>
        <v>写字楼等级</v>
      </c>
      <c r="AA38" s="713">
        <f t="shared" si="3"/>
        <v>1</v>
      </c>
      <c r="AB38" s="713">
        <f t="shared" si="4"/>
        <v>1</v>
      </c>
      <c r="AC38" s="2145">
        <f t="shared" si="5"/>
        <v>1</v>
      </c>
    </row>
    <row r="39" spans="1:29" ht="15">
      <c r="A39" s="431"/>
      <c r="B39" s="381" t="s">
        <v>2513</v>
      </c>
      <c r="C39" s="419" t="s">
        <v>3143</v>
      </c>
      <c r="D39" s="394">
        <v>100</v>
      </c>
      <c r="E39" s="419" t="s">
        <v>3143</v>
      </c>
      <c r="F39" s="420">
        <f>SUMIF(115:115,E39,116:116)-SUMIF(115:115,C39,116:116)+100</f>
        <v>100</v>
      </c>
      <c r="G39" s="419" t="s">
        <v>3143</v>
      </c>
      <c r="H39" s="394">
        <f>SUMIF(115:115,G39,116:116)-SUMIF(115:115,C39,116:116)+100</f>
        <v>100</v>
      </c>
      <c r="I39" s="419" t="s">
        <v>3143</v>
      </c>
      <c r="J39" s="394">
        <f>SUMIF(115:115,I39,116:116)-SUMIF(115:115,C39,116:116)+100</f>
        <v>100</v>
      </c>
      <c r="K39" s="569">
        <v>3</v>
      </c>
      <c r="L39" s="2948"/>
      <c r="M39" s="2942"/>
      <c r="N39" s="2942"/>
      <c r="O39" s="2942"/>
      <c r="P39" s="3363" t="s">
        <v>2383</v>
      </c>
      <c r="Q39" s="3079" t="str">
        <f t="shared" si="11"/>
        <v>物业管理</v>
      </c>
      <c r="R39" s="714" t="s">
        <v>17</v>
      </c>
      <c r="S39" s="715">
        <f t="shared" si="12"/>
        <v>100</v>
      </c>
      <c r="T39" s="714" t="s">
        <v>17</v>
      </c>
      <c r="U39" s="715">
        <f t="shared" si="13"/>
        <v>100</v>
      </c>
      <c r="V39" s="714" t="s">
        <v>17</v>
      </c>
      <c r="W39" s="715">
        <f t="shared" si="14"/>
        <v>100</v>
      </c>
      <c r="X39" s="3076"/>
      <c r="Y39" s="3365" t="s">
        <v>2383</v>
      </c>
      <c r="Z39" s="3077" t="str">
        <f t="shared" si="15"/>
        <v>物业管理</v>
      </c>
      <c r="AA39" s="3080">
        <f t="shared" si="3"/>
        <v>1</v>
      </c>
      <c r="AB39" s="3080">
        <f t="shared" si="4"/>
        <v>1</v>
      </c>
      <c r="AC39" s="2148">
        <f t="shared" si="5"/>
        <v>1</v>
      </c>
    </row>
    <row r="40" spans="1:29" ht="15">
      <c r="A40" s="431"/>
      <c r="B40" s="381" t="s">
        <v>2481</v>
      </c>
      <c r="C40" s="419" t="s">
        <v>3146</v>
      </c>
      <c r="D40" s="394">
        <v>100</v>
      </c>
      <c r="E40" s="419" t="s">
        <v>3146</v>
      </c>
      <c r="F40" s="420">
        <f>SUMIF(117:117,E40,118:118)-SUMIF(117:117,C40,118:118)+100</f>
        <v>100</v>
      </c>
      <c r="G40" s="419" t="s">
        <v>3146</v>
      </c>
      <c r="H40" s="394">
        <f>SUMIF(117:117,G40,118:118)-SUMIF(117:117,C40,118:118)+100</f>
        <v>100</v>
      </c>
      <c r="I40" s="419" t="s">
        <v>3146</v>
      </c>
      <c r="J40" s="394">
        <f>SUMIF(117:117,I40,118:118)-SUMIF(117:117,C40,118:118)+100</f>
        <v>100</v>
      </c>
      <c r="K40" s="569">
        <v>1</v>
      </c>
      <c r="L40" s="2948"/>
      <c r="M40" s="2942"/>
      <c r="N40" s="2942"/>
      <c r="O40" s="2942"/>
      <c r="P40" s="3363"/>
      <c r="Q40" s="3079" t="str">
        <f t="shared" si="11"/>
        <v>市政基础设施</v>
      </c>
      <c r="R40" s="714" t="s">
        <v>17</v>
      </c>
      <c r="S40" s="715">
        <f t="shared" si="12"/>
        <v>100</v>
      </c>
      <c r="T40" s="714" t="s">
        <v>17</v>
      </c>
      <c r="U40" s="715">
        <f t="shared" si="13"/>
        <v>100</v>
      </c>
      <c r="V40" s="714" t="s">
        <v>17</v>
      </c>
      <c r="W40" s="715">
        <f t="shared" si="14"/>
        <v>100</v>
      </c>
      <c r="X40" s="3076"/>
      <c r="Y40" s="3365"/>
      <c r="Z40" s="3077" t="str">
        <f t="shared" si="15"/>
        <v>市政基础设施</v>
      </c>
      <c r="AA40" s="3080">
        <f t="shared" si="3"/>
        <v>1</v>
      </c>
      <c r="AB40" s="3080">
        <f t="shared" si="4"/>
        <v>1</v>
      </c>
      <c r="AC40" s="2148">
        <f t="shared" si="5"/>
        <v>1</v>
      </c>
    </row>
    <row r="41" spans="1:29" ht="15" hidden="1">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63"/>
      <c r="Q41" s="3079" t="str">
        <f t="shared" si="11"/>
        <v>层高</v>
      </c>
      <c r="R41" s="714" t="s">
        <v>17</v>
      </c>
      <c r="S41" s="715">
        <f t="shared" si="12"/>
        <v>100</v>
      </c>
      <c r="T41" s="714" t="s">
        <v>17</v>
      </c>
      <c r="U41" s="715">
        <f t="shared" si="13"/>
        <v>100</v>
      </c>
      <c r="V41" s="714" t="s">
        <v>17</v>
      </c>
      <c r="W41" s="715">
        <f t="shared" si="14"/>
        <v>100</v>
      </c>
      <c r="X41" s="3076"/>
      <c r="Y41" s="3365"/>
      <c r="Z41" s="3077" t="str">
        <f t="shared" si="15"/>
        <v>层高</v>
      </c>
      <c r="AA41" s="3080">
        <f t="shared" si="3"/>
        <v>1</v>
      </c>
      <c r="AB41" s="3080">
        <f t="shared" si="4"/>
        <v>1</v>
      </c>
      <c r="AC41" s="2148">
        <f t="shared" si="5"/>
        <v>1</v>
      </c>
    </row>
    <row r="42" spans="1:29" s="430" customFormat="1" ht="15">
      <c r="A42" s="427"/>
      <c r="B42" s="3078" t="s">
        <v>2514</v>
      </c>
      <c r="C42" s="393" t="str">
        <f>D121</f>
        <v>100(含)-150</v>
      </c>
      <c r="D42" s="394">
        <v>100</v>
      </c>
      <c r="E42" s="393" t="str">
        <f>E121</f>
        <v>150(含)-200</v>
      </c>
      <c r="F42" s="420">
        <f>SUMIF(121:121,E42,122:122)-SUMIF(121:121,C42,122:122)+100</f>
        <v>102</v>
      </c>
      <c r="G42" s="393" t="str">
        <f>H121</f>
        <v>300(含)-500</v>
      </c>
      <c r="H42" s="394">
        <f>SUMIF(121:121,G42,122:122)-SUMIF(121:121,C42,122:122)+100</f>
        <v>104</v>
      </c>
      <c r="I42" s="393" t="str">
        <f>F121</f>
        <v>200(含)-250</v>
      </c>
      <c r="J42" s="394">
        <f>SUMIF(121:121,I42,122:122)-SUMIF(121:121,C42,122:122)+100</f>
        <v>104</v>
      </c>
      <c r="K42" s="570"/>
      <c r="L42" s="2947"/>
      <c r="M42" s="2949"/>
      <c r="N42" s="2949"/>
      <c r="O42" s="2949"/>
      <c r="P42" s="3363"/>
      <c r="Q42" s="716" t="str">
        <f t="shared" si="11"/>
        <v>单套建筑面积</v>
      </c>
      <c r="R42" s="717" t="s">
        <v>17</v>
      </c>
      <c r="S42" s="718">
        <f t="shared" si="12"/>
        <v>102</v>
      </c>
      <c r="T42" s="717" t="s">
        <v>17</v>
      </c>
      <c r="U42" s="718">
        <f t="shared" si="13"/>
        <v>104</v>
      </c>
      <c r="V42" s="717" t="s">
        <v>17</v>
      </c>
      <c r="W42" s="718">
        <f t="shared" si="14"/>
        <v>104</v>
      </c>
      <c r="X42" s="719"/>
      <c r="Y42" s="3365"/>
      <c r="Z42" s="720" t="str">
        <f t="shared" si="15"/>
        <v>单套建筑面积</v>
      </c>
      <c r="AA42" s="3080">
        <f t="shared" si="3"/>
        <v>0.98039215686274506</v>
      </c>
      <c r="AB42" s="3080">
        <f t="shared" si="4"/>
        <v>0.96153846153846156</v>
      </c>
      <c r="AC42" s="2148">
        <f t="shared" si="5"/>
        <v>0.96153846153846156</v>
      </c>
    </row>
    <row r="43" spans="1:29" ht="15">
      <c r="A43" s="431"/>
      <c r="B43" s="381" t="s">
        <v>2486</v>
      </c>
      <c r="C43" s="419" t="s">
        <v>3134</v>
      </c>
      <c r="D43" s="394">
        <v>100</v>
      </c>
      <c r="E43" s="419" t="s">
        <v>3134</v>
      </c>
      <c r="F43" s="420">
        <f>SUMIF(123:123,E43,124:124)-SUMIF(123:123,C43,124:124)+100</f>
        <v>100</v>
      </c>
      <c r="G43" s="419" t="s">
        <v>3134</v>
      </c>
      <c r="H43" s="394">
        <f>SUMIF(123:123,G43,124:124)-SUMIF(123:123,C43,124:124)+100</f>
        <v>100</v>
      </c>
      <c r="I43" s="419" t="s">
        <v>3134</v>
      </c>
      <c r="J43" s="394">
        <f>SUMIF(123:123,I43,124:124)-SUMIF(123:123,C43,124:124)+100</f>
        <v>100</v>
      </c>
      <c r="K43" s="3099">
        <v>4</v>
      </c>
      <c r="L43" s="2948"/>
      <c r="M43" s="2942"/>
      <c r="N43" s="2942"/>
      <c r="O43" s="2942"/>
      <c r="P43" s="3363"/>
      <c r="Q43" s="3079" t="str">
        <f t="shared" si="11"/>
        <v>内部装修</v>
      </c>
      <c r="R43" s="714" t="s">
        <v>17</v>
      </c>
      <c r="S43" s="715">
        <f t="shared" si="12"/>
        <v>100</v>
      </c>
      <c r="T43" s="714" t="s">
        <v>17</v>
      </c>
      <c r="U43" s="715">
        <f t="shared" si="13"/>
        <v>100</v>
      </c>
      <c r="V43" s="714" t="s">
        <v>17</v>
      </c>
      <c r="W43" s="715">
        <f t="shared" si="14"/>
        <v>100</v>
      </c>
      <c r="X43" s="3076"/>
      <c r="Y43" s="3365"/>
      <c r="Z43" s="3077" t="str">
        <f t="shared" si="15"/>
        <v>内部装修</v>
      </c>
      <c r="AA43" s="3080">
        <f t="shared" si="3"/>
        <v>1</v>
      </c>
      <c r="AB43" s="3080">
        <f t="shared" si="4"/>
        <v>1</v>
      </c>
      <c r="AC43" s="2148">
        <f t="shared" si="5"/>
        <v>1</v>
      </c>
    </row>
    <row r="44" spans="1:29" ht="15.75" thickBot="1">
      <c r="A44" s="431"/>
      <c r="B44" s="381" t="s">
        <v>2394</v>
      </c>
      <c r="C44" s="419" t="s">
        <v>3122</v>
      </c>
      <c r="D44" s="394">
        <v>100</v>
      </c>
      <c r="E44" s="419" t="s">
        <v>3122</v>
      </c>
      <c r="F44" s="420">
        <f>SUMIF(125:125,E44,126:126)-SUMIF(125:125,C44,126:126)+100</f>
        <v>100</v>
      </c>
      <c r="G44" s="419" t="s">
        <v>3122</v>
      </c>
      <c r="H44" s="394">
        <f>SUMIF(125:125,G44,126:126)-SUMIF(125:125,C44,126:126)+100</f>
        <v>100</v>
      </c>
      <c r="I44" s="419" t="s">
        <v>3122</v>
      </c>
      <c r="J44" s="394">
        <f>SUMIF(125:125,I44,126:126)-SUMIF(125:125,C44,126:126)+100</f>
        <v>100</v>
      </c>
      <c r="K44" s="569">
        <v>2</v>
      </c>
      <c r="L44" s="2948"/>
      <c r="M44" s="2942"/>
      <c r="N44" s="2942"/>
      <c r="O44" s="2942"/>
      <c r="P44" s="3363"/>
      <c r="Q44" s="3079" t="str">
        <f t="shared" si="11"/>
        <v>内部装修维护情况</v>
      </c>
      <c r="R44" s="714" t="s">
        <v>17</v>
      </c>
      <c r="S44" s="715">
        <f t="shared" si="12"/>
        <v>100</v>
      </c>
      <c r="T44" s="714" t="s">
        <v>17</v>
      </c>
      <c r="U44" s="715">
        <f t="shared" si="13"/>
        <v>100</v>
      </c>
      <c r="V44" s="714" t="s">
        <v>17</v>
      </c>
      <c r="W44" s="715">
        <f t="shared" si="14"/>
        <v>100</v>
      </c>
      <c r="X44" s="3076"/>
      <c r="Y44" s="3365"/>
      <c r="Z44" s="3077" t="str">
        <f t="shared" si="15"/>
        <v>内部装修维护情况</v>
      </c>
      <c r="AA44" s="3080">
        <f t="shared" si="3"/>
        <v>1</v>
      </c>
      <c r="AB44" s="3080">
        <f t="shared" si="4"/>
        <v>1</v>
      </c>
      <c r="AC44" s="2148">
        <f t="shared" si="5"/>
        <v>1</v>
      </c>
    </row>
    <row r="45" spans="1:29" s="113" customFormat="1" ht="15.75" hidden="1" thickBot="1">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63"/>
      <c r="Q45" s="3074">
        <f t="shared" si="11"/>
        <v>111</v>
      </c>
      <c r="R45" s="710" t="s">
        <v>17</v>
      </c>
      <c r="S45" s="711">
        <f t="shared" si="12"/>
        <v>100</v>
      </c>
      <c r="T45" s="710" t="s">
        <v>17</v>
      </c>
      <c r="U45" s="711">
        <f t="shared" si="13"/>
        <v>100</v>
      </c>
      <c r="V45" s="710" t="s">
        <v>17</v>
      </c>
      <c r="W45" s="711">
        <f t="shared" si="14"/>
        <v>100</v>
      </c>
      <c r="X45" s="712"/>
      <c r="Y45" s="3365"/>
      <c r="Z45" s="3058">
        <f t="shared" si="15"/>
        <v>111</v>
      </c>
      <c r="AA45" s="713">
        <f t="shared" si="3"/>
        <v>1</v>
      </c>
      <c r="AB45" s="713">
        <f t="shared" si="4"/>
        <v>1</v>
      </c>
      <c r="AC45" s="2145">
        <f t="shared" si="5"/>
        <v>1</v>
      </c>
    </row>
    <row r="46" spans="1:29" ht="15.75" hidden="1" thickBot="1">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63"/>
      <c r="Q46" s="3079">
        <f t="shared" si="11"/>
        <v>111</v>
      </c>
      <c r="R46" s="714" t="s">
        <v>17</v>
      </c>
      <c r="S46" s="715">
        <f t="shared" si="12"/>
        <v>100</v>
      </c>
      <c r="T46" s="714" t="s">
        <v>17</v>
      </c>
      <c r="U46" s="715">
        <f t="shared" si="13"/>
        <v>100</v>
      </c>
      <c r="V46" s="714" t="s">
        <v>17</v>
      </c>
      <c r="W46" s="715">
        <f t="shared" si="14"/>
        <v>100</v>
      </c>
      <c r="X46" s="3076"/>
      <c r="Y46" s="3365"/>
      <c r="Z46" s="3077">
        <f t="shared" si="15"/>
        <v>111</v>
      </c>
      <c r="AA46" s="3080">
        <f t="shared" si="3"/>
        <v>1</v>
      </c>
      <c r="AB46" s="3080">
        <f t="shared" si="4"/>
        <v>1</v>
      </c>
      <c r="AC46" s="2148">
        <f t="shared" si="5"/>
        <v>1</v>
      </c>
    </row>
    <row r="47" spans="1:29" ht="15.75" hidden="1"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64"/>
      <c r="Q47" s="3079">
        <f t="shared" si="11"/>
        <v>111</v>
      </c>
      <c r="R47" s="714" t="s">
        <v>17</v>
      </c>
      <c r="S47" s="715">
        <f t="shared" si="12"/>
        <v>100</v>
      </c>
      <c r="T47" s="714" t="s">
        <v>17</v>
      </c>
      <c r="U47" s="715">
        <f t="shared" si="13"/>
        <v>100</v>
      </c>
      <c r="V47" s="714" t="s">
        <v>17</v>
      </c>
      <c r="W47" s="715">
        <f t="shared" si="14"/>
        <v>100</v>
      </c>
      <c r="X47" s="3076"/>
      <c r="Y47" s="3366"/>
      <c r="Z47" s="3077">
        <f t="shared" si="15"/>
        <v>111</v>
      </c>
      <c r="AA47" s="3080">
        <f t="shared" si="3"/>
        <v>1</v>
      </c>
      <c r="AB47" s="3080">
        <f t="shared" si="4"/>
        <v>1</v>
      </c>
      <c r="AC47" s="2148">
        <f t="shared" si="5"/>
        <v>1</v>
      </c>
    </row>
    <row r="48" spans="1:29" ht="15">
      <c r="A48" s="438" t="s">
        <v>2395</v>
      </c>
      <c r="B48" s="439"/>
      <c r="C48" s="1316" t="s">
        <v>1</v>
      </c>
      <c r="D48" s="1317"/>
      <c r="E48" s="1318">
        <v>7</v>
      </c>
      <c r="F48" s="1319"/>
      <c r="G48" s="1320">
        <v>7.5</v>
      </c>
      <c r="H48" s="1321"/>
      <c r="I48" s="1318">
        <v>8</v>
      </c>
      <c r="J48" s="444"/>
      <c r="K48" s="723"/>
      <c r="L48" s="2950"/>
      <c r="M48" s="2942"/>
      <c r="N48" s="2942"/>
      <c r="O48" s="2942"/>
      <c r="P48" s="3340" t="str">
        <f>A48</f>
        <v>成交单价（元/平方米）</v>
      </c>
      <c r="Q48" s="3358"/>
      <c r="R48" s="3359">
        <f>E48</f>
        <v>7</v>
      </c>
      <c r="S48" s="3359"/>
      <c r="T48" s="3359">
        <f>G48</f>
        <v>7.5</v>
      </c>
      <c r="U48" s="3359"/>
      <c r="V48" s="3359">
        <f>I48</f>
        <v>8</v>
      </c>
      <c r="W48" s="3359"/>
      <c r="X48" s="405"/>
      <c r="Y48" s="721"/>
      <c r="Z48" s="405"/>
      <c r="AA48" s="405"/>
      <c r="AB48" s="405"/>
      <c r="AC48" s="586"/>
    </row>
    <row r="49" spans="1:29" ht="15.75" thickBot="1">
      <c r="A49" s="445" t="s">
        <v>2396</v>
      </c>
      <c r="B49" s="446"/>
      <c r="C49" s="1322">
        <f>R50</f>
        <v>7.3</v>
      </c>
      <c r="D49" s="2538" t="s">
        <v>2877</v>
      </c>
      <c r="E49" s="1323">
        <f>R49</f>
        <v>6.9</v>
      </c>
      <c r="F49" s="2539"/>
      <c r="G49" s="1322">
        <f>T49</f>
        <v>7.2</v>
      </c>
      <c r="H49" s="2539"/>
      <c r="I49" s="1323">
        <f>V49</f>
        <v>7.8</v>
      </c>
      <c r="J49" s="2539"/>
      <c r="K49" s="2541">
        <f>F49+H49+J49</f>
        <v>0</v>
      </c>
      <c r="L49" s="2950"/>
      <c r="M49" s="2942"/>
      <c r="N49" s="2942"/>
      <c r="O49" s="2942"/>
      <c r="P49" s="3340" t="str">
        <f>A49</f>
        <v>比较价值（元/平方米）</v>
      </c>
      <c r="Q49" s="3358"/>
      <c r="R49" s="3359">
        <f>IF(F1="售价",ROUND(PRODUCT(R48,AA7:AA47),0),ROUND(PRODUCT(R48,AA7:AA47),1))</f>
        <v>6.9</v>
      </c>
      <c r="S49" s="3359"/>
      <c r="T49" s="3359">
        <f>IF(F1="售价",ROUND(PRODUCT(T48,AB7:AB47),0),ROUND(PRODUCT(T48,AB7:AB47),1))</f>
        <v>7.2</v>
      </c>
      <c r="U49" s="3359"/>
      <c r="V49" s="3359">
        <f>IF(F1="售价",ROUND(PRODUCT(V48,AC7:AC47),0),ROUND(PRODUCT(V48,AC7:AC47),1))</f>
        <v>7.8</v>
      </c>
      <c r="W49" s="3359"/>
      <c r="X49" s="405"/>
      <c r="Y49" s="405"/>
      <c r="Z49" s="405"/>
      <c r="AA49" s="405"/>
      <c r="AB49" s="405"/>
      <c r="AC49" s="586"/>
    </row>
    <row r="50" spans="1:29" ht="15.75" thickBot="1">
      <c r="A50" s="449" t="s">
        <v>2397</v>
      </c>
      <c r="B50" s="450"/>
      <c r="C50" s="1325">
        <f>R50</f>
        <v>7.3</v>
      </c>
      <c r="D50" s="1325"/>
      <c r="E50" s="1325"/>
      <c r="F50" s="1325"/>
      <c r="G50" s="1325"/>
      <c r="H50" s="1325"/>
      <c r="I50" s="1325"/>
      <c r="J50" s="451"/>
      <c r="K50" s="724"/>
      <c r="L50" s="2950"/>
      <c r="M50" s="2942"/>
      <c r="N50" s="2942"/>
      <c r="O50" s="2942"/>
      <c r="P50" s="3382" t="str">
        <f>A50</f>
        <v>估价对象XX用房的比较价值（楼面单价，元/平方米）</v>
      </c>
      <c r="Q50" s="3383"/>
      <c r="R50" s="3384">
        <f>IF(F1="售价",ROUND(IF(D49="简单平均",AVERAGE(R49:V49),R49*F49+T49*H49+V49*J49),0),ROUND(IF(D49="简单平均",AVERAGE(R49:V49),R49*F49+T49*H49+V49*J49),1))</f>
        <v>7.3</v>
      </c>
      <c r="S50" s="3384"/>
      <c r="T50" s="3384"/>
      <c r="U50" s="3384"/>
      <c r="V50" s="3384"/>
      <c r="W50" s="3384"/>
      <c r="X50" s="2132"/>
      <c r="Y50" s="2132"/>
      <c r="Z50" s="2132"/>
      <c r="AA50" s="2132"/>
      <c r="AB50" s="2132"/>
      <c r="AC50" s="2133"/>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2398</v>
      </c>
      <c r="D53" s="455"/>
      <c r="E53" s="456">
        <f>IF(E48&lt;E49,E49/E48-1,E48/E49-1)</f>
        <v>1.4492753623188248E-2</v>
      </c>
      <c r="F53" s="457" t="str">
        <f>IF(OR(E53&gt;=0.3,E53&lt;=-0.3),"超过30%","")</f>
        <v/>
      </c>
      <c r="G53" s="456">
        <f>IF(G48&lt;G49,G49/G48-1,G48/G49-1)</f>
        <v>4.1666666666666741E-2</v>
      </c>
      <c r="H53" s="457" t="str">
        <f>IF(OR(G53&gt;=0.3,G53&lt;=-0.3),"超过30%","")</f>
        <v/>
      </c>
      <c r="I53" s="456">
        <f>IF(I48&lt;I49,I49/I48-1,I48/I49-1)</f>
        <v>2.5641025641025772E-2</v>
      </c>
      <c r="J53" s="457" t="str">
        <f>IF(OR(I53&gt;=0.3,I53&lt;=-0.3),"超过30%","")</f>
        <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2399</v>
      </c>
      <c r="D54" s="458"/>
      <c r="E54" s="456">
        <f>IF(E49&lt;G49,G49/E49-1,E49/G49-1)</f>
        <v>4.3478260869565188E-2</v>
      </c>
      <c r="F54" s="457" t="str">
        <f>IF(OR(E54&gt;=0.2,E54&lt;=-0.2),"超过20%","")</f>
        <v/>
      </c>
      <c r="G54" s="456">
        <f>IF(G49&lt;I49,I49/G49-1,G49/I49-1)</f>
        <v>8.3333333333333259E-2</v>
      </c>
      <c r="H54" s="457" t="str">
        <f>IF(OR(G54&gt;=0.2,G54&lt;=-0.2),"超过20%","")</f>
        <v/>
      </c>
      <c r="I54" s="456">
        <f>IF(I49&lt;E49,E49/I49-1,I49/E49-1)</f>
        <v>0.13043478260869557</v>
      </c>
      <c r="J54" s="457" t="str">
        <f>IF(OR(I54&gt;=0.2,I54&lt;=-0.2),"超过20%","")</f>
        <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2400</v>
      </c>
      <c r="D55" s="458"/>
      <c r="E55" s="456">
        <f>IF(E48&lt;G48,G48/E48-1,E48/G48-1)</f>
        <v>7.1428571428571397E-2</v>
      </c>
      <c r="F55" s="457" t="str">
        <f>IF(OR(E55&gt;=0.3,E55&lt;=-0.3),"超过30%","")</f>
        <v/>
      </c>
      <c r="G55" s="456">
        <f>IF(G48&lt;I48,I48/G48-1,G48/I48-1)</f>
        <v>6.6666666666666652E-2</v>
      </c>
      <c r="H55" s="457" t="str">
        <f>IF(OR(G55&gt;=0.3,G55&lt;=-0.3),"超过30%","")</f>
        <v/>
      </c>
      <c r="I55" s="456">
        <f>IF(I48&lt;E48,E48/I48-1,I48/E48-1)</f>
        <v>0.14285714285714279</v>
      </c>
      <c r="J55" s="457" t="str">
        <f>IF(OR(I55&gt;=0.3,I55&lt;=-0.3),"超过30%","")</f>
        <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2401</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2366</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5"/>
      <c r="Q59" s="2967"/>
      <c r="R59" s="2967"/>
      <c r="S59" s="2967"/>
      <c r="T59" s="2967"/>
      <c r="U59" s="2967"/>
      <c r="V59" s="2967"/>
      <c r="W59" s="2967"/>
      <c r="X59" s="2967"/>
      <c r="Y59" s="2967"/>
      <c r="Z59" s="2967"/>
      <c r="AA59" s="2967"/>
      <c r="AB59" s="2967"/>
      <c r="AC59" s="2967"/>
    </row>
    <row r="60" spans="1:29" s="113" customFormat="1" ht="15">
      <c r="A60" s="466"/>
      <c r="B60" s="467"/>
      <c r="C60" s="1345">
        <v>100</v>
      </c>
      <c r="D60" s="469">
        <f>C60-$C$61</f>
        <v>99.5</v>
      </c>
      <c r="E60" s="469">
        <f t="shared" ref="E60:M60" si="17">D60-$C$61</f>
        <v>99</v>
      </c>
      <c r="F60" s="469">
        <f t="shared" si="17"/>
        <v>98.5</v>
      </c>
      <c r="G60" s="469">
        <f t="shared" si="17"/>
        <v>98</v>
      </c>
      <c r="H60" s="469">
        <f t="shared" si="17"/>
        <v>97.5</v>
      </c>
      <c r="I60" s="469">
        <f t="shared" si="17"/>
        <v>97</v>
      </c>
      <c r="J60" s="469">
        <f t="shared" si="17"/>
        <v>96.5</v>
      </c>
      <c r="K60" s="469">
        <f t="shared" si="17"/>
        <v>96</v>
      </c>
      <c r="L60" s="469">
        <f t="shared" si="17"/>
        <v>95.5</v>
      </c>
      <c r="M60" s="469">
        <f t="shared" si="17"/>
        <v>95</v>
      </c>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2403</v>
      </c>
      <c r="B61" s="473"/>
      <c r="C61" s="474">
        <v>0.5</v>
      </c>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2368</v>
      </c>
      <c r="B62" s="467"/>
      <c r="C62" s="479" t="s">
        <v>2405</v>
      </c>
      <c r="D62" s="480"/>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2406</v>
      </c>
      <c r="B64" s="485" t="s">
        <v>2372</v>
      </c>
      <c r="C64" s="486" t="str">
        <f>C9</f>
        <v>办公</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2376</v>
      </c>
      <c r="C68" s="504" t="str">
        <f>C69&amp;"（含）"&amp;"-"&amp;D69</f>
        <v>0（含）-1</v>
      </c>
      <c r="D68" s="504" t="str">
        <f t="shared" ref="D68:L68" si="18">D69&amp;"（含）"&amp;"-"&amp;E69</f>
        <v>1（含）-2</v>
      </c>
      <c r="E68" s="504" t="str">
        <f t="shared" si="18"/>
        <v>2（含）-3</v>
      </c>
      <c r="F68" s="504" t="str">
        <f t="shared" si="18"/>
        <v>3（含）-4</v>
      </c>
      <c r="G68" s="504" t="str">
        <f t="shared" si="18"/>
        <v>4（含）-</v>
      </c>
      <c r="H68" s="504" t="str">
        <f t="shared" si="18"/>
        <v>（含）-</v>
      </c>
      <c r="I68" s="504" t="str">
        <f t="shared" si="18"/>
        <v>（含）-</v>
      </c>
      <c r="J68" s="504" t="str">
        <f t="shared" si="18"/>
        <v>（含）-</v>
      </c>
      <c r="K68" s="504" t="str">
        <f t="shared" si="18"/>
        <v>（含）-</v>
      </c>
      <c r="L68" s="504" t="str">
        <f t="shared" si="18"/>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v>0</v>
      </c>
      <c r="D69" s="506">
        <v>1</v>
      </c>
      <c r="E69" s="506">
        <v>2</v>
      </c>
      <c r="F69" s="506">
        <v>3</v>
      </c>
      <c r="G69" s="506">
        <v>4</v>
      </c>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9">C70-$K11</f>
        <v>98</v>
      </c>
      <c r="E70" s="501">
        <f t="shared" si="19"/>
        <v>96</v>
      </c>
      <c r="F70" s="501">
        <f t="shared" si="19"/>
        <v>94</v>
      </c>
      <c r="G70" s="501">
        <f t="shared" si="19"/>
        <v>92</v>
      </c>
      <c r="H70" s="501">
        <f t="shared" si="19"/>
        <v>90</v>
      </c>
      <c r="I70" s="501">
        <f t="shared" si="19"/>
        <v>88</v>
      </c>
      <c r="J70" s="501">
        <f t="shared" si="19"/>
        <v>86</v>
      </c>
      <c r="K70" s="501">
        <f t="shared" si="19"/>
        <v>84</v>
      </c>
      <c r="L70" s="501">
        <f t="shared" si="19"/>
        <v>82</v>
      </c>
      <c r="M70" s="502">
        <f t="shared" si="19"/>
        <v>80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2377</v>
      </c>
      <c r="B77" s="485" t="s">
        <v>2515</v>
      </c>
      <c r="C77" s="530" t="s">
        <v>2415</v>
      </c>
      <c r="D77" s="530" t="s">
        <v>2416</v>
      </c>
      <c r="E77" s="530" t="s">
        <v>2417</v>
      </c>
      <c r="F77" s="530" t="s">
        <v>2418</v>
      </c>
      <c r="G77" s="530" t="s">
        <v>2419</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98.5</v>
      </c>
      <c r="E78" s="501">
        <f>D78-$K15</f>
        <v>97</v>
      </c>
      <c r="F78" s="501">
        <f>E78-$K15</f>
        <v>95.5</v>
      </c>
      <c r="G78" s="501">
        <f>F78-$K15</f>
        <v>94</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2420</v>
      </c>
      <c r="C79" s="535" t="s">
        <v>2415</v>
      </c>
      <c r="D79" s="535" t="s">
        <v>2416</v>
      </c>
      <c r="E79" s="535" t="s">
        <v>2417</v>
      </c>
      <c r="F79" s="535" t="s">
        <v>2418</v>
      </c>
      <c r="G79" s="535" t="s">
        <v>2419</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97</v>
      </c>
      <c r="E80" s="501">
        <f>D80-$K17</f>
        <v>94</v>
      </c>
      <c r="F80" s="501">
        <f>E80-$K17</f>
        <v>91</v>
      </c>
      <c r="G80" s="501">
        <f>F80-$K17</f>
        <v>88</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2421</v>
      </c>
      <c r="C81" s="535" t="s">
        <v>2415</v>
      </c>
      <c r="D81" s="535" t="s">
        <v>2416</v>
      </c>
      <c r="E81" s="535" t="s">
        <v>2417</v>
      </c>
      <c r="F81" s="535" t="s">
        <v>2418</v>
      </c>
      <c r="G81" s="535" t="s">
        <v>2419</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97.5</v>
      </c>
      <c r="E82" s="501">
        <f>D82-$K19</f>
        <v>95</v>
      </c>
      <c r="F82" s="501">
        <f>E82-$K19</f>
        <v>92.5</v>
      </c>
      <c r="G82" s="501">
        <f>F82-$K19</f>
        <v>90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2507</v>
      </c>
      <c r="C83" s="616" t="s">
        <v>2493</v>
      </c>
      <c r="D83" s="616" t="s">
        <v>2494</v>
      </c>
      <c r="E83" s="616" t="s">
        <v>2495</v>
      </c>
      <c r="F83" s="616" t="s">
        <v>2496</v>
      </c>
      <c r="G83" s="616" t="s">
        <v>2497</v>
      </c>
      <c r="H83" s="496"/>
      <c r="I83" s="496"/>
      <c r="J83" s="496"/>
      <c r="K83" s="496"/>
      <c r="L83" s="496"/>
      <c r="M83" s="1291"/>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98.5</v>
      </c>
      <c r="E84" s="501">
        <f>D84-$K21</f>
        <v>97</v>
      </c>
      <c r="F84" s="501">
        <f>E84-$K21</f>
        <v>95.5</v>
      </c>
      <c r="G84" s="501">
        <f>F84-$K21</f>
        <v>94</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2516</v>
      </c>
      <c r="C85" s="535" t="s">
        <v>2415</v>
      </c>
      <c r="D85" s="535" t="s">
        <v>2416</v>
      </c>
      <c r="E85" s="535" t="s">
        <v>2417</v>
      </c>
      <c r="F85" s="535" t="s">
        <v>2418</v>
      </c>
      <c r="G85" s="535" t="s">
        <v>2419</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98.5</v>
      </c>
      <c r="E86" s="501">
        <f>D86-$K23</f>
        <v>97</v>
      </c>
      <c r="F86" s="501">
        <f>E86-$K23</f>
        <v>95.5</v>
      </c>
      <c r="G86" s="501">
        <f>F86-$K23</f>
        <v>94</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2517</v>
      </c>
      <c r="C87" s="511" t="s">
        <v>3125</v>
      </c>
      <c r="D87" s="511" t="s">
        <v>3126</v>
      </c>
      <c r="E87" s="511" t="s">
        <v>3127</v>
      </c>
      <c r="F87" s="511" t="s">
        <v>3128</v>
      </c>
      <c r="G87" s="511" t="s">
        <v>3129</v>
      </c>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20">C88-$K25</f>
        <v>98.5</v>
      </c>
      <c r="E88" s="501">
        <f t="shared" si="20"/>
        <v>97</v>
      </c>
      <c r="F88" s="501">
        <f t="shared" si="20"/>
        <v>95.5</v>
      </c>
      <c r="G88" s="501">
        <f t="shared" si="20"/>
        <v>94</v>
      </c>
      <c r="H88" s="501">
        <f t="shared" si="20"/>
        <v>92.5</v>
      </c>
      <c r="I88" s="501">
        <f t="shared" si="20"/>
        <v>91</v>
      </c>
      <c r="J88" s="501">
        <f t="shared" si="20"/>
        <v>89.5</v>
      </c>
      <c r="K88" s="501">
        <f t="shared" si="20"/>
        <v>88</v>
      </c>
      <c r="L88" s="501">
        <f t="shared" si="20"/>
        <v>86.5</v>
      </c>
      <c r="M88" s="501">
        <f t="shared" si="20"/>
        <v>85</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t="s">
        <v>3130</v>
      </c>
      <c r="D89" s="511" t="s">
        <v>3131</v>
      </c>
      <c r="E89" s="511" t="s">
        <v>3132</v>
      </c>
      <c r="F89" s="2113"/>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98</v>
      </c>
      <c r="E90" s="501">
        <f t="shared" ref="E90:M90" si="21">D90-$K27</f>
        <v>96</v>
      </c>
      <c r="F90" s="501">
        <f t="shared" si="21"/>
        <v>94</v>
      </c>
      <c r="G90" s="501">
        <f t="shared" si="21"/>
        <v>92</v>
      </c>
      <c r="H90" s="501">
        <f t="shared" si="21"/>
        <v>90</v>
      </c>
      <c r="I90" s="501">
        <f t="shared" si="21"/>
        <v>88</v>
      </c>
      <c r="J90" s="501">
        <f t="shared" si="21"/>
        <v>86</v>
      </c>
      <c r="K90" s="501">
        <f t="shared" si="21"/>
        <v>84</v>
      </c>
      <c r="L90" s="501">
        <f t="shared" si="21"/>
        <v>82</v>
      </c>
      <c r="M90" s="501">
        <f t="shared" si="21"/>
        <v>80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4"/>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2381</v>
      </c>
      <c r="B101" s="485" t="s">
        <v>2430</v>
      </c>
      <c r="C101" s="3102" t="s">
        <v>3158</v>
      </c>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3">C102-$K33</f>
        <v>98.5</v>
      </c>
      <c r="E102" s="501">
        <f t="shared" si="23"/>
        <v>97</v>
      </c>
      <c r="F102" s="501">
        <f t="shared" si="23"/>
        <v>95.5</v>
      </c>
      <c r="G102" s="501">
        <f t="shared" si="23"/>
        <v>94</v>
      </c>
      <c r="H102" s="501">
        <f t="shared" si="23"/>
        <v>92.5</v>
      </c>
      <c r="I102" s="501">
        <f t="shared" si="23"/>
        <v>91</v>
      </c>
      <c r="J102" s="501">
        <f t="shared" si="23"/>
        <v>89.5</v>
      </c>
      <c r="K102" s="501">
        <f t="shared" si="23"/>
        <v>88</v>
      </c>
      <c r="L102" s="501">
        <f t="shared" si="23"/>
        <v>86.5</v>
      </c>
      <c r="M102" s="502">
        <f t="shared" si="23"/>
        <v>85</v>
      </c>
      <c r="N102" s="2980"/>
      <c r="O102" s="2980"/>
      <c r="P102" s="2988"/>
      <c r="Q102" s="2965"/>
      <c r="R102" s="2951"/>
      <c r="S102" s="2951"/>
      <c r="T102" s="2951"/>
      <c r="U102" s="2951"/>
      <c r="V102" s="2951"/>
      <c r="W102" s="2951"/>
      <c r="X102" s="2951"/>
      <c r="Y102" s="2951"/>
      <c r="Z102" s="2951"/>
      <c r="AA102" s="2951"/>
      <c r="AB102" s="2951"/>
      <c r="AC102" s="2951"/>
    </row>
    <row r="103" spans="1:29" ht="29.25" thickTop="1">
      <c r="A103" s="491"/>
      <c r="B103" s="495" t="s">
        <v>2431</v>
      </c>
      <c r="C103" s="535" t="str">
        <f>C104&amp;"(含)"&amp;"-"&amp;D104</f>
        <v>100(含)-500</v>
      </c>
      <c r="D103" s="535" t="str">
        <f t="shared" ref="D103:L103" si="24">D104&amp;"(含)"&amp;"-"&amp;E104</f>
        <v>500(含)-2000</v>
      </c>
      <c r="E103" s="535" t="str">
        <f t="shared" si="24"/>
        <v>2000(含)-5000</v>
      </c>
      <c r="F103" s="535" t="str">
        <f t="shared" si="24"/>
        <v>5000(含)-10000</v>
      </c>
      <c r="G103" s="535" t="str">
        <f t="shared" si="24"/>
        <v>10000(含)-15000</v>
      </c>
      <c r="H103" s="535" t="str">
        <f t="shared" si="24"/>
        <v>15000(含)-</v>
      </c>
      <c r="I103" s="535" t="str">
        <f t="shared" si="24"/>
        <v>(含)-</v>
      </c>
      <c r="J103" s="535" t="str">
        <f t="shared" si="24"/>
        <v>(含)-</v>
      </c>
      <c r="K103" s="535" t="str">
        <f t="shared" si="24"/>
        <v>(含)-</v>
      </c>
      <c r="L103" s="535" t="str">
        <f t="shared" si="24"/>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v>100</v>
      </c>
      <c r="D104" s="552">
        <v>500</v>
      </c>
      <c r="E104" s="552">
        <v>2000</v>
      </c>
      <c r="F104" s="552">
        <v>5000</v>
      </c>
      <c r="G104" s="552">
        <v>10000</v>
      </c>
      <c r="H104" s="552">
        <v>15000</v>
      </c>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v>100</v>
      </c>
      <c r="D105" s="493">
        <v>102</v>
      </c>
      <c r="E105" s="493">
        <v>104</v>
      </c>
      <c r="F105" s="493">
        <v>106</v>
      </c>
      <c r="G105" s="493">
        <v>108</v>
      </c>
      <c r="H105" s="493">
        <v>110</v>
      </c>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2432</v>
      </c>
      <c r="C106" s="511" t="s">
        <v>3114</v>
      </c>
      <c r="D106" s="511" t="s">
        <v>3133</v>
      </c>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2434</v>
      </c>
      <c r="C108" s="3097" t="s">
        <v>3135</v>
      </c>
      <c r="D108" s="3097" t="s">
        <v>3136</v>
      </c>
      <c r="E108" s="3097" t="s">
        <v>3137</v>
      </c>
      <c r="F108" s="3098" t="s">
        <v>3138</v>
      </c>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102</v>
      </c>
      <c r="E112" s="501">
        <f t="shared" ref="E112:M112" si="27">D112+$K37</f>
        <v>104</v>
      </c>
      <c r="F112" s="501">
        <f t="shared" si="27"/>
        <v>106</v>
      </c>
      <c r="G112" s="501">
        <f t="shared" si="27"/>
        <v>108</v>
      </c>
      <c r="H112" s="501">
        <f t="shared" si="27"/>
        <v>110</v>
      </c>
      <c r="I112" s="501">
        <f t="shared" si="27"/>
        <v>112</v>
      </c>
      <c r="J112" s="501">
        <f t="shared" si="27"/>
        <v>114</v>
      </c>
      <c r="K112" s="501">
        <f t="shared" si="27"/>
        <v>116</v>
      </c>
      <c r="L112" s="501">
        <f t="shared" si="27"/>
        <v>118</v>
      </c>
      <c r="M112" s="501">
        <f t="shared" si="27"/>
        <v>120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2518</v>
      </c>
      <c r="C113" s="511" t="s">
        <v>3139</v>
      </c>
      <c r="D113" s="511" t="s">
        <v>3140</v>
      </c>
      <c r="E113" s="511" t="s">
        <v>3141</v>
      </c>
      <c r="F113" s="511" t="s">
        <v>3142</v>
      </c>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96</v>
      </c>
      <c r="E114" s="501">
        <f t="shared" ref="E114:M114" si="28">D114-$K38</f>
        <v>92</v>
      </c>
      <c r="F114" s="501">
        <f t="shared" si="28"/>
        <v>88</v>
      </c>
      <c r="G114" s="501">
        <f t="shared" si="28"/>
        <v>84</v>
      </c>
      <c r="H114" s="501">
        <f t="shared" si="28"/>
        <v>80</v>
      </c>
      <c r="I114" s="501">
        <f t="shared" si="28"/>
        <v>76</v>
      </c>
      <c r="J114" s="501">
        <f t="shared" si="28"/>
        <v>72</v>
      </c>
      <c r="K114" s="501">
        <f t="shared" si="28"/>
        <v>68</v>
      </c>
      <c r="L114" s="501">
        <f t="shared" si="28"/>
        <v>64</v>
      </c>
      <c r="M114" s="501">
        <f t="shared" si="28"/>
        <v>60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2435</v>
      </c>
      <c r="C115" s="511" t="s">
        <v>3143</v>
      </c>
      <c r="D115" s="511" t="s">
        <v>3144</v>
      </c>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9">C116-$K39</f>
        <v>97</v>
      </c>
      <c r="E116" s="501">
        <f t="shared" si="29"/>
        <v>94</v>
      </c>
      <c r="F116" s="501">
        <f t="shared" si="29"/>
        <v>91</v>
      </c>
      <c r="G116" s="501">
        <f t="shared" si="29"/>
        <v>88</v>
      </c>
      <c r="H116" s="501">
        <f t="shared" si="29"/>
        <v>85</v>
      </c>
      <c r="I116" s="501">
        <f t="shared" si="29"/>
        <v>82</v>
      </c>
      <c r="J116" s="501">
        <f t="shared" si="29"/>
        <v>79</v>
      </c>
      <c r="K116" s="501">
        <f t="shared" si="29"/>
        <v>76</v>
      </c>
      <c r="L116" s="501">
        <f t="shared" si="29"/>
        <v>73</v>
      </c>
      <c r="M116" s="502">
        <f t="shared" si="29"/>
        <v>70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2436</v>
      </c>
      <c r="C117" s="511" t="s">
        <v>3124</v>
      </c>
      <c r="D117" s="511" t="s">
        <v>3145</v>
      </c>
      <c r="E117" s="511" t="s">
        <v>3146</v>
      </c>
      <c r="F117" s="511" t="s">
        <v>3147</v>
      </c>
      <c r="G117" s="3097" t="s">
        <v>3148</v>
      </c>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2519</v>
      </c>
      <c r="C119" s="540" t="s">
        <v>3149</v>
      </c>
      <c r="D119" s="540" t="s">
        <v>3150</v>
      </c>
      <c r="E119" s="540"/>
      <c r="F119" s="540"/>
      <c r="G119" s="540"/>
      <c r="H119" s="540"/>
      <c r="I119" s="540"/>
      <c r="J119" s="540"/>
      <c r="K119" s="540"/>
      <c r="L119" s="2154"/>
      <c r="M119" s="2155"/>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2502</v>
      </c>
      <c r="C121" s="511" t="str">
        <f>[1]典型户型修正!C2</f>
        <v>0(含)-100</v>
      </c>
      <c r="D121" s="511" t="str">
        <f>[1]典型户型修正!D2</f>
        <v>100(含)-150</v>
      </c>
      <c r="E121" s="511" t="str">
        <f>[1]典型户型修正!E2</f>
        <v>150(含)-200</v>
      </c>
      <c r="F121" s="511" t="str">
        <f>[1]典型户型修正!F2</f>
        <v>200(含)-250</v>
      </c>
      <c r="G121" s="511" t="str">
        <f>[1]典型户型修正!G2</f>
        <v>250(含)-300</v>
      </c>
      <c r="H121" s="511" t="str">
        <f>[1]典型户型修正!H2</f>
        <v>300(含)-500</v>
      </c>
      <c r="I121" s="511" t="str">
        <f>[1]典型户型修正!I2</f>
        <v>500(含)-750</v>
      </c>
      <c r="J121" s="511" t="str">
        <f>[1]典型户型修正!J2</f>
        <v>750(含)-1000</v>
      </c>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f>[1]典型户型修正!C4</f>
        <v>92</v>
      </c>
      <c r="D122" s="517">
        <f>[1]典型户型修正!D4</f>
        <v>94</v>
      </c>
      <c r="E122" s="517">
        <f>[1]典型户型修正!E4</f>
        <v>96</v>
      </c>
      <c r="F122" s="517">
        <f>[1]典型户型修正!F4</f>
        <v>98</v>
      </c>
      <c r="G122" s="517">
        <f>[1]典型户型修正!G4</f>
        <v>100</v>
      </c>
      <c r="H122" s="517">
        <f>[1]典型户型修正!H4</f>
        <v>98</v>
      </c>
      <c r="I122" s="517">
        <f>[1]典型户型修正!I4</f>
        <v>96</v>
      </c>
      <c r="J122" s="517">
        <f>[1]典型户型修正!J4</f>
        <v>94</v>
      </c>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2438</v>
      </c>
      <c r="C123" s="3097" t="s">
        <v>3135</v>
      </c>
      <c r="D123" s="3097" t="s">
        <v>3136</v>
      </c>
      <c r="E123" s="3097" t="s">
        <v>3137</v>
      </c>
      <c r="F123" s="3098" t="s">
        <v>3138</v>
      </c>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1">C124-$K43</f>
        <v>96</v>
      </c>
      <c r="E124" s="501">
        <f t="shared" si="31"/>
        <v>92</v>
      </c>
      <c r="F124" s="501">
        <f t="shared" si="31"/>
        <v>88</v>
      </c>
      <c r="G124" s="501">
        <f t="shared" si="31"/>
        <v>84</v>
      </c>
      <c r="H124" s="501">
        <f t="shared" si="31"/>
        <v>80</v>
      </c>
      <c r="I124" s="501">
        <f t="shared" si="31"/>
        <v>76</v>
      </c>
      <c r="J124" s="501">
        <f t="shared" si="31"/>
        <v>72</v>
      </c>
      <c r="K124" s="501">
        <f t="shared" si="31"/>
        <v>68</v>
      </c>
      <c r="L124" s="501">
        <f t="shared" si="31"/>
        <v>64</v>
      </c>
      <c r="M124" s="502">
        <f t="shared" si="31"/>
        <v>60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4"/>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0" type="noConversion"/>
  <conditionalFormatting sqref="F53 H53">
    <cfRule type="containsText" dxfId="20" priority="20" stopIfTrue="1" operator="containsText" text="超过">
      <formula>NOT(ISERROR(SEARCH("超过",F53)))</formula>
    </cfRule>
  </conditionalFormatting>
  <conditionalFormatting sqref="H55">
    <cfRule type="containsText" dxfId="19" priority="19" stopIfTrue="1" operator="containsText" text="超过">
      <formula>NOT(ISERROR(SEARCH("超过",H55)))</formula>
    </cfRule>
  </conditionalFormatting>
  <conditionalFormatting sqref="F55">
    <cfRule type="containsText" dxfId="18" priority="18" stopIfTrue="1" operator="containsText" text="超过">
      <formula>NOT(ISERROR(SEARCH("超过",F55)))</formula>
    </cfRule>
  </conditionalFormatting>
  <conditionalFormatting sqref="F54 H54">
    <cfRule type="containsText" dxfId="17" priority="17" stopIfTrue="1" operator="containsText" text="超过">
      <formula>NOT(ISERROR(SEARCH("超过",F54)))</formula>
    </cfRule>
  </conditionalFormatting>
  <conditionalFormatting sqref="E53">
    <cfRule type="expression" dxfId="16" priority="16" stopIfTrue="1">
      <formula>$F$53="超过30%"</formula>
    </cfRule>
  </conditionalFormatting>
  <conditionalFormatting sqref="E54">
    <cfRule type="expression" dxfId="15" priority="15" stopIfTrue="1">
      <formula>$F$54="超过20%"</formula>
    </cfRule>
  </conditionalFormatting>
  <conditionalFormatting sqref="E55">
    <cfRule type="expression" dxfId="14" priority="14" stopIfTrue="1">
      <formula>$F$55="超过30%"</formula>
    </cfRule>
  </conditionalFormatting>
  <conditionalFormatting sqref="G55">
    <cfRule type="expression" dxfId="13" priority="13" stopIfTrue="1">
      <formula>$H$55="超过30%"</formula>
    </cfRule>
  </conditionalFormatting>
  <conditionalFormatting sqref="G53">
    <cfRule type="expression" dxfId="12" priority="12" stopIfTrue="1">
      <formula>$H$53="超过30%"</formula>
    </cfRule>
  </conditionalFormatting>
  <conditionalFormatting sqref="G54">
    <cfRule type="expression" dxfId="11" priority="11" stopIfTrue="1">
      <formula>$H$54="超过20%"</formula>
    </cfRule>
  </conditionalFormatting>
  <conditionalFormatting sqref="J53">
    <cfRule type="containsText" dxfId="10" priority="10" stopIfTrue="1" operator="containsText" text="超过">
      <formula>NOT(ISERROR(SEARCH("超过",J53)))</formula>
    </cfRule>
  </conditionalFormatting>
  <conditionalFormatting sqref="J55">
    <cfRule type="containsText" dxfId="9" priority="9" stopIfTrue="1" operator="containsText" text="超过">
      <formula>NOT(ISERROR(SEARCH("超过",J55)))</formula>
    </cfRule>
  </conditionalFormatting>
  <conditionalFormatting sqref="J54">
    <cfRule type="containsText" dxfId="8" priority="8" stopIfTrue="1" operator="containsText" text="超过">
      <formula>NOT(ISERROR(SEARCH("超过",J54)))</formula>
    </cfRule>
  </conditionalFormatting>
  <conditionalFormatting sqref="I53">
    <cfRule type="expression" dxfId="7" priority="7" stopIfTrue="1">
      <formula>$J$53="超过30%"</formula>
    </cfRule>
  </conditionalFormatting>
  <conditionalFormatting sqref="I54">
    <cfRule type="expression" dxfId="6" priority="6" stopIfTrue="1">
      <formula>$J$53+$J$54="超过20%"</formula>
    </cfRule>
  </conditionalFormatting>
  <conditionalFormatting sqref="I55">
    <cfRule type="expression" dxfId="5" priority="5" stopIfTrue="1">
      <formula>$J$55="超过30%"</formula>
    </cfRule>
  </conditionalFormatting>
  <conditionalFormatting sqref="F49">
    <cfRule type="expression" dxfId="4" priority="4">
      <formula>$D$49="简单平均"</formula>
    </cfRule>
  </conditionalFormatting>
  <conditionalFormatting sqref="H49">
    <cfRule type="expression" dxfId="3" priority="3">
      <formula>$D$49="简单平均"</formula>
    </cfRule>
  </conditionalFormatting>
  <conditionalFormatting sqref="J49">
    <cfRule type="expression" dxfId="2" priority="2">
      <formula>$D$49="简单平均"</formula>
    </cfRule>
  </conditionalFormatting>
  <conditionalFormatting sqref="F7:F47 H7:H47 J7:J47">
    <cfRule type="cellIs" dxfId="1"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36" t="s">
        <v>2823</v>
      </c>
      <c r="D1" s="3437"/>
      <c r="E1" s="3437"/>
      <c r="F1" s="3437"/>
      <c r="G1" s="3437"/>
      <c r="H1" s="3437"/>
      <c r="I1" s="3437"/>
      <c r="J1" s="3437"/>
      <c r="K1" s="3437"/>
      <c r="L1" s="3437"/>
      <c r="M1" s="3437"/>
      <c r="N1" s="3437"/>
      <c r="O1" s="3437"/>
      <c r="P1" s="3437"/>
      <c r="Q1" s="3437"/>
      <c r="R1" s="3437"/>
      <c r="S1" s="3438"/>
      <c r="T1" s="1114" t="s">
        <v>2824</v>
      </c>
    </row>
    <row r="2" spans="1:45" s="663" customFormat="1" ht="38.25">
      <c r="A2" s="1115"/>
      <c r="B2" s="659" t="s">
        <v>2825</v>
      </c>
      <c r="C2" s="660" t="str">
        <f t="shared" ref="C2:L2" si="0">C3&amp;"(含)"&amp;"-"&amp;D3</f>
        <v>0(含)-100</v>
      </c>
      <c r="D2" s="661" t="str">
        <f t="shared" si="0"/>
        <v>100(含)-150</v>
      </c>
      <c r="E2" s="661" t="str">
        <f t="shared" si="0"/>
        <v>150(含)-200</v>
      </c>
      <c r="F2" s="661" t="str">
        <f t="shared" si="0"/>
        <v>200(含)-250</v>
      </c>
      <c r="G2" s="661" t="str">
        <f t="shared" si="0"/>
        <v>250(含)-300</v>
      </c>
      <c r="H2" s="661" t="str">
        <f t="shared" si="0"/>
        <v>300(含)-500</v>
      </c>
      <c r="I2" s="661" t="str">
        <f t="shared" si="0"/>
        <v>500(含)-750</v>
      </c>
      <c r="J2" s="661" t="str">
        <f t="shared" si="0"/>
        <v>750(含)-1000</v>
      </c>
      <c r="K2" s="661" t="str">
        <f t="shared" si="0"/>
        <v>1000(含)-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v>
      </c>
      <c r="E3" s="666">
        <v>150</v>
      </c>
      <c r="F3" s="1473">
        <v>200</v>
      </c>
      <c r="G3" s="1473">
        <v>250</v>
      </c>
      <c r="H3" s="1473">
        <v>300</v>
      </c>
      <c r="I3" s="1473">
        <v>500</v>
      </c>
      <c r="J3" s="1473">
        <v>750</v>
      </c>
      <c r="K3" s="1473">
        <v>1000</v>
      </c>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92</v>
      </c>
      <c r="D4" s="1121">
        <v>94</v>
      </c>
      <c r="E4" s="1121">
        <v>96</v>
      </c>
      <c r="F4" s="1477">
        <v>98</v>
      </c>
      <c r="G4" s="1477">
        <v>100</v>
      </c>
      <c r="H4" s="1477">
        <v>98</v>
      </c>
      <c r="I4" s="1477">
        <v>96</v>
      </c>
      <c r="J4" s="1477">
        <v>94</v>
      </c>
      <c r="K4" s="1477">
        <v>92</v>
      </c>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2826</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idden="1">
      <c r="A7" s="1125"/>
      <c r="B7" s="1507" t="s">
        <v>2827</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hidden="1"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idden="1">
      <c r="A9" s="1125"/>
      <c r="B9" s="1507" t="s">
        <v>2828</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hidden="1"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hidden="1">
      <c r="A11" s="1125"/>
      <c r="B11" s="1506"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hidden="1"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idden="1">
      <c r="A13" s="1125"/>
      <c r="B13" s="1506"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hidden="1"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idden="1">
      <c r="A15" s="1125"/>
      <c r="B15" s="1506"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hidden="1"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2832</v>
      </c>
      <c r="B17" s="2365"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2834</v>
      </c>
      <c r="E19" s="1524"/>
      <c r="F19" s="1524"/>
      <c r="G19" s="1524"/>
      <c r="H19" s="1190"/>
      <c r="I19" s="164"/>
      <c r="J19" s="164"/>
      <c r="K19" s="164"/>
      <c r="L19" s="164"/>
      <c r="M19" s="164"/>
      <c r="N19" s="164"/>
      <c r="O19" s="164"/>
      <c r="P19" s="164"/>
      <c r="Q19" s="164"/>
      <c r="R19" s="727"/>
      <c r="S19" s="134"/>
    </row>
    <row r="20" spans="1:45" ht="16.5" thickBot="1">
      <c r="A20" s="671" t="s">
        <v>2835</v>
      </c>
      <c r="B20" s="300">
        <f ca="1">IF(D20="——",S22,S22-F20)</f>
        <v>4779</v>
      </c>
      <c r="C20" s="164"/>
      <c r="D20" s="2367" t="s">
        <v>70</v>
      </c>
      <c r="E20" s="1525"/>
      <c r="F20" s="1114" t="e">
        <f ca="1">SUMIF(INDIRECT("'"&amp;H20&amp;"'"&amp;"!A:A"),"承租人权益价值",INDIRECT("'"&amp;H20&amp;"'"&amp;"!c:c"))</f>
        <v>#REF!</v>
      </c>
      <c r="G20" s="1114" t="s">
        <v>2836</v>
      </c>
      <c r="H20" s="2368"/>
      <c r="I20" s="164"/>
      <c r="J20" s="164"/>
      <c r="K20" s="164"/>
      <c r="L20" s="164"/>
      <c r="M20" s="164"/>
      <c r="N20" s="164"/>
      <c r="O20" s="164"/>
      <c r="P20" s="164"/>
      <c r="Q20" s="164"/>
      <c r="R20" s="727"/>
      <c r="S20" s="134"/>
    </row>
    <row r="21" spans="1:45" ht="15.75">
      <c r="A21" s="671" t="s">
        <v>2837</v>
      </c>
      <c r="B21" s="300">
        <f ca="1">ROUND(B20*10000/B22,0)</f>
        <v>41856</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1141.77</v>
      </c>
      <c r="C22" s="3433" t="s">
        <v>33</v>
      </c>
      <c r="D22" s="3434"/>
      <c r="E22" s="3434"/>
      <c r="F22" s="3434"/>
      <c r="G22" s="3434"/>
      <c r="H22" s="3434"/>
      <c r="I22" s="3434"/>
      <c r="J22" s="3434"/>
      <c r="K22" s="3434"/>
      <c r="L22" s="3434"/>
      <c r="M22" s="3434"/>
      <c r="N22" s="3434"/>
      <c r="O22" s="3434"/>
      <c r="P22" s="3434"/>
      <c r="Q22" s="3435"/>
      <c r="R22" s="672">
        <f ca="1">ROUND(S22*10000/B22,0)</f>
        <v>41856</v>
      </c>
      <c r="S22" s="24">
        <f ca="1">SUM(S24:S10000)</f>
        <v>4779</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'数据-基础表'!C13</f>
        <v>17层19C5</v>
      </c>
      <c r="B24" s="674">
        <f>'数据-基础表'!I13</f>
        <v>103.53</v>
      </c>
      <c r="C24" s="3038">
        <v>1</v>
      </c>
      <c r="D24" s="3039"/>
      <c r="E24" s="3038">
        <v>1</v>
      </c>
      <c r="F24" s="3039"/>
      <c r="G24" s="3038">
        <v>1</v>
      </c>
      <c r="H24" s="3039"/>
      <c r="I24" s="3038">
        <v>1</v>
      </c>
      <c r="J24" s="3039"/>
      <c r="K24" s="3038">
        <v>1</v>
      </c>
      <c r="L24" s="3039"/>
      <c r="M24" s="3038">
        <v>1</v>
      </c>
      <c r="N24" s="3039"/>
      <c r="O24" s="3038">
        <v>1</v>
      </c>
      <c r="P24" s="3039"/>
      <c r="Q24" s="3038">
        <v>1</v>
      </c>
      <c r="R24" s="677">
        <f ca="1">'结果表 (17层19C5)'!G20</f>
        <v>41557</v>
      </c>
      <c r="S24" s="675">
        <f t="shared" ref="S24:S54" ca="1" si="11">ROUND(R24*B24/10000,0)</f>
        <v>430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'数据-基础表'!C14</f>
        <v>17层19C6</v>
      </c>
      <c r="B25" s="674">
        <f>'数据-基础表'!I14</f>
        <v>152.62</v>
      </c>
      <c r="C25" s="24">
        <f>IF(B25="",1,(LOOKUP(B25,$3:$3,$4:$4)-LOOKUP($B$24,$3:$3,$4:$4)+100)/100)</f>
        <v>1.02</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42388</v>
      </c>
      <c r="S25" s="322">
        <f t="shared" ca="1" si="11"/>
        <v>647</v>
      </c>
    </row>
    <row r="26" spans="1:45">
      <c r="A26" s="674" t="str">
        <f>'数据-基础表'!C15</f>
        <v>17层19C7</v>
      </c>
      <c r="B26" s="674">
        <f>'数据-基础表'!I15</f>
        <v>180.72</v>
      </c>
      <c r="C26" s="24">
        <f t="shared" ref="C26:C89" si="12">IF(B26="",1,(LOOKUP(B26,$3:$3,$4:$4)-LOOKUP($B$24,$3:$3,$4:$4)+100)/100)</f>
        <v>1.02</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42388</v>
      </c>
      <c r="S26" s="322">
        <f t="shared" ca="1" si="11"/>
        <v>766</v>
      </c>
    </row>
    <row r="27" spans="1:45">
      <c r="A27" s="674" t="str">
        <f>'数据-基础表'!C16</f>
        <v>17层19C8</v>
      </c>
      <c r="B27" s="674">
        <f>'数据-基础表'!I16</f>
        <v>121.95</v>
      </c>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41557</v>
      </c>
      <c r="S27" s="322">
        <f t="shared" ca="1" si="11"/>
        <v>507</v>
      </c>
    </row>
    <row r="28" spans="1:45">
      <c r="A28" s="674" t="str">
        <f>'数据-基础表'!C17</f>
        <v>17层19C9</v>
      </c>
      <c r="B28" s="674">
        <f>'数据-基础表'!I17</f>
        <v>124.27</v>
      </c>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ca="1" si="20"/>
        <v>41557</v>
      </c>
      <c r="S28" s="322">
        <f t="shared" ca="1" si="11"/>
        <v>516</v>
      </c>
    </row>
    <row r="29" spans="1:45">
      <c r="A29" s="674" t="str">
        <f>'数据-基础表'!C18</f>
        <v>17层19C10</v>
      </c>
      <c r="B29" s="674">
        <f>'数据-基础表'!I18</f>
        <v>105.34</v>
      </c>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ca="1" si="20"/>
        <v>41557</v>
      </c>
      <c r="S29" s="322">
        <f t="shared" ca="1" si="11"/>
        <v>438</v>
      </c>
    </row>
    <row r="30" spans="1:45">
      <c r="A30" s="674" t="str">
        <f>'数据-基础表'!C19</f>
        <v>17层19C11</v>
      </c>
      <c r="B30" s="674">
        <f>'数据-基础表'!I19</f>
        <v>103.53</v>
      </c>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ca="1" si="20"/>
        <v>41557</v>
      </c>
      <c r="S30" s="322">
        <f t="shared" ca="1" si="11"/>
        <v>430</v>
      </c>
    </row>
    <row r="31" spans="1:45">
      <c r="A31" s="674" t="str">
        <f>'数据-基础表'!C20</f>
        <v>17层19C12</v>
      </c>
      <c r="B31" s="674">
        <f>'数据-基础表'!I20</f>
        <v>165.95</v>
      </c>
      <c r="C31" s="24">
        <f t="shared" si="12"/>
        <v>1.02</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ca="1" si="20"/>
        <v>42388</v>
      </c>
      <c r="S31" s="322">
        <f t="shared" ca="1" si="11"/>
        <v>703</v>
      </c>
    </row>
    <row r="32" spans="1:45">
      <c r="A32" s="674" t="str">
        <f>'数据-基础表'!C21</f>
        <v>17层19C13</v>
      </c>
      <c r="B32" s="674">
        <f>'数据-基础表'!I21</f>
        <v>83.86</v>
      </c>
      <c r="C32" s="24">
        <f t="shared" si="12"/>
        <v>0.98</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ca="1" si="20"/>
        <v>40726</v>
      </c>
      <c r="S32" s="322">
        <f t="shared" ca="1" si="11"/>
        <v>342</v>
      </c>
    </row>
    <row r="33" spans="1:19">
      <c r="A33" s="674"/>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30133</v>
      </c>
      <c r="C2" s="2" t="s">
        <v>133</v>
      </c>
      <c r="D2" s="205"/>
      <c r="E2" s="205"/>
      <c r="F2" s="205"/>
      <c r="G2" s="205"/>
    </row>
    <row r="3" spans="1:7" s="206" customFormat="1" ht="18" customHeight="1" thickBot="1">
      <c r="A3" s="209" t="s">
        <v>85</v>
      </c>
      <c r="B3" s="210">
        <f ca="1">ROUND(B2*10000/'数据-汇总表'!E3,0)</f>
        <v>263915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200</v>
      </c>
      <c r="F9" s="227"/>
      <c r="G9" s="232"/>
    </row>
    <row r="10" spans="1:7" s="220" customFormat="1" ht="13.5" customHeight="1">
      <c r="A10" s="887" t="s">
        <v>801</v>
      </c>
      <c r="B10" s="230" t="s">
        <v>94</v>
      </c>
      <c r="C10" s="231">
        <f>ROUND(D10*E10/10000,0)</f>
        <v>11</v>
      </c>
      <c r="D10" s="954">
        <f>'数据-汇总表'!E6</f>
        <v>1141.77</v>
      </c>
      <c r="E10" s="231">
        <f>'数据-取费表'!B28</f>
        <v>100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23</v>
      </c>
      <c r="D19" s="958">
        <f>'数据-汇总表'!E3</f>
        <v>1141.77</v>
      </c>
      <c r="E19" s="217">
        <f>'数据-取费表'!B31</f>
        <v>200</v>
      </c>
      <c r="F19" s="237"/>
      <c r="G19" s="1" t="s">
        <v>1042</v>
      </c>
    </row>
    <row r="20" spans="1:7" s="220" customFormat="1" ht="13.5" customHeight="1">
      <c r="A20" s="885" t="s">
        <v>1025</v>
      </c>
      <c r="B20" s="216" t="s">
        <v>104</v>
      </c>
      <c r="C20" s="238">
        <f>ROUND((C5+C19)*F20,0)</f>
        <v>516</v>
      </c>
      <c r="D20" s="238"/>
      <c r="E20" s="238"/>
      <c r="F20" s="239">
        <f>'数据-取费表'!B37</f>
        <v>2.5000000000000001E-2</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1640</v>
      </c>
      <c r="D22" s="241">
        <f ca="1">C26</f>
        <v>1E-3</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1618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4230</v>
      </c>
      <c r="D27" s="241">
        <f>C29</f>
        <v>5.0000000000000001E-3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4230</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29507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571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514</v>
      </c>
      <c r="D34" s="223"/>
      <c r="E34" s="226"/>
      <c r="F34" s="263">
        <f>IF('数据-取费表'!B24=0,1,'数据-取费表'!N16)</f>
        <v>1</v>
      </c>
      <c r="G34" s="225" t="s">
        <v>116</v>
      </c>
    </row>
    <row r="35" spans="1:7" ht="13.5" customHeight="1">
      <c r="A35" s="888" t="s">
        <v>796</v>
      </c>
      <c r="B35" s="221" t="s">
        <v>60</v>
      </c>
      <c r="C35" s="226">
        <f>ROUND(C34*F35,0)</f>
        <v>26</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23</v>
      </c>
      <c r="D37" s="223">
        <f>'数据-汇总表'!E3</f>
        <v>1141.77</v>
      </c>
      <c r="E37" s="255">
        <f>'数据-取费表'!B35</f>
        <v>200</v>
      </c>
      <c r="F37" s="265"/>
      <c r="G37" s="267" t="s">
        <v>119</v>
      </c>
    </row>
    <row r="38" spans="1:7" ht="13.5" customHeight="1">
      <c r="A38" s="888" t="s">
        <v>799</v>
      </c>
      <c r="B38" s="221" t="s">
        <v>63</v>
      </c>
      <c r="C38" s="226">
        <f>ROUND(C34*F38,0)</f>
        <v>8</v>
      </c>
      <c r="D38" s="226"/>
      <c r="E38" s="226"/>
      <c r="F38" s="265">
        <f>'数据-取费表'!B36</f>
        <v>1.4999999999999999E-2</v>
      </c>
      <c r="G38" s="225" t="s">
        <v>117</v>
      </c>
    </row>
    <row r="39" spans="1:7" s="220" customFormat="1" ht="13.5" customHeight="1">
      <c r="A39" s="885" t="s">
        <v>783</v>
      </c>
      <c r="B39" s="216" t="s">
        <v>104</v>
      </c>
      <c r="C39" s="238">
        <f>ROUND(C33*F20,0)</f>
        <v>14</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23</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22</v>
      </c>
      <c r="D42" s="244"/>
      <c r="E42" s="244"/>
      <c r="F42" s="245"/>
      <c r="G42" s="3292" t="s">
        <v>121</v>
      </c>
    </row>
    <row r="43" spans="1:7" ht="13.5" customHeight="1">
      <c r="A43" s="888" t="s">
        <v>792</v>
      </c>
      <c r="B43" s="221" t="s">
        <v>1032</v>
      </c>
      <c r="C43" s="244">
        <f ca="1">ROUND(IF('数据-取费表'!B22&lt;=1,C39*F22*'数据-取费表'!B21/2,C39*(POWER((1+F22),'数据-取费表'!B21/2)-1)),0)</f>
        <v>1</v>
      </c>
      <c r="D43" s="244"/>
      <c r="E43" s="244"/>
      <c r="F43" s="245"/>
      <c r="G43" s="3293"/>
    </row>
    <row r="44" spans="1:7" ht="13.5" customHeight="1">
      <c r="A44" s="888" t="s">
        <v>793</v>
      </c>
      <c r="B44" s="221" t="s">
        <v>1034</v>
      </c>
      <c r="C44" s="244">
        <f ca="1">ROUND(IF('数据-取费表'!B22&lt;=1,C40*F22*'数据-取费表'!B21/2,C40*(POWER((1+F22),'数据-取费表'!B21/2)-1)),4)</f>
        <v>1E-3</v>
      </c>
      <c r="D44" s="244"/>
      <c r="E44" s="244"/>
      <c r="F44" s="245"/>
      <c r="G44" s="3294"/>
    </row>
    <row r="45" spans="1:7" s="220" customFormat="1" ht="13.5" customHeight="1">
      <c r="A45" s="885" t="s">
        <v>786</v>
      </c>
      <c r="B45" s="250" t="s">
        <v>112</v>
      </c>
      <c r="C45" s="251">
        <f>C46</f>
        <v>117</v>
      </c>
      <c r="D45" s="241">
        <f>C47</f>
        <v>5.0000000000000001E-3</v>
      </c>
      <c r="E45" s="242" t="s">
        <v>129</v>
      </c>
      <c r="F45" s="252"/>
      <c r="G45" s="253" t="s">
        <v>1040</v>
      </c>
    </row>
    <row r="46" spans="1:7" s="220" customFormat="1" ht="13.5" customHeight="1">
      <c r="A46" s="888" t="s">
        <v>794</v>
      </c>
      <c r="B46" s="254" t="s">
        <v>1033</v>
      </c>
      <c r="C46" s="255">
        <f>ROUND((C33+C39)*F27,0)</f>
        <v>117</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792</v>
      </c>
      <c r="D49" s="238"/>
      <c r="E49" s="238"/>
      <c r="F49" s="270"/>
      <c r="G49" s="240" t="s">
        <v>1041</v>
      </c>
    </row>
    <row r="50" spans="1:7" s="264" customFormat="1" ht="24">
      <c r="A50" s="885" t="s">
        <v>789</v>
      </c>
      <c r="B50" s="216" t="s">
        <v>124</v>
      </c>
      <c r="C50" s="238"/>
      <c r="D50" s="238"/>
      <c r="E50" s="238"/>
      <c r="F50" s="270">
        <f>IF('数据-取费表'!B24=0,'数据-取费表'!N16,1)</f>
        <v>0.79</v>
      </c>
      <c r="G50" s="253" t="s">
        <v>125</v>
      </c>
    </row>
    <row r="51" spans="1:7" ht="16.5" customHeight="1">
      <c r="A51" s="885" t="s">
        <v>790</v>
      </c>
      <c r="B51" s="216" t="s">
        <v>132</v>
      </c>
      <c r="C51" s="238">
        <f ca="1">ROUND(C49*F50,0)</f>
        <v>626</v>
      </c>
      <c r="D51" s="238"/>
      <c r="E51" s="238"/>
      <c r="F51" s="270"/>
      <c r="G51" s="240" t="s">
        <v>64</v>
      </c>
    </row>
    <row r="52" spans="1:7" s="214" customFormat="1" ht="16.5" thickBot="1">
      <c r="A52" s="271" t="s">
        <v>65</v>
      </c>
      <c r="B52" s="272"/>
      <c r="C52" s="273">
        <f ca="1">C31+C51</f>
        <v>30133</v>
      </c>
      <c r="D52" s="272"/>
      <c r="E52" s="272"/>
      <c r="F52" s="272"/>
      <c r="G52" s="274"/>
    </row>
    <row r="55" spans="1:7" ht="15">
      <c r="B55" s="276" t="s">
        <v>66</v>
      </c>
      <c r="C55" s="277"/>
    </row>
    <row r="56" spans="1:7">
      <c r="B56" s="279" t="s">
        <v>67</v>
      </c>
      <c r="C56" s="280">
        <f ca="1">ROUND(C51/C52,3)</f>
        <v>2.1000000000000001E-2</v>
      </c>
    </row>
    <row r="57" spans="1:7">
      <c r="B57" s="279" t="s">
        <v>68</v>
      </c>
      <c r="C57" s="281">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9" t="s">
        <v>156</v>
      </c>
      <c r="B1" s="3439"/>
      <c r="C1" s="3439"/>
      <c r="D1" s="3439"/>
      <c r="E1" s="3439"/>
      <c r="F1" s="343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40" t="s">
        <v>169</v>
      </c>
      <c r="B2" s="3440"/>
      <c r="C2" s="3440"/>
      <c r="D2" s="3440"/>
      <c r="E2" s="3440"/>
      <c r="F2" s="344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9" t="s">
        <v>839</v>
      </c>
      <c r="B1" s="343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44370</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9">
        <v>43941</v>
      </c>
      <c r="D13" s="3050">
        <v>3.85</v>
      </c>
      <c r="E13" s="3050">
        <v>3.85</v>
      </c>
      <c r="F13" s="3050">
        <v>3.85</v>
      </c>
      <c r="G13" s="3050">
        <v>3.85</v>
      </c>
      <c r="H13" s="305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5"/>
      <c r="C14" s="3046">
        <v>43881</v>
      </c>
      <c r="D14" s="3045">
        <v>4.05</v>
      </c>
      <c r="E14" s="3045">
        <v>4.05</v>
      </c>
      <c r="F14" s="3045">
        <v>4.05</v>
      </c>
      <c r="G14" s="3045">
        <v>4.05</v>
      </c>
      <c r="H14" s="3045">
        <v>4.75</v>
      </c>
      <c r="I14" s="3045"/>
      <c r="J14" s="304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5"/>
      <c r="C15" s="3046">
        <v>43789</v>
      </c>
      <c r="D15" s="3045">
        <v>4.1500000000000004</v>
      </c>
      <c r="E15" s="3045">
        <v>4.1500000000000004</v>
      </c>
      <c r="F15" s="3045">
        <v>4.1500000000000004</v>
      </c>
      <c r="G15" s="3045">
        <v>4.1500000000000004</v>
      </c>
      <c r="H15" s="3045">
        <v>4.8</v>
      </c>
      <c r="I15" s="3045"/>
      <c r="J15" s="304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5"/>
      <c r="C16" s="3046">
        <v>43728</v>
      </c>
      <c r="D16" s="3045">
        <v>4.2</v>
      </c>
      <c r="E16" s="3045">
        <v>4.2</v>
      </c>
      <c r="F16" s="3045">
        <v>4.2</v>
      </c>
      <c r="G16" s="3045">
        <v>4.2</v>
      </c>
      <c r="H16" s="3045">
        <v>4.8499999999999996</v>
      </c>
      <c r="I16" s="3045"/>
      <c r="J16" s="304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4" t="s">
        <v>3057</v>
      </c>
      <c r="C17" s="3047">
        <v>43697</v>
      </c>
      <c r="D17" s="3048">
        <v>4.25</v>
      </c>
      <c r="E17" s="3048">
        <v>4.25</v>
      </c>
      <c r="F17" s="3048">
        <v>4.25</v>
      </c>
      <c r="G17" s="3048">
        <v>4.25</v>
      </c>
      <c r="H17" s="3048">
        <v>4.8499999999999996</v>
      </c>
      <c r="I17" s="3048"/>
      <c r="J17" s="304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6"/>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67" workbookViewId="0">
      <selection activeCell="L236" sqref="L236"/>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14" t="str">
        <f>IF(项目基本情况!B9="房地产市场价值","估价结果一览表","结果表-2")</f>
        <v>结果表-2</v>
      </c>
      <c r="B1" s="3114"/>
      <c r="C1" s="3114"/>
      <c r="D1" s="3114"/>
      <c r="E1" s="3114"/>
      <c r="F1" s="3114"/>
      <c r="G1" s="3114"/>
      <c r="H1" s="3114"/>
      <c r="I1" s="3114"/>
    </row>
    <row r="2" spans="1:9" ht="30" customHeight="1" thickTop="1">
      <c r="A2" s="3115" t="s">
        <v>1606</v>
      </c>
      <c r="B2" s="3115" t="s">
        <v>1607</v>
      </c>
      <c r="C2" s="3115" t="s">
        <v>1608</v>
      </c>
      <c r="D2" s="3115" t="str">
        <f>结果表!D116</f>
        <v>出让国有建设用地使用权价值</v>
      </c>
      <c r="E2" s="3115"/>
      <c r="F2" s="3115" t="str">
        <f>结果表!F116</f>
        <v>建筑物价值</v>
      </c>
      <c r="G2" s="3115"/>
      <c r="H2" s="3115" t="str">
        <f>IF(项目基本情况!B9="房地产市场价值","房地产市场价值","房地产价值")</f>
        <v>房地产价值</v>
      </c>
      <c r="I2" s="3115"/>
    </row>
    <row r="3" spans="1:9" ht="15">
      <c r="A3" s="3116"/>
      <c r="B3" s="3116"/>
      <c r="C3" s="3116"/>
      <c r="D3" s="963" t="s">
        <v>1603</v>
      </c>
      <c r="E3" s="963" t="s">
        <v>1609</v>
      </c>
      <c r="F3" s="963" t="s">
        <v>1603</v>
      </c>
      <c r="G3" s="963" t="s">
        <v>1604</v>
      </c>
      <c r="H3" s="963" t="s">
        <v>1603</v>
      </c>
      <c r="I3" s="963" t="s">
        <v>1604</v>
      </c>
    </row>
    <row r="4" spans="1:9" ht="45">
      <c r="A4" s="1690" t="str">
        <f>项目基本情况!S2</f>
        <v>北京市西城区西直门外大街1号院2号楼17层19C5-19C13共9套办公用房房地产</v>
      </c>
      <c r="B4" s="963">
        <f>项目基本情况!C17</f>
        <v>1141.77</v>
      </c>
      <c r="C4" s="963">
        <f>项目基本情况!C18</f>
        <v>0</v>
      </c>
      <c r="D4" s="963" t="e">
        <f ca="1">结果表!D118</f>
        <v>#REF!</v>
      </c>
      <c r="E4" s="963" t="e">
        <f ca="1">结果表!E118</f>
        <v>#REF!</v>
      </c>
      <c r="F4" s="963" t="e">
        <f ca="1">结果表!F118</f>
        <v>#REF!</v>
      </c>
      <c r="G4" s="963" t="e">
        <f ca="1">结果表!G118</f>
        <v>#REF!</v>
      </c>
      <c r="H4" s="963">
        <f ca="1">结果表!H118</f>
        <v>4779</v>
      </c>
      <c r="I4" s="963">
        <f ca="1">结果表!I118</f>
        <v>41856</v>
      </c>
    </row>
    <row r="5" spans="1:9" ht="30" customHeight="1">
      <c r="A5" s="3116" t="s">
        <v>1605</v>
      </c>
      <c r="B5" s="3116"/>
      <c r="C5" s="3116"/>
      <c r="D5" s="3117" t="e">
        <f ca="1">结果表!D119</f>
        <v>#REF!</v>
      </c>
      <c r="E5" s="3117"/>
      <c r="F5" s="3117" t="e">
        <f ca="1">结果表!F119</f>
        <v>#REF!</v>
      </c>
      <c r="G5" s="3117"/>
      <c r="H5" s="3117" t="str">
        <f ca="1">结果表!H119</f>
        <v>肆仟柒佰柒拾玖万元整</v>
      </c>
      <c r="I5" s="3117"/>
    </row>
    <row r="6" spans="1:9" ht="15.75">
      <c r="A6" s="3118" t="str">
        <f>结果表!A120</f>
        <v>估价师知悉的法定优先受偿款</v>
      </c>
      <c r="B6" s="3118"/>
      <c r="C6" s="3118"/>
      <c r="D6" s="3118">
        <f>结果表!D120</f>
        <v>0</v>
      </c>
      <c r="E6" s="3118"/>
      <c r="F6" s="3118"/>
      <c r="G6" s="3118"/>
      <c r="H6" s="3118"/>
      <c r="I6" s="3118"/>
    </row>
    <row r="7" spans="1:9" ht="15">
      <c r="A7" s="3116" t="s">
        <v>1605</v>
      </c>
      <c r="B7" s="3116"/>
      <c r="C7" s="3116"/>
      <c r="D7" s="3119" t="str">
        <f>结果表!D121</f>
        <v>零元整</v>
      </c>
      <c r="E7" s="3120"/>
      <c r="F7" s="3120"/>
      <c r="G7" s="3120"/>
      <c r="H7" s="3120"/>
      <c r="I7" s="3121"/>
    </row>
    <row r="8" spans="1:9" ht="15.75">
      <c r="A8" s="3118" t="str">
        <f>结果表!A122</f>
        <v>房地产抵押价值</v>
      </c>
      <c r="B8" s="3118"/>
      <c r="C8" s="3118"/>
      <c r="D8" s="3118">
        <f ca="1">结果表!D122</f>
        <v>4779</v>
      </c>
      <c r="E8" s="3118"/>
      <c r="F8" s="3118"/>
      <c r="G8" s="3118"/>
      <c r="H8" s="3118"/>
      <c r="I8" s="3118"/>
    </row>
    <row r="9" spans="1:9" ht="15">
      <c r="A9" s="3116" t="s">
        <v>1605</v>
      </c>
      <c r="B9" s="3116"/>
      <c r="C9" s="3116"/>
      <c r="D9" s="3117" t="str">
        <f ca="1">结果表!D123</f>
        <v>肆仟柒佰柒拾玖万元整</v>
      </c>
      <c r="E9" s="3117"/>
      <c r="F9" s="3117"/>
      <c r="G9" s="3117"/>
      <c r="H9" s="3117"/>
      <c r="I9" s="3117"/>
    </row>
    <row r="10" spans="1:9" ht="15.75">
      <c r="A10" s="3118" t="str">
        <f>结果表!A124</f>
        <v/>
      </c>
      <c r="B10" s="3118"/>
      <c r="C10" s="3118"/>
      <c r="D10" s="3118" t="str">
        <f>结果表!D124</f>
        <v>——</v>
      </c>
      <c r="E10" s="3118"/>
      <c r="F10" s="3118"/>
      <c r="G10" s="3118"/>
      <c r="H10" s="3118"/>
      <c r="I10" s="3118"/>
    </row>
    <row r="11" spans="1:9" ht="15">
      <c r="A11" s="3116" t="s">
        <v>1605</v>
      </c>
      <c r="B11" s="3116"/>
      <c r="C11" s="3116"/>
      <c r="D11" s="3117" t="e">
        <f>结果表!D125</f>
        <v>#VALUE!</v>
      </c>
      <c r="E11" s="3117"/>
      <c r="F11" s="3117"/>
      <c r="G11" s="3117"/>
      <c r="H11" s="3117"/>
      <c r="I11" s="3117"/>
    </row>
    <row r="12" spans="1:9" ht="15.75">
      <c r="A12" s="3118" t="str">
        <f>结果表!A126</f>
        <v/>
      </c>
      <c r="B12" s="3118"/>
      <c r="C12" s="3118"/>
      <c r="D12" s="3118" t="str">
        <f>结果表!D126</f>
        <v>——</v>
      </c>
      <c r="E12" s="3118"/>
      <c r="F12" s="3118"/>
      <c r="G12" s="3118"/>
      <c r="H12" s="3118"/>
      <c r="I12" s="3118"/>
    </row>
    <row r="13" spans="1:9" ht="15.75" thickBot="1">
      <c r="A13" s="3122" t="s">
        <v>1605</v>
      </c>
      <c r="B13" s="3122"/>
      <c r="C13" s="3122"/>
      <c r="D13" s="3123" t="e">
        <f>结果表!D127</f>
        <v>#VALUE!</v>
      </c>
      <c r="E13" s="3123"/>
      <c r="F13" s="3123"/>
      <c r="G13" s="3123"/>
      <c r="H13" s="3123"/>
      <c r="I13" s="3123"/>
    </row>
    <row r="14" spans="1:9" ht="15" thickTop="1">
      <c r="A14" s="3124" t="s">
        <v>1610</v>
      </c>
      <c r="B14" s="3124"/>
      <c r="C14" s="3124"/>
      <c r="D14" s="3124"/>
      <c r="E14" s="3124"/>
      <c r="F14" s="3124"/>
      <c r="G14" s="3124"/>
      <c r="H14" s="3124"/>
      <c r="I14" s="3124"/>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25" t="s">
        <v>1627</v>
      </c>
      <c r="B1" s="3125"/>
      <c r="C1" s="3125"/>
      <c r="D1" s="3125"/>
    </row>
    <row r="2" spans="1:4" ht="18">
      <c r="A2" s="3126" t="s">
        <v>1611</v>
      </c>
      <c r="B2" s="3126"/>
      <c r="C2" s="3126"/>
      <c r="D2" s="3126"/>
    </row>
    <row r="3" spans="1:4" ht="18.75">
      <c r="A3" s="1694" t="s">
        <v>1612</v>
      </c>
      <c r="B3" s="1694" t="s">
        <v>1613</v>
      </c>
      <c r="C3" s="1694" t="s">
        <v>1614</v>
      </c>
      <c r="D3" s="1694" t="s">
        <v>1615</v>
      </c>
    </row>
    <row r="4" spans="1:4" ht="56.25" customHeight="1">
      <c r="A4" s="1695" t="str">
        <f>项目基本情况!B4</f>
        <v>王鹏</v>
      </c>
      <c r="B4" s="1696">
        <f ca="1">项目基本情况!C4</f>
        <v>1120050019</v>
      </c>
      <c r="C4" s="1697"/>
      <c r="D4" s="1698" t="s">
        <v>1616</v>
      </c>
    </row>
    <row r="5" spans="1:4" ht="56.25" customHeight="1">
      <c r="A5" s="1695" t="str">
        <f>项目基本情况!D4</f>
        <v>郑燚</v>
      </c>
      <c r="B5" s="1696">
        <f ca="1">项目基本情况!E4</f>
        <v>1120070131</v>
      </c>
      <c r="C5" s="1699"/>
      <c r="D5" s="1698" t="s">
        <v>1616</v>
      </c>
    </row>
    <row r="6" spans="1:4" ht="18">
      <c r="A6" s="3126" t="s">
        <v>1617</v>
      </c>
      <c r="B6" s="3126"/>
      <c r="C6" s="3126"/>
      <c r="D6" s="3126"/>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27" t="s">
        <v>1620</v>
      </c>
      <c r="B11" s="3128"/>
      <c r="C11" s="3128"/>
      <c r="D11" s="3128"/>
    </row>
    <row r="12" spans="1:4" ht="15.75">
      <c r="A12" s="31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9"/>
      <c r="C12" s="3129"/>
      <c r="D12" s="3129"/>
    </row>
    <row r="13" spans="1:4" ht="30" customHeight="1">
      <c r="A13" s="31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9"/>
      <c r="C13" s="3129"/>
      <c r="D13" s="3129"/>
    </row>
    <row r="14" spans="1:4" ht="15.75" customHeight="1">
      <c r="A14" s="3128" t="str">
        <f>IF(项目基本情况!B8="抵押","4.本次评估估价师所知悉的法定优先受偿款情况说明如下：","——")</f>
        <v>4.本次评估估价师所知悉的法定优先受偿款情况说明如下：</v>
      </c>
      <c r="B14" s="3129"/>
      <c r="C14" s="3129"/>
      <c r="D14" s="3129"/>
    </row>
    <row r="15" spans="1:4" ht="42" customHeight="1">
      <c r="A15" s="3128"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128"/>
      <c r="C15" s="3128"/>
      <c r="D15" s="3128"/>
    </row>
    <row r="16" spans="1:4" ht="30" customHeight="1">
      <c r="A16" s="3131" t="s">
        <v>1621</v>
      </c>
      <c r="B16" s="3131"/>
      <c r="C16" s="3131"/>
      <c r="D16" s="3131"/>
    </row>
    <row r="17" spans="1:4" ht="144" customHeight="1">
      <c r="A17" s="3131" t="s">
        <v>1622</v>
      </c>
      <c r="B17" s="3131"/>
      <c r="C17" s="3131"/>
      <c r="D17" s="3131"/>
    </row>
    <row r="18" spans="1:4" ht="15.75" customHeight="1">
      <c r="A18" s="3128" t="str">
        <f>IF(项目基本情况!B8="抵押",结果表!K120,"——")</f>
        <v>故，本次评估不存在估价师知悉的法定优先受偿款</v>
      </c>
      <c r="B18" s="3128"/>
      <c r="C18" s="3128"/>
      <c r="D18" s="3128"/>
    </row>
    <row r="19" spans="1:4" ht="46.5" customHeight="1">
      <c r="A19" s="31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8"/>
      <c r="C19" s="3128"/>
      <c r="D19" s="3128"/>
    </row>
    <row r="20" spans="1:4" ht="57.75" customHeight="1">
      <c r="A20" s="31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8"/>
      <c r="C20" s="3128"/>
      <c r="D20" s="3128"/>
    </row>
    <row r="21" spans="1:4" ht="57.75" customHeight="1">
      <c r="A21" s="31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2"/>
      <c r="C21" s="3132"/>
      <c r="D21" s="3132"/>
    </row>
    <row r="22" spans="1:4" ht="18.75" customHeight="1">
      <c r="A22" s="3133" t="s">
        <v>1623</v>
      </c>
      <c r="B22" s="3133"/>
      <c r="C22" s="3133"/>
      <c r="D22" s="3133"/>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30">
        <v>42551</v>
      </c>
      <c r="D31" s="31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39" t="s">
        <v>1634</v>
      </c>
      <c r="B15" s="3134" t="s">
        <v>136</v>
      </c>
      <c r="C15" s="3135"/>
    </row>
    <row r="16" spans="1:7" ht="13.5">
      <c r="A16" s="3140"/>
      <c r="B16" s="3134" t="s">
        <v>69</v>
      </c>
      <c r="C16" s="3135"/>
    </row>
    <row r="17" spans="1:3" ht="13.5">
      <c r="A17" s="3140"/>
      <c r="B17" s="3137" t="s">
        <v>1635</v>
      </c>
      <c r="C17" s="1717" t="s">
        <v>1634</v>
      </c>
    </row>
    <row r="18" spans="1:3" ht="13.5">
      <c r="A18" s="3140"/>
      <c r="B18" s="3137"/>
      <c r="C18" s="1717" t="s">
        <v>1636</v>
      </c>
    </row>
    <row r="19" spans="1:3" ht="13.5">
      <c r="A19" s="3140"/>
      <c r="B19" s="3137"/>
      <c r="C19" s="1717" t="s">
        <v>1637</v>
      </c>
    </row>
    <row r="20" spans="1:3" ht="13.5">
      <c r="A20" s="3141"/>
      <c r="B20" s="3136" t="s">
        <v>1638</v>
      </c>
      <c r="C20" s="3135"/>
    </row>
    <row r="21" spans="1:3" ht="13.5">
      <c r="A21" s="1718" t="s">
        <v>1639</v>
      </c>
      <c r="B21" s="1719"/>
      <c r="C21" s="1720"/>
    </row>
    <row r="22" spans="1:3" ht="13.5">
      <c r="A22" s="3138" t="s">
        <v>1640</v>
      </c>
      <c r="B22" s="3136" t="s">
        <v>1641</v>
      </c>
      <c r="C22" s="3135"/>
    </row>
    <row r="23" spans="1:3" ht="13.5">
      <c r="A23" s="3138"/>
      <c r="B23" s="3136" t="s">
        <v>1642</v>
      </c>
      <c r="C23" s="3135"/>
    </row>
    <row r="24" spans="1:3" ht="13.5">
      <c r="A24" s="3138"/>
      <c r="B24" s="3136" t="s">
        <v>1643</v>
      </c>
      <c r="C24" s="3135"/>
    </row>
    <row r="25" spans="1:3" ht="13.5">
      <c r="A25" s="3138"/>
      <c r="B25" s="3137" t="s">
        <v>1644</v>
      </c>
      <c r="C25" s="1717" t="s">
        <v>1645</v>
      </c>
    </row>
    <row r="26" spans="1:3" ht="13.5">
      <c r="A26" s="3138"/>
      <c r="B26" s="3137"/>
      <c r="C26" s="1717" t="s">
        <v>1646</v>
      </c>
    </row>
    <row r="27" spans="1:3" ht="13.5">
      <c r="A27" s="3138"/>
      <c r="B27" s="3137"/>
      <c r="C27" s="1717" t="s">
        <v>1647</v>
      </c>
    </row>
    <row r="28" spans="1:3" ht="13.5">
      <c r="A28" s="3138"/>
      <c r="B28" s="3137"/>
      <c r="C28" s="1717" t="s">
        <v>1648</v>
      </c>
    </row>
    <row r="29" spans="1:3" ht="13.5">
      <c r="A29" s="3138"/>
      <c r="B29" s="3137"/>
      <c r="C29" s="1717" t="s">
        <v>1649</v>
      </c>
    </row>
    <row r="30" spans="1:3" ht="13.5">
      <c r="A30" s="3138"/>
      <c r="B30" s="3137"/>
      <c r="C30" s="1717" t="s">
        <v>1650</v>
      </c>
    </row>
    <row r="31" spans="1:3" ht="13.5">
      <c r="A31" s="3138"/>
      <c r="B31" s="3137"/>
      <c r="C31" s="1717" t="s">
        <v>1651</v>
      </c>
    </row>
    <row r="32" spans="1:3" ht="13.5">
      <c r="A32" s="3138"/>
      <c r="B32" s="3137"/>
      <c r="C32" s="1717" t="s">
        <v>1652</v>
      </c>
    </row>
    <row r="33" spans="1:3" ht="13.5">
      <c r="A33" s="3138"/>
      <c r="B33" s="3137"/>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2878</v>
      </c>
      <c r="B2" s="2562">
        <f ca="1">TODAY()</f>
        <v>44375</v>
      </c>
      <c r="C2" s="2563" t="s">
        <v>2879</v>
      </c>
      <c r="D2" s="2563"/>
      <c r="E2" s="2563"/>
      <c r="F2" s="2559"/>
      <c r="G2" s="2559"/>
      <c r="H2" s="2559"/>
    </row>
    <row r="3" spans="1:8" ht="24" customHeight="1">
      <c r="A3" s="2564" t="s">
        <v>2880</v>
      </c>
      <c r="B3" s="2565" t="s">
        <v>2881</v>
      </c>
      <c r="C3" s="2565" t="s">
        <v>2882</v>
      </c>
      <c r="D3" s="2566" t="s">
        <v>2883</v>
      </c>
      <c r="E3" s="2567" t="s">
        <v>2884</v>
      </c>
      <c r="F3" s="1472" t="s">
        <v>2885</v>
      </c>
      <c r="G3" s="2565" t="s">
        <v>2882</v>
      </c>
      <c r="H3" s="2566" t="s">
        <v>2886</v>
      </c>
    </row>
    <row r="4" spans="1:8" ht="24" customHeight="1">
      <c r="A4" s="1472" t="s">
        <v>2887</v>
      </c>
      <c r="B4" s="1472">
        <f ca="1">IF(C4&lt;B2,"已过期",1119970066)</f>
        <v>1119970066</v>
      </c>
      <c r="C4" s="2568">
        <v>44876</v>
      </c>
      <c r="D4" s="2569" t="str">
        <f ca="1">A4&amp;"（注册号："&amp;B4&amp;"）"</f>
        <v>梁津（注册号：1119970066）</v>
      </c>
      <c r="E4" s="2570" t="s">
        <v>2887</v>
      </c>
      <c r="F4" s="1472">
        <f ca="1">IF(G4&lt;B2,"已过期",96010014)</f>
        <v>96010014</v>
      </c>
      <c r="G4" s="2571">
        <v>47118</v>
      </c>
      <c r="H4" s="2572" t="str">
        <f ca="1">E4&amp;"（注册号："&amp;F4&amp;"）"</f>
        <v>梁津（注册号：96010014）</v>
      </c>
    </row>
    <row r="5" spans="1:8" ht="24" customHeight="1">
      <c r="A5" s="1472" t="s">
        <v>2888</v>
      </c>
      <c r="B5" s="1472">
        <f ca="1">IF(C5&lt;B2,"已过期",1119970111)</f>
        <v>1119970111</v>
      </c>
      <c r="C5" s="2568">
        <v>44876</v>
      </c>
      <c r="D5" s="2569" t="str">
        <f t="shared" ref="D5:D15" ca="1" si="0">A5&amp;"（注册号："&amp;B5&amp;"）"</f>
        <v>叶凌（注册号：1119970111）</v>
      </c>
      <c r="E5" s="2570" t="s">
        <v>2888</v>
      </c>
      <c r="F5" s="1472">
        <f ca="1">IF(G5&lt;B2,"已过期",94010078)</f>
        <v>94010078</v>
      </c>
      <c r="G5" s="2571">
        <v>46387</v>
      </c>
      <c r="H5" s="2572" t="str">
        <f t="shared" ref="H5:H16" ca="1" si="1">E5&amp;"（注册号："&amp;F5&amp;"）"</f>
        <v>叶凌（注册号：94010078）</v>
      </c>
    </row>
    <row r="6" spans="1:8" ht="24" customHeight="1">
      <c r="A6" s="1472" t="s">
        <v>2889</v>
      </c>
      <c r="B6" s="1472">
        <f ca="1">IF(C6&lt;B2,"已过期",1120050019)</f>
        <v>1120050019</v>
      </c>
      <c r="C6" s="2568">
        <v>44395</v>
      </c>
      <c r="D6" s="2569" t="str">
        <f t="shared" ca="1" si="0"/>
        <v>王鹏（注册号：1120050019）</v>
      </c>
      <c r="E6" s="2570" t="s">
        <v>2889</v>
      </c>
      <c r="F6" s="1472">
        <f ca="1">IF(G6&lt;B2,"已过期",2002110030)</f>
        <v>2002110030</v>
      </c>
      <c r="G6" s="2571">
        <v>46387</v>
      </c>
      <c r="H6" s="2572" t="str">
        <f t="shared" ca="1" si="1"/>
        <v>王鹏（注册号：2002110030）</v>
      </c>
    </row>
    <row r="7" spans="1:8" ht="24" customHeight="1">
      <c r="A7" s="1472" t="s">
        <v>2890</v>
      </c>
      <c r="B7" s="1472">
        <f ca="1">IF(C7&lt;B2,"已过期",1120000080)</f>
        <v>1120000080</v>
      </c>
      <c r="C7" s="2568">
        <v>44876</v>
      </c>
      <c r="D7" s="2569" t="str">
        <f t="shared" ca="1" si="0"/>
        <v>欧红伟（注册号：1120000080）</v>
      </c>
      <c r="E7" s="2570" t="s">
        <v>2890</v>
      </c>
      <c r="F7" s="1472">
        <f ca="1">IF(G7&lt;B2,"已过期",2000110082)</f>
        <v>2000110082</v>
      </c>
      <c r="G7" s="2571">
        <v>46387</v>
      </c>
      <c r="H7" s="2572" t="str">
        <f t="shared" ca="1" si="1"/>
        <v>欧红伟（注册号：2000110082）</v>
      </c>
    </row>
    <row r="8" spans="1:8" ht="24" customHeight="1">
      <c r="A8" s="1472" t="s">
        <v>2891</v>
      </c>
      <c r="B8" s="1472">
        <f ca="1">IF(C8&lt;B2,"已过期",1419970001)</f>
        <v>1419970001</v>
      </c>
      <c r="C8" s="2568">
        <v>44899</v>
      </c>
      <c r="D8" s="2569" t="str">
        <f t="shared" ca="1" si="0"/>
        <v>吴薇（注册号：1419970001）</v>
      </c>
      <c r="E8" s="2570" t="s">
        <v>2891</v>
      </c>
      <c r="F8" s="1472">
        <f ca="1">IF(G8&lt;B2,"已过期",2002110125)</f>
        <v>2002110125</v>
      </c>
      <c r="G8" s="2571">
        <v>47118</v>
      </c>
      <c r="H8" s="2572" t="str">
        <f t="shared" ca="1" si="1"/>
        <v>吴薇（注册号：2002110125）</v>
      </c>
    </row>
    <row r="9" spans="1:8" ht="24" customHeight="1">
      <c r="A9" s="1472" t="s">
        <v>2892</v>
      </c>
      <c r="B9" s="1472">
        <f ca="1">IF(C9&lt;B2,"已过期",1120060040)</f>
        <v>1120060040</v>
      </c>
      <c r="C9" s="2573">
        <v>44554</v>
      </c>
      <c r="D9" s="2569" t="str">
        <f t="shared" ca="1" si="0"/>
        <v>陈颖（注册号：1120060040）</v>
      </c>
      <c r="E9" s="2570" t="s">
        <v>2892</v>
      </c>
      <c r="F9" s="1472">
        <f ca="1">IF(G9&lt;B2,"已过期",2004110096)</f>
        <v>2004110096</v>
      </c>
      <c r="G9" s="2571">
        <v>47118</v>
      </c>
      <c r="H9" s="2572" t="str">
        <f t="shared" ca="1" si="1"/>
        <v>陈颖（注册号：2004110096）</v>
      </c>
    </row>
    <row r="10" spans="1:8" ht="24" customHeight="1">
      <c r="A10" s="1472" t="s">
        <v>2893</v>
      </c>
      <c r="B10" s="1472">
        <f ca="1">IF(C10&lt;B2,"已过期",1120100036)</f>
        <v>1120100036</v>
      </c>
      <c r="C10" s="2573">
        <v>44675</v>
      </c>
      <c r="D10" s="2569" t="str">
        <f t="shared" ca="1" si="0"/>
        <v>崔锴（注册号：1120100036）</v>
      </c>
      <c r="E10" s="2570" t="s">
        <v>2893</v>
      </c>
      <c r="F10" s="1472">
        <f ca="1">IF(G10&lt;B2,"已过期",2010110070)</f>
        <v>2010110070</v>
      </c>
      <c r="G10" s="2571">
        <v>47907</v>
      </c>
      <c r="H10" s="2572" t="str">
        <f t="shared" ca="1" si="1"/>
        <v>崔锴（注册号：2010110070）</v>
      </c>
    </row>
    <row r="11" spans="1:8" ht="24" customHeight="1">
      <c r="A11" s="1472" t="s">
        <v>2894</v>
      </c>
      <c r="B11" s="1472">
        <f ca="1">IF(C11&lt;B2,"已过期",1120070131)</f>
        <v>1120070131</v>
      </c>
      <c r="C11" s="2568">
        <v>44849</v>
      </c>
      <c r="D11" s="2569" t="str">
        <f t="shared" ca="1" si="0"/>
        <v>郑燚（注册号：1120070131）</v>
      </c>
      <c r="E11" s="2570" t="s">
        <v>2894</v>
      </c>
      <c r="F11" s="1472">
        <f ca="1">IF(G11&lt;B2,"已过期",2014110011)</f>
        <v>2014110011</v>
      </c>
      <c r="G11" s="2571">
        <v>49302</v>
      </c>
      <c r="H11" s="2572" t="str">
        <f t="shared" ca="1" si="1"/>
        <v>郑燚（注册号：2014110011）</v>
      </c>
    </row>
    <row r="12" spans="1:8" ht="24" customHeight="1">
      <c r="A12" s="1472" t="s">
        <v>2895</v>
      </c>
      <c r="B12" s="1472">
        <f ca="1">IF(C12&lt;B2,"已过期",1120040230)</f>
        <v>1120040230</v>
      </c>
      <c r="C12" s="2573">
        <v>44864</v>
      </c>
      <c r="D12" s="2569" t="str">
        <f t="shared" ca="1" si="0"/>
        <v>苏海（注册号：1120040230）</v>
      </c>
      <c r="E12" s="2570" t="s">
        <v>2895</v>
      </c>
      <c r="F12" s="1472">
        <f ca="1">IF(G12&lt;B2,"已过期",98030020)</f>
        <v>98030020</v>
      </c>
      <c r="G12" s="2571">
        <v>47118</v>
      </c>
      <c r="H12" s="2572" t="str">
        <f t="shared" ca="1" si="1"/>
        <v>苏海（注册号：98030020）</v>
      </c>
    </row>
    <row r="13" spans="1:8" ht="24" customHeight="1">
      <c r="A13" s="1472" t="s">
        <v>2896</v>
      </c>
      <c r="B13" s="1472" t="str">
        <f ca="1">IF(C13&lt;B2,"已过期",1120020033)</f>
        <v>已过期</v>
      </c>
      <c r="C13" s="2568">
        <v>44339</v>
      </c>
      <c r="D13" s="2569" t="str">
        <f t="shared" ca="1" si="0"/>
        <v>刘敬东（注册号：已过期）</v>
      </c>
      <c r="E13" s="2570" t="s">
        <v>2896</v>
      </c>
      <c r="F13" s="1472">
        <f ca="1">IF(G13&lt;B2,"已过期",2000110137)</f>
        <v>2000110137</v>
      </c>
      <c r="G13" s="2571">
        <v>46387</v>
      </c>
      <c r="H13" s="2572" t="str">
        <f t="shared" ca="1" si="1"/>
        <v>刘敬东（注册号：2000110137）</v>
      </c>
    </row>
    <row r="14" spans="1:8" ht="24" customHeight="1">
      <c r="A14" s="1472" t="s">
        <v>2897</v>
      </c>
      <c r="B14" s="1472">
        <f ca="1">IF(C14&lt;B2,"已过期",1119980106)</f>
        <v>1119980106</v>
      </c>
      <c r="C14" s="2573">
        <v>44969</v>
      </c>
      <c r="D14" s="2569" t="str">
        <f t="shared" ca="1" si="0"/>
        <v>刘俊财（注册号：1119980106）</v>
      </c>
      <c r="E14" s="2570" t="s">
        <v>2897</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2898</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42" t="s">
        <v>2899</v>
      </c>
      <c r="B17" s="3142"/>
      <c r="C17" s="3142"/>
      <c r="D17" s="3142"/>
      <c r="E17" s="3142"/>
      <c r="F17" s="3142"/>
      <c r="G17" s="3142"/>
      <c r="H17" s="3142"/>
    </row>
    <row r="18" spans="1:8" ht="24" customHeight="1">
      <c r="A18" s="3143" t="s">
        <v>2900</v>
      </c>
      <c r="B18" s="3143"/>
      <c r="C18" s="3143"/>
      <c r="D18" s="2566"/>
      <c r="E18" s="3144" t="s">
        <v>2901</v>
      </c>
      <c r="F18" s="3143"/>
      <c r="G18" s="3143"/>
    </row>
    <row r="19" spans="1:8" s="2577" customFormat="1" ht="24" customHeight="1">
      <c r="A19" s="2576" t="s">
        <v>2902</v>
      </c>
      <c r="B19" s="2565" t="s">
        <v>2903</v>
      </c>
      <c r="C19" s="2565" t="s">
        <v>2882</v>
      </c>
      <c r="D19" s="2566"/>
      <c r="E19" s="2570" t="s">
        <v>2902</v>
      </c>
      <c r="F19" s="2565" t="s">
        <v>2903</v>
      </c>
      <c r="G19" s="2565" t="s">
        <v>2882</v>
      </c>
    </row>
    <row r="20" spans="1:8" s="2577" customFormat="1" ht="24" customHeight="1">
      <c r="A20" s="2578" t="s">
        <v>2904</v>
      </c>
      <c r="B20" s="2578" t="s">
        <v>2905</v>
      </c>
      <c r="C20" s="2571">
        <v>44820</v>
      </c>
      <c r="D20" s="2579"/>
      <c r="E20" s="2580" t="s">
        <v>2906</v>
      </c>
      <c r="F20" s="2578" t="s">
        <v>2907</v>
      </c>
      <c r="G20" s="2581">
        <v>44377</v>
      </c>
    </row>
    <row r="21" spans="1:8" s="2577" customFormat="1" ht="24" customHeight="1">
      <c r="A21" s="2578"/>
      <c r="B21" s="2578"/>
      <c r="C21" s="2582"/>
      <c r="D21" s="2583"/>
      <c r="E21" s="2580" t="s">
        <v>2908</v>
      </c>
      <c r="F21" s="2584" t="s">
        <v>2909</v>
      </c>
      <c r="G21" s="2585">
        <v>44012</v>
      </c>
    </row>
    <row r="22" spans="1:8" ht="24" customHeight="1">
      <c r="C22" s="2586"/>
      <c r="D22" s="2586"/>
      <c r="E22" s="2587"/>
      <c r="F22" s="2588"/>
      <c r="G22" s="2589"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0" priority="51">
      <formula>AND($C4-TODAY()&lt;30,TODAY()&lt;$C4)</formula>
    </cfRule>
  </conditionalFormatting>
  <conditionalFormatting sqref="C20:D20">
    <cfRule type="expression" dxfId="259" priority="50">
      <formula>AND($C20-TODAY()&lt;30,TODAY()&lt;$C20)</formula>
    </cfRule>
  </conditionalFormatting>
  <conditionalFormatting sqref="C20:D20 G4 C4:D5 C13:D13">
    <cfRule type="cellIs" dxfId="258" priority="52" stopIfTrue="1" operator="lessThan">
      <formula>$B$2</formula>
    </cfRule>
  </conditionalFormatting>
  <conditionalFormatting sqref="G5 G7 G9">
    <cfRule type="cellIs" dxfId="257" priority="49" stopIfTrue="1" operator="lessThan">
      <formula>$B$2</formula>
    </cfRule>
  </conditionalFormatting>
  <conditionalFormatting sqref="C6:D6 D14 D16">
    <cfRule type="expression" dxfId="256" priority="47">
      <formula>AND($C6-TODAY()&lt;30,TODAY()&lt;$C6)</formula>
    </cfRule>
  </conditionalFormatting>
  <conditionalFormatting sqref="G6 G8 G10 C6:D6 D7:D12 D14 D16">
    <cfRule type="cellIs" dxfId="255" priority="48" stopIfTrue="1" operator="lessThan">
      <formula>$B$2</formula>
    </cfRule>
  </conditionalFormatting>
  <conditionalFormatting sqref="D12">
    <cfRule type="expression" dxfId="254" priority="45">
      <formula>AND($C12-TODAY()&lt;30,TODAY()&lt;$C12)</formula>
    </cfRule>
  </conditionalFormatting>
  <conditionalFormatting sqref="D12">
    <cfRule type="cellIs" dxfId="253" priority="46" stopIfTrue="1" operator="lessThan">
      <formula>$B$2</formula>
    </cfRule>
  </conditionalFormatting>
  <conditionalFormatting sqref="C13:D13">
    <cfRule type="expression" dxfId="252" priority="43">
      <formula>AND($C13-TODAY()&lt;30,TODAY()&lt;$C13)</formula>
    </cfRule>
  </conditionalFormatting>
  <conditionalFormatting sqref="C13:D13">
    <cfRule type="cellIs" dxfId="251" priority="44" stopIfTrue="1" operator="lessThan">
      <formula>$B$2</formula>
    </cfRule>
  </conditionalFormatting>
  <conditionalFormatting sqref="D14">
    <cfRule type="expression" dxfId="250" priority="41">
      <formula>AND($C14-TODAY()&lt;30,TODAY()&lt;$C14)</formula>
    </cfRule>
  </conditionalFormatting>
  <conditionalFormatting sqref="D14">
    <cfRule type="cellIs" dxfId="249" priority="42" stopIfTrue="1" operator="lessThan">
      <formula>$B$2</formula>
    </cfRule>
  </conditionalFormatting>
  <conditionalFormatting sqref="G13">
    <cfRule type="cellIs" dxfId="248" priority="40" stopIfTrue="1" operator="lessThan">
      <formula>$B$2</formula>
    </cfRule>
  </conditionalFormatting>
  <conditionalFormatting sqref="B4:B11 F4:F11 B13 F13:F14">
    <cfRule type="cellIs" dxfId="247" priority="39" stopIfTrue="1" operator="equal">
      <formula>"已过期"</formula>
    </cfRule>
  </conditionalFormatting>
  <conditionalFormatting sqref="G20">
    <cfRule type="expression" dxfId="246" priority="37">
      <formula>AND($E20-TODAY()&lt;30,TODAY()&lt;$E20)</formula>
    </cfRule>
  </conditionalFormatting>
  <conditionalFormatting sqref="G20">
    <cfRule type="cellIs" dxfId="245" priority="38" stopIfTrue="1" operator="lessThan">
      <formula>$B$2</formula>
    </cfRule>
  </conditionalFormatting>
  <conditionalFormatting sqref="C7">
    <cfRule type="expression" dxfId="244" priority="35">
      <formula>AND($C7-TODAY()&lt;30,TODAY()&lt;$C7)</formula>
    </cfRule>
  </conditionalFormatting>
  <conditionalFormatting sqref="C7">
    <cfRule type="cellIs" dxfId="243" priority="36" stopIfTrue="1" operator="lessThan">
      <formula>$B$2</formula>
    </cfRule>
  </conditionalFormatting>
  <conditionalFormatting sqref="C8">
    <cfRule type="expression" dxfId="242" priority="33">
      <formula>AND($C8-TODAY()&lt;30,TODAY()&lt;$C8)</formula>
    </cfRule>
  </conditionalFormatting>
  <conditionalFormatting sqref="C8">
    <cfRule type="cellIs" dxfId="241" priority="34" stopIfTrue="1" operator="lessThan">
      <formula>$B$2</formula>
    </cfRule>
  </conditionalFormatting>
  <conditionalFormatting sqref="C11">
    <cfRule type="expression" dxfId="240" priority="31">
      <formula>AND($C11-TODAY()&lt;30,TODAY()&lt;$C11)</formula>
    </cfRule>
  </conditionalFormatting>
  <conditionalFormatting sqref="C11">
    <cfRule type="cellIs" dxfId="239" priority="32" stopIfTrue="1" operator="lessThan">
      <formula>$B$2</formula>
    </cfRule>
  </conditionalFormatting>
  <conditionalFormatting sqref="A16:C16">
    <cfRule type="cellIs" dxfId="238" priority="30" stopIfTrue="1" operator="equal">
      <formula>"已过期"</formula>
    </cfRule>
  </conditionalFormatting>
  <conditionalFormatting sqref="E16:G16">
    <cfRule type="cellIs" dxfId="237" priority="29" stopIfTrue="1" operator="equal">
      <formula>"已过期"</formula>
    </cfRule>
  </conditionalFormatting>
  <conditionalFormatting sqref="G11">
    <cfRule type="cellIs" dxfId="236" priority="28" stopIfTrue="1" operator="lessThan">
      <formula>$B$2</formula>
    </cfRule>
  </conditionalFormatting>
  <conditionalFormatting sqref="F12">
    <cfRule type="cellIs" dxfId="235" priority="27" stopIfTrue="1" operator="equal">
      <formula>"已过期"</formula>
    </cfRule>
  </conditionalFormatting>
  <conditionalFormatting sqref="G12">
    <cfRule type="cellIs" dxfId="234" priority="26" stopIfTrue="1" operator="lessThan">
      <formula>$B$2</formula>
    </cfRule>
  </conditionalFormatting>
  <conditionalFormatting sqref="C12">
    <cfRule type="cellIs" dxfId="233" priority="25" stopIfTrue="1" operator="lessThan">
      <formula>$B$2</formula>
    </cfRule>
  </conditionalFormatting>
  <conditionalFormatting sqref="C12">
    <cfRule type="expression" dxfId="232" priority="23">
      <formula>AND($C12-TODAY()&lt;30,TODAY()&lt;$C12)</formula>
    </cfRule>
  </conditionalFormatting>
  <conditionalFormatting sqref="C12">
    <cfRule type="cellIs" dxfId="231" priority="24" stopIfTrue="1" operator="lessThan">
      <formula>$B$2</formula>
    </cfRule>
  </conditionalFormatting>
  <conditionalFormatting sqref="B12">
    <cfRule type="cellIs" dxfId="230" priority="22" stopIfTrue="1" operator="equal">
      <formula>"已过期"</formula>
    </cfRule>
  </conditionalFormatting>
  <conditionalFormatting sqref="C9:C10">
    <cfRule type="expression" dxfId="229" priority="20">
      <formula>AND($C9-TODAY()&lt;30,TODAY()&lt;$C9)</formula>
    </cfRule>
  </conditionalFormatting>
  <conditionalFormatting sqref="C9:C10">
    <cfRule type="cellIs" dxfId="228" priority="21" stopIfTrue="1" operator="lessThan">
      <formula>$B$2</formula>
    </cfRule>
  </conditionalFormatting>
  <conditionalFormatting sqref="G21">
    <cfRule type="expression" dxfId="227" priority="18" stopIfTrue="1">
      <formula>AND(#REF!-TODAY()&lt;30,TODAY()&lt;#REF!)</formula>
    </cfRule>
  </conditionalFormatting>
  <conditionalFormatting sqref="G21">
    <cfRule type="cellIs" dxfId="226" priority="19" stopIfTrue="1" operator="lessThan">
      <formula>$B$2</formula>
    </cfRule>
  </conditionalFormatting>
  <conditionalFormatting sqref="C14">
    <cfRule type="expression" dxfId="225" priority="16">
      <formula>AND($C14-TODAY()&lt;30,TODAY()&lt;$C14)</formula>
    </cfRule>
  </conditionalFormatting>
  <conditionalFormatting sqref="C14">
    <cfRule type="cellIs" dxfId="224" priority="17" stopIfTrue="1" operator="lessThan">
      <formula>$B$2</formula>
    </cfRule>
  </conditionalFormatting>
  <conditionalFormatting sqref="C14">
    <cfRule type="expression" dxfId="223" priority="14">
      <formula>AND($C14-TODAY()&lt;30,TODAY()&lt;$C14)</formula>
    </cfRule>
  </conditionalFormatting>
  <conditionalFormatting sqref="C14">
    <cfRule type="cellIs" dxfId="222" priority="15" stopIfTrue="1" operator="lessThan">
      <formula>$B$2</formula>
    </cfRule>
  </conditionalFormatting>
  <conditionalFormatting sqref="B14">
    <cfRule type="cellIs" dxfId="221" priority="13" stopIfTrue="1" operator="equal">
      <formula>"已过期"</formula>
    </cfRule>
  </conditionalFormatting>
  <conditionalFormatting sqref="G14">
    <cfRule type="cellIs" dxfId="220" priority="12" stopIfTrue="1" operator="lessThan">
      <formula>$B$2</formula>
    </cfRule>
  </conditionalFormatting>
  <conditionalFormatting sqref="D15">
    <cfRule type="expression" dxfId="219" priority="10">
      <formula>AND($C15-TODAY()&lt;30,TODAY()&lt;$C15)</formula>
    </cfRule>
  </conditionalFormatting>
  <conditionalFormatting sqref="D15">
    <cfRule type="cellIs" dxfId="218" priority="11" stopIfTrue="1" operator="lessThan">
      <formula>$B$2</formula>
    </cfRule>
  </conditionalFormatting>
  <conditionalFormatting sqref="D15">
    <cfRule type="expression" dxfId="217" priority="8">
      <formula>AND($C15-TODAY()&lt;30,TODAY()&lt;$C15)</formula>
    </cfRule>
  </conditionalFormatting>
  <conditionalFormatting sqref="D15">
    <cfRule type="cellIs" dxfId="216" priority="9" stopIfTrue="1" operator="lessThan">
      <formula>$B$2</formula>
    </cfRule>
  </conditionalFormatting>
  <conditionalFormatting sqref="F15">
    <cfRule type="cellIs" dxfId="215" priority="7" stopIfTrue="1" operator="equal">
      <formula>"已过期"</formula>
    </cfRule>
  </conditionalFormatting>
  <conditionalFormatting sqref="C15">
    <cfRule type="expression" dxfId="214" priority="5">
      <formula>AND($C15-TODAY()&lt;30,TODAY()&lt;$C15)</formula>
    </cfRule>
  </conditionalFormatting>
  <conditionalFormatting sqref="C15">
    <cfRule type="cellIs" dxfId="213" priority="6" stopIfTrue="1" operator="lessThan">
      <formula>$B$2</formula>
    </cfRule>
  </conditionalFormatting>
  <conditionalFormatting sqref="C15">
    <cfRule type="expression" dxfId="212" priority="3">
      <formula>AND($C15-TODAY()&lt;30,TODAY()&lt;$C15)</formula>
    </cfRule>
  </conditionalFormatting>
  <conditionalFormatting sqref="C15">
    <cfRule type="cellIs" dxfId="211" priority="4" stopIfTrue="1" operator="lessThan">
      <formula>$B$2</formula>
    </cfRule>
  </conditionalFormatting>
  <conditionalFormatting sqref="B15">
    <cfRule type="cellIs" dxfId="210" priority="2" stopIfTrue="1" operator="equal">
      <formula>"已过期"</formula>
    </cfRule>
  </conditionalFormatting>
  <conditionalFormatting sqref="G15">
    <cfRule type="cellIs" dxfId="20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 (17层19C5)</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比较法-租金办公</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'比较法-租金办公'!Print_Area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(17层19C5)'!Print_Area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'比较法-租金办公'!办公层高</vt:lpstr>
      <vt:lpstr>办公层高</vt:lpstr>
      <vt:lpstr>'比较法-租金办公'!办公朝向</vt:lpstr>
      <vt:lpstr>办公朝向</vt:lpstr>
      <vt:lpstr>'比较法-租金办公'!办公道路级别</vt:lpstr>
      <vt:lpstr>办公道路级别</vt:lpstr>
      <vt:lpstr>'比较法-租金办公'!办公公共部分装修</vt:lpstr>
      <vt:lpstr>办公公共部分装修</vt:lpstr>
      <vt:lpstr>'比较法-租金办公'!办公基础设施水平</vt:lpstr>
      <vt:lpstr>办公基础设施水平</vt:lpstr>
      <vt:lpstr>办公集聚程度</vt:lpstr>
      <vt:lpstr>'比较法-租金办公'!办公建筑结构</vt:lpstr>
      <vt:lpstr>办公建筑结构</vt:lpstr>
      <vt:lpstr>'比较法-租金办公'!办公建筑类型</vt:lpstr>
      <vt:lpstr>办公建筑类型</vt:lpstr>
      <vt:lpstr>'比较法-租金办公'!办公交易情况</vt:lpstr>
      <vt:lpstr>办公交易情况</vt:lpstr>
      <vt:lpstr>'比较法-租金办公'!办公楼层</vt:lpstr>
      <vt:lpstr>办公楼层</vt:lpstr>
      <vt:lpstr>'比较法-租金办公'!办公内部装修</vt:lpstr>
      <vt:lpstr>办公内部装修</vt:lpstr>
      <vt:lpstr>'比较法-租金办公'!办公物业管理</vt:lpstr>
      <vt:lpstr>办公物业管理</vt:lpstr>
      <vt:lpstr>'比较法-租金办公'!办公用途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2021-06-28T02:14:03Z</dcterms:modified>
</cp:coreProperties>
</file>